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0" yWindow="4530" windowWidth="12120" windowHeight="3690" activeTab="1"/>
  </bookViews>
  <sheets>
    <sheet name="bonus malus" sheetId="44" r:id="rId1"/>
    <sheet name="estimation dette " sheetId="45" r:id="rId2"/>
    <sheet name="estimation du parc" sheetId="4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F12" i="45" l="1"/>
  <c r="E21" i="45"/>
  <c r="E20" i="45"/>
  <c r="F43" i="45"/>
  <c r="G43" i="45"/>
  <c r="H43" i="45"/>
  <c r="I43" i="45"/>
  <c r="J43" i="45"/>
  <c r="K43" i="45"/>
  <c r="F44" i="45"/>
  <c r="G44" i="45"/>
  <c r="H44" i="45"/>
  <c r="I44" i="45"/>
  <c r="J44" i="45"/>
  <c r="K44" i="45"/>
  <c r="F45" i="45"/>
  <c r="G45" i="45"/>
  <c r="H45" i="45"/>
  <c r="I45" i="45"/>
  <c r="J45" i="45"/>
  <c r="K45" i="45"/>
  <c r="F46" i="45"/>
  <c r="G46" i="45"/>
  <c r="H46" i="45"/>
  <c r="I46" i="45"/>
  <c r="J46" i="45"/>
  <c r="K46" i="45"/>
  <c r="F47" i="45"/>
  <c r="G47" i="45"/>
  <c r="H47" i="45"/>
  <c r="I47" i="45"/>
  <c r="J47" i="45"/>
  <c r="K47" i="45"/>
  <c r="F48" i="45"/>
  <c r="G48" i="45"/>
  <c r="H48" i="45"/>
  <c r="I48" i="45"/>
  <c r="J48" i="45"/>
  <c r="K48" i="45"/>
  <c r="F49" i="45"/>
  <c r="G49" i="45"/>
  <c r="H49" i="45"/>
  <c r="I49" i="45"/>
  <c r="J49" i="45"/>
  <c r="K49" i="45"/>
  <c r="F50" i="45"/>
  <c r="G50" i="45"/>
  <c r="H50" i="45"/>
  <c r="I50" i="45"/>
  <c r="J50" i="45"/>
  <c r="K50" i="45"/>
  <c r="F51" i="45"/>
  <c r="G51" i="45"/>
  <c r="H51" i="45"/>
  <c r="I51" i="45"/>
  <c r="J51" i="45"/>
  <c r="K51" i="45"/>
  <c r="F52" i="45"/>
  <c r="G52" i="45"/>
  <c r="H52" i="45"/>
  <c r="I52" i="45"/>
  <c r="J52" i="45"/>
  <c r="K52" i="45"/>
  <c r="F53" i="45"/>
  <c r="G53" i="45"/>
  <c r="H53" i="45"/>
  <c r="I53" i="45"/>
  <c r="J53" i="45"/>
  <c r="K53" i="45"/>
  <c r="F54" i="45"/>
  <c r="G54" i="45"/>
  <c r="H54" i="45"/>
  <c r="I54" i="45"/>
  <c r="J54" i="45"/>
  <c r="K54" i="45"/>
  <c r="F55" i="45"/>
  <c r="G55" i="45"/>
  <c r="H55" i="45"/>
  <c r="I55" i="45"/>
  <c r="J55" i="45"/>
  <c r="K55" i="45"/>
  <c r="F56" i="45"/>
  <c r="G56" i="45"/>
  <c r="H56" i="45"/>
  <c r="I56" i="45"/>
  <c r="J56" i="45"/>
  <c r="K56" i="45"/>
  <c r="F57" i="45"/>
  <c r="G57" i="45"/>
  <c r="H57" i="45"/>
  <c r="I57" i="45"/>
  <c r="J57" i="45"/>
  <c r="K57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43" i="45"/>
  <c r="E22" i="45"/>
  <c r="A46" i="45"/>
  <c r="A47" i="45"/>
  <c r="D45" i="45"/>
  <c r="A45" i="45"/>
  <c r="B45" i="45"/>
  <c r="D44" i="45"/>
  <c r="C44" i="45"/>
  <c r="A44" i="45"/>
  <c r="B44" i="45"/>
  <c r="C43" i="45"/>
  <c r="B43" i="45"/>
  <c r="B20" i="45"/>
  <c r="B34" i="45"/>
  <c r="H67" i="43"/>
  <c r="B128" i="43"/>
  <c r="E35" i="45"/>
  <c r="C20" i="45"/>
  <c r="F5" i="45"/>
  <c r="C21" i="45"/>
  <c r="C25" i="45"/>
  <c r="D21" i="45"/>
  <c r="D22" i="45"/>
  <c r="C22" i="45"/>
  <c r="D23" i="45"/>
  <c r="C23" i="45"/>
  <c r="D24" i="45"/>
  <c r="D25" i="45"/>
  <c r="D26" i="45"/>
  <c r="C26" i="45"/>
  <c r="D27" i="45"/>
  <c r="B21" i="45"/>
  <c r="A24" i="45"/>
  <c r="A21" i="45"/>
  <c r="A22" i="45"/>
  <c r="A23" i="45"/>
  <c r="B23" i="45"/>
  <c r="E5" i="45"/>
  <c r="D12" i="44"/>
  <c r="E12" i="44"/>
  <c r="G11" i="44"/>
  <c r="I11" i="44"/>
  <c r="E11" i="44"/>
  <c r="G10" i="44"/>
  <c r="I10" i="44"/>
  <c r="E10" i="44"/>
  <c r="E9" i="44"/>
  <c r="E8" i="44"/>
  <c r="G7" i="44"/>
  <c r="I7" i="44"/>
  <c r="E7" i="44"/>
  <c r="E6" i="44"/>
  <c r="E5" i="44"/>
  <c r="G4" i="44"/>
  <c r="I4" i="44"/>
  <c r="E4" i="44"/>
  <c r="G2" i="44"/>
  <c r="I3" i="44"/>
  <c r="E3" i="44"/>
  <c r="L118" i="43"/>
  <c r="L119" i="43"/>
  <c r="L120" i="43"/>
  <c r="L134" i="43"/>
  <c r="N134" i="43"/>
  <c r="L121" i="43"/>
  <c r="L136" i="43"/>
  <c r="N136" i="43"/>
  <c r="L122" i="43"/>
  <c r="L123" i="43"/>
  <c r="L124" i="43"/>
  <c r="L125" i="43"/>
  <c r="L126" i="43"/>
  <c r="L127" i="43"/>
  <c r="L128" i="43"/>
  <c r="L129" i="43"/>
  <c r="L117" i="43"/>
  <c r="K135" i="43"/>
  <c r="L130" i="43"/>
  <c r="L135" i="43"/>
  <c r="N135" i="43"/>
  <c r="K136" i="43"/>
  <c r="L131" i="43"/>
  <c r="K134" i="43"/>
  <c r="I67" i="43"/>
  <c r="I68" i="43"/>
  <c r="I69" i="43"/>
  <c r="I70" i="43"/>
  <c r="I71" i="43"/>
  <c r="I72" i="43"/>
  <c r="I66" i="43"/>
  <c r="I58" i="43"/>
  <c r="K57" i="43"/>
  <c r="M70" i="43"/>
  <c r="B66" i="43"/>
  <c r="K66" i="43"/>
  <c r="F66" i="43"/>
  <c r="L66" i="43"/>
  <c r="G66" i="43"/>
  <c r="H66" i="43"/>
  <c r="D66" i="43"/>
  <c r="E66" i="43"/>
  <c r="K98" i="43"/>
  <c r="E102" i="43"/>
  <c r="E103" i="43"/>
  <c r="C102" i="43"/>
  <c r="D102" i="43"/>
  <c r="D105" i="43"/>
  <c r="F102" i="43"/>
  <c r="D103" i="43"/>
  <c r="F103" i="43"/>
  <c r="G103" i="43"/>
  <c r="G105" i="43"/>
  <c r="E14" i="43"/>
  <c r="E16" i="43"/>
  <c r="E17" i="43"/>
  <c r="E18" i="43"/>
  <c r="D12" i="43"/>
  <c r="E13" i="43"/>
  <c r="K4" i="43"/>
  <c r="N4" i="43"/>
  <c r="G5" i="43"/>
  <c r="K5" i="43"/>
  <c r="N5" i="43"/>
  <c r="G6" i="43"/>
  <c r="K6" i="43"/>
  <c r="N6" i="43"/>
  <c r="E7" i="43"/>
  <c r="G7" i="43"/>
  <c r="K7" i="43"/>
  <c r="N7" i="43"/>
  <c r="G8" i="43"/>
  <c r="K8" i="43"/>
  <c r="N8" i="43"/>
  <c r="E9" i="43"/>
  <c r="G9" i="43"/>
  <c r="K9" i="43"/>
  <c r="N9" i="43"/>
  <c r="G10" i="43"/>
  <c r="K10" i="43"/>
  <c r="N10" i="43"/>
  <c r="B11" i="43"/>
  <c r="E25" i="43"/>
  <c r="B106" i="43"/>
  <c r="F71" i="43"/>
  <c r="L71" i="43"/>
  <c r="G71" i="43"/>
  <c r="H71" i="43"/>
  <c r="G82" i="43"/>
  <c r="G84" i="43"/>
  <c r="F70" i="43"/>
  <c r="G70" i="43"/>
  <c r="H70" i="43"/>
  <c r="L70" i="43"/>
  <c r="F69" i="43"/>
  <c r="G69" i="43"/>
  <c r="H69" i="43"/>
  <c r="L69" i="43"/>
  <c r="D80" i="43"/>
  <c r="F68" i="43"/>
  <c r="G68" i="43"/>
  <c r="H68" i="43"/>
  <c r="F67" i="43"/>
  <c r="L67" i="43"/>
  <c r="B78" i="43"/>
  <c r="K78" i="43"/>
  <c r="G67" i="43"/>
  <c r="I83" i="43"/>
  <c r="D71" i="43"/>
  <c r="E71" i="43"/>
  <c r="M71" i="43"/>
  <c r="D70" i="43"/>
  <c r="E70" i="43"/>
  <c r="K70" i="43"/>
  <c r="D69" i="43"/>
  <c r="E69" i="43"/>
  <c r="K69" i="43"/>
  <c r="D68" i="43"/>
  <c r="M68" i="43"/>
  <c r="E68" i="43"/>
  <c r="D59" i="43"/>
  <c r="D67" i="43"/>
  <c r="D74" i="43"/>
  <c r="E67" i="43"/>
  <c r="G93" i="43"/>
  <c r="H93" i="43"/>
  <c r="I93" i="43"/>
  <c r="G104" i="43"/>
  <c r="H104" i="43"/>
  <c r="I104" i="43"/>
  <c r="K104" i="43"/>
  <c r="B67" i="43"/>
  <c r="C67" i="43"/>
  <c r="B43" i="43"/>
  <c r="C43" i="43"/>
  <c r="D43" i="43"/>
  <c r="D46" i="43"/>
  <c r="C44" i="43"/>
  <c r="E44" i="43"/>
  <c r="F44" i="43"/>
  <c r="F47" i="43"/>
  <c r="F49" i="43"/>
  <c r="F53" i="43"/>
  <c r="G44" i="43"/>
  <c r="G47" i="43"/>
  <c r="G49" i="43"/>
  <c r="H44" i="43"/>
  <c r="I44" i="43"/>
  <c r="C46" i="43"/>
  <c r="C48" i="43"/>
  <c r="E46" i="43"/>
  <c r="F46" i="43"/>
  <c r="F48" i="43"/>
  <c r="G46" i="43"/>
  <c r="H46" i="43"/>
  <c r="I46" i="43"/>
  <c r="I48" i="43"/>
  <c r="N46" i="43"/>
  <c r="E47" i="43"/>
  <c r="E49" i="43"/>
  <c r="E53" i="43"/>
  <c r="H47" i="43"/>
  <c r="I47" i="43"/>
  <c r="N47" i="43"/>
  <c r="D48" i="43"/>
  <c r="E48" i="43"/>
  <c r="G48" i="43"/>
  <c r="G53" i="43"/>
  <c r="H48" i="43"/>
  <c r="H49" i="43"/>
  <c r="I49" i="43"/>
  <c r="B50" i="43"/>
  <c r="C50" i="43"/>
  <c r="D50" i="43"/>
  <c r="D52" i="43"/>
  <c r="E50" i="43"/>
  <c r="E52" i="43"/>
  <c r="F50" i="43"/>
  <c r="G50" i="43"/>
  <c r="H50" i="43"/>
  <c r="H52" i="43"/>
  <c r="I50" i="43"/>
  <c r="I52" i="43"/>
  <c r="J50" i="43"/>
  <c r="K50" i="43"/>
  <c r="B51" i="43"/>
  <c r="B52" i="43"/>
  <c r="C51" i="43"/>
  <c r="D51" i="43"/>
  <c r="E51" i="43"/>
  <c r="F51" i="43"/>
  <c r="F52" i="43"/>
  <c r="G51" i="43"/>
  <c r="G52" i="43"/>
  <c r="H51" i="43"/>
  <c r="I51" i="43"/>
  <c r="J51" i="43"/>
  <c r="K51" i="43"/>
  <c r="J52" i="43"/>
  <c r="K52" i="43"/>
  <c r="H53" i="43"/>
  <c r="I53" i="43"/>
  <c r="J53" i="43"/>
  <c r="K53" i="43"/>
  <c r="W59" i="43"/>
  <c r="S60" i="43"/>
  <c r="T60" i="43"/>
  <c r="C66" i="43"/>
  <c r="M66" i="43"/>
  <c r="D72" i="43"/>
  <c r="E72" i="43"/>
  <c r="F72" i="43"/>
  <c r="G72" i="43"/>
  <c r="H72" i="43"/>
  <c r="D75" i="43"/>
  <c r="D84" i="43"/>
  <c r="I84" i="43"/>
  <c r="G94" i="43"/>
  <c r="H94" i="43"/>
  <c r="I94" i="43"/>
  <c r="E105" i="43"/>
  <c r="H105" i="43"/>
  <c r="I105" i="43"/>
  <c r="C106" i="43"/>
  <c r="D106" i="43"/>
  <c r="E106" i="43"/>
  <c r="F106" i="43"/>
  <c r="G106" i="43"/>
  <c r="H106" i="43"/>
  <c r="I106" i="43"/>
  <c r="G8" i="44"/>
  <c r="I8" i="44"/>
  <c r="G5" i="44"/>
  <c r="I5" i="44"/>
  <c r="B87" i="43"/>
  <c r="B24" i="45"/>
  <c r="A25" i="45"/>
  <c r="L72" i="43"/>
  <c r="C52" i="43"/>
  <c r="K103" i="43"/>
  <c r="B44" i="43"/>
  <c r="B47" i="43"/>
  <c r="B49" i="43"/>
  <c r="B46" i="43"/>
  <c r="B48" i="43"/>
  <c r="B53" i="43"/>
  <c r="M72" i="43"/>
  <c r="K72" i="43"/>
  <c r="W60" i="43"/>
  <c r="X60" i="43"/>
  <c r="Y60" i="43"/>
  <c r="Z60" i="43"/>
  <c r="AA60" i="43"/>
  <c r="AB60" i="43"/>
  <c r="AC60" i="43"/>
  <c r="AD60" i="43"/>
  <c r="C47" i="43"/>
  <c r="C49" i="43"/>
  <c r="D44" i="43"/>
  <c r="D47" i="43"/>
  <c r="D49" i="43"/>
  <c r="D53" i="43"/>
  <c r="C53" i="43"/>
  <c r="L74" i="43"/>
  <c r="B77" i="43"/>
  <c r="C27" i="45"/>
  <c r="D28" i="45"/>
  <c r="K71" i="43"/>
  <c r="D108" i="43"/>
  <c r="C24" i="45"/>
  <c r="C105" i="43"/>
  <c r="K102" i="43"/>
  <c r="E5" i="43"/>
  <c r="E6" i="43"/>
  <c r="E8" i="43"/>
  <c r="E10" i="43"/>
  <c r="E19" i="43"/>
  <c r="M67" i="43"/>
  <c r="J4" i="43"/>
  <c r="M4" i="43"/>
  <c r="J5" i="43"/>
  <c r="M5" i="43"/>
  <c r="J7" i="43"/>
  <c r="M7" i="43"/>
  <c r="J9" i="43"/>
  <c r="M9" i="43"/>
  <c r="B99" i="43"/>
  <c r="F105" i="43"/>
  <c r="K67" i="43"/>
  <c r="B88" i="43"/>
  <c r="K68" i="43"/>
  <c r="M69" i="43"/>
  <c r="L68" i="43"/>
  <c r="J10" i="43"/>
  <c r="M10" i="43"/>
  <c r="J8" i="43"/>
  <c r="M8" i="43"/>
  <c r="J6" i="43"/>
  <c r="M6" i="43"/>
  <c r="E23" i="43"/>
  <c r="B22" i="45"/>
  <c r="K99" i="43"/>
  <c r="B101" i="43"/>
  <c r="K101" i="43"/>
  <c r="B100" i="43"/>
  <c r="K100" i="43"/>
  <c r="N68" i="43"/>
  <c r="L7" i="43"/>
  <c r="O7" i="43"/>
  <c r="L9" i="43"/>
  <c r="O9" i="43"/>
  <c r="E27" i="43"/>
  <c r="L5" i="43"/>
  <c r="O5" i="43"/>
  <c r="L8" i="43"/>
  <c r="O8" i="43"/>
  <c r="L6" i="43"/>
  <c r="O6" i="43"/>
  <c r="L10" i="43"/>
  <c r="O10" i="43"/>
  <c r="L4" i="43"/>
  <c r="O4" i="43"/>
  <c r="B79" i="43"/>
  <c r="B84" i="43"/>
  <c r="K77" i="43"/>
  <c r="A26" i="45"/>
  <c r="B25" i="45"/>
  <c r="D29" i="45"/>
  <c r="C28" i="45"/>
  <c r="K87" i="43"/>
  <c r="K88" i="43"/>
  <c r="C118" i="43"/>
  <c r="B89" i="43"/>
  <c r="C89" i="43"/>
  <c r="K74" i="43"/>
  <c r="C90" i="43"/>
  <c r="C94" i="43"/>
  <c r="C117" i="43"/>
  <c r="B94" i="43"/>
  <c r="B105" i="43"/>
  <c r="K105" i="43"/>
  <c r="K89" i="43"/>
  <c r="B129" i="43"/>
  <c r="E129" i="43"/>
  <c r="D6" i="45"/>
  <c r="A27" i="45"/>
  <c r="B26" i="45"/>
  <c r="D30" i="45"/>
  <c r="C29" i="45"/>
  <c r="C79" i="43"/>
  <c r="K79" i="43"/>
  <c r="C119" i="43"/>
  <c r="D7" i="45"/>
  <c r="B130" i="43"/>
  <c r="E130" i="43"/>
  <c r="D5" i="45"/>
  <c r="B151" i="43"/>
  <c r="B27" i="45"/>
  <c r="A28" i="45"/>
  <c r="C80" i="43"/>
  <c r="C30" i="45"/>
  <c r="D31" i="45"/>
  <c r="D90" i="43"/>
  <c r="D91" i="43"/>
  <c r="D94" i="43"/>
  <c r="K90" i="43"/>
  <c r="E80" i="43"/>
  <c r="C84" i="43"/>
  <c r="C31" i="45"/>
  <c r="D32" i="45"/>
  <c r="B28" i="45"/>
  <c r="A29" i="45"/>
  <c r="E128" i="43"/>
  <c r="A30" i="45"/>
  <c r="B29" i="45"/>
  <c r="E81" i="43"/>
  <c r="E84" i="43"/>
  <c r="D33" i="45"/>
  <c r="C32" i="45"/>
  <c r="K80" i="43"/>
  <c r="C120" i="43"/>
  <c r="K91" i="43"/>
  <c r="E91" i="43"/>
  <c r="D8" i="45"/>
  <c r="B131" i="43"/>
  <c r="A31" i="45"/>
  <c r="B30" i="45"/>
  <c r="E92" i="43"/>
  <c r="D34" i="45"/>
  <c r="C34" i="45"/>
  <c r="C33" i="45"/>
  <c r="K81" i="43"/>
  <c r="C121" i="43"/>
  <c r="F81" i="43"/>
  <c r="B132" i="43"/>
  <c r="E132" i="43"/>
  <c r="D9" i="45"/>
  <c r="K92" i="43"/>
  <c r="F92" i="43"/>
  <c r="E131" i="43"/>
  <c r="B31" i="45"/>
  <c r="A32" i="45"/>
  <c r="F82" i="43"/>
  <c r="F84" i="43"/>
  <c r="E94" i="43"/>
  <c r="B32" i="45"/>
  <c r="A33" i="45"/>
  <c r="F93" i="43"/>
  <c r="K93" i="43"/>
  <c r="H82" i="43"/>
  <c r="H83" i="43"/>
  <c r="K83" i="43"/>
  <c r="C123" i="43"/>
  <c r="K82" i="43"/>
  <c r="C122" i="43"/>
  <c r="A34" i="45"/>
  <c r="B33" i="45"/>
  <c r="F94" i="43"/>
  <c r="K94" i="43"/>
  <c r="B133" i="43"/>
  <c r="D10" i="45"/>
  <c r="C124" i="43"/>
  <c r="I20" i="45"/>
  <c r="G21" i="45"/>
  <c r="K21" i="45"/>
  <c r="I22" i="45"/>
  <c r="H23" i="45"/>
  <c r="F24" i="45"/>
  <c r="J24" i="45"/>
  <c r="H25" i="45"/>
  <c r="F26" i="45"/>
  <c r="J26" i="45"/>
  <c r="H27" i="45"/>
  <c r="F28" i="45"/>
  <c r="J28" i="45"/>
  <c r="H29" i="45"/>
  <c r="F30" i="45"/>
  <c r="J30" i="45"/>
  <c r="H31" i="45"/>
  <c r="F32" i="45"/>
  <c r="J32" i="45"/>
  <c r="H33" i="45"/>
  <c r="F34" i="45"/>
  <c r="J34" i="45"/>
  <c r="E23" i="45"/>
  <c r="E27" i="45"/>
  <c r="E31" i="45"/>
  <c r="F20" i="45"/>
  <c r="J20" i="45"/>
  <c r="H21" i="45"/>
  <c r="F22" i="45"/>
  <c r="J22" i="45"/>
  <c r="I23" i="45"/>
  <c r="G24" i="45"/>
  <c r="K24" i="45"/>
  <c r="I25" i="45"/>
  <c r="G26" i="45"/>
  <c r="K26" i="45"/>
  <c r="I27" i="45"/>
  <c r="G28" i="45"/>
  <c r="K28" i="45"/>
  <c r="I29" i="45"/>
  <c r="G30" i="45"/>
  <c r="K30" i="45"/>
  <c r="I31" i="45"/>
  <c r="G32" i="45"/>
  <c r="K32" i="45"/>
  <c r="I33" i="45"/>
  <c r="G34" i="45"/>
  <c r="K34" i="45"/>
  <c r="E24" i="45"/>
  <c r="E28" i="45"/>
  <c r="E32" i="45"/>
  <c r="F23" i="45"/>
  <c r="F21" i="45"/>
  <c r="H22" i="45"/>
  <c r="K23" i="45"/>
  <c r="G25" i="45"/>
  <c r="I26" i="45"/>
  <c r="K27" i="45"/>
  <c r="G29" i="45"/>
  <c r="I30" i="45"/>
  <c r="K31" i="45"/>
  <c r="G33" i="45"/>
  <c r="I34" i="45"/>
  <c r="E26" i="45"/>
  <c r="E34" i="45"/>
  <c r="H20" i="45"/>
  <c r="G23" i="45"/>
  <c r="G27" i="45"/>
  <c r="K29" i="45"/>
  <c r="I32" i="45"/>
  <c r="G20" i="45"/>
  <c r="I21" i="45"/>
  <c r="K22" i="45"/>
  <c r="H24" i="45"/>
  <c r="J25" i="45"/>
  <c r="F27" i="45"/>
  <c r="H28" i="45"/>
  <c r="J29" i="45"/>
  <c r="F31" i="45"/>
  <c r="H32" i="45"/>
  <c r="J33" i="45"/>
  <c r="E29" i="45"/>
  <c r="J21" i="45"/>
  <c r="I24" i="45"/>
  <c r="K25" i="45"/>
  <c r="I28" i="45"/>
  <c r="G31" i="45"/>
  <c r="K33" i="45"/>
  <c r="E30" i="45"/>
  <c r="K20" i="45"/>
  <c r="H26" i="45"/>
  <c r="J31" i="45"/>
  <c r="E33" i="45"/>
  <c r="F29" i="45"/>
  <c r="H34" i="45"/>
  <c r="F25" i="45"/>
  <c r="G22" i="45"/>
  <c r="J27" i="45"/>
  <c r="F33" i="45"/>
  <c r="J23" i="45"/>
  <c r="H30" i="45"/>
  <c r="E25" i="45"/>
  <c r="D11" i="45"/>
  <c r="B134" i="43"/>
  <c r="E134" i="43"/>
  <c r="H84" i="43"/>
  <c r="K84" i="43"/>
  <c r="J35" i="45"/>
  <c r="F10" i="45"/>
  <c r="K35" i="45"/>
  <c r="F11" i="45"/>
  <c r="G35" i="45"/>
  <c r="F7" i="45"/>
  <c r="D12" i="45"/>
  <c r="H35" i="45"/>
  <c r="F8" i="45"/>
  <c r="F35" i="45"/>
  <c r="F6" i="45"/>
  <c r="I35" i="45"/>
  <c r="F9" i="45"/>
  <c r="E133" i="43"/>
  <c r="E135" i="43"/>
  <c r="B135" i="43"/>
  <c r="L35" i="45"/>
  <c r="A48" i="45"/>
  <c r="B47" i="45"/>
  <c r="B46" i="45"/>
  <c r="C45" i="45"/>
  <c r="D46" i="45"/>
  <c r="A49" i="45"/>
  <c r="B48" i="45"/>
  <c r="D47" i="45"/>
  <c r="C46" i="45"/>
  <c r="D48" i="45"/>
  <c r="C47" i="45"/>
  <c r="B49" i="45"/>
  <c r="A50" i="45"/>
  <c r="A51" i="45"/>
  <c r="B50" i="45"/>
  <c r="D49" i="45"/>
  <c r="C48" i="45"/>
  <c r="D50" i="45"/>
  <c r="C49" i="45"/>
  <c r="A52" i="45"/>
  <c r="B51" i="45"/>
  <c r="D51" i="45"/>
  <c r="C50" i="45"/>
  <c r="A53" i="45"/>
  <c r="B52" i="45"/>
  <c r="B53" i="45"/>
  <c r="A54" i="45"/>
  <c r="D52" i="45"/>
  <c r="C51" i="45"/>
  <c r="D53" i="45"/>
  <c r="C52" i="45"/>
  <c r="B54" i="45"/>
  <c r="A55" i="45"/>
  <c r="A56" i="45"/>
  <c r="B55" i="45"/>
  <c r="D54" i="45"/>
  <c r="C53" i="45"/>
  <c r="B56" i="45"/>
  <c r="A57" i="45"/>
  <c r="B57" i="45"/>
  <c r="D55" i="45"/>
  <c r="C54" i="45"/>
  <c r="D56" i="45"/>
  <c r="C55" i="45"/>
  <c r="C56" i="45"/>
  <c r="D57" i="45"/>
  <c r="C57" i="45"/>
</calcChain>
</file>

<file path=xl/comments1.xml><?xml version="1.0" encoding="utf-8"?>
<comments xmlns="http://schemas.openxmlformats.org/spreadsheetml/2006/main">
  <authors>
    <author>Administrateur</author>
  </authors>
  <commentList>
    <comment ref="D6" authorId="0">
      <text>
        <r>
          <rPr>
            <b/>
            <sz val="8"/>
            <color indexed="81"/>
            <rFont val="Tahoma"/>
            <family val="2"/>
          </rPr>
          <t>Administrateur:</t>
        </r>
        <r>
          <rPr>
            <sz val="8"/>
            <color indexed="81"/>
            <rFont val="Tahoma"/>
            <family val="2"/>
          </rPr>
          <t xml:space="preserve">
souce CCFA</t>
        </r>
      </text>
    </comment>
  </commentList>
</comments>
</file>

<file path=xl/sharedStrings.xml><?xml version="1.0" encoding="utf-8"?>
<sst xmlns="http://schemas.openxmlformats.org/spreadsheetml/2006/main" count="238" uniqueCount="114">
  <si>
    <t>A</t>
  </si>
  <si>
    <t>B</t>
  </si>
  <si>
    <t>C</t>
  </si>
  <si>
    <t>D</t>
  </si>
  <si>
    <t>E</t>
  </si>
  <si>
    <t>F</t>
  </si>
  <si>
    <t>G</t>
  </si>
  <si>
    <t>diesel</t>
  </si>
  <si>
    <t>essence</t>
  </si>
  <si>
    <t xml:space="preserve">total </t>
  </si>
  <si>
    <t>Total</t>
  </si>
  <si>
    <t>tranches gCo2/Km</t>
  </si>
  <si>
    <t>émission moyenne par tranche</t>
  </si>
  <si>
    <t>Quantité totale d'essence achetée en 2004</t>
  </si>
  <si>
    <t>Quantité totale de gazole achetée en 2004</t>
  </si>
  <si>
    <t>GCO2/litre Gazole</t>
  </si>
  <si>
    <t>GCO2/litre essence</t>
  </si>
  <si>
    <t xml:space="preserve">pourcentage de Gazole consommé sur total </t>
  </si>
  <si>
    <t>gCO2 tous véhicules</t>
  </si>
  <si>
    <t>Distance parcourue avec un véhicule diesel</t>
  </si>
  <si>
    <t>Distance parcourue avec un véhicule essence</t>
  </si>
  <si>
    <t>moyenne</t>
  </si>
  <si>
    <t>consommation de carburant en valeur</t>
  </si>
  <si>
    <t>tous véhicules litre /100km</t>
  </si>
  <si>
    <t>consommation litre gazole/100 KM</t>
  </si>
  <si>
    <t>consommation annuelle en valeur d'un véhicule gazole</t>
  </si>
  <si>
    <t>consommation annuelle en valeur d'un véhicule essence</t>
  </si>
  <si>
    <t>Consommation moyenne de litres au 100 KM</t>
  </si>
  <si>
    <t>émission de CO2/Km</t>
  </si>
  <si>
    <t>Nombre de véhicules particuliers de moins de 15 ans en circulation en 2006</t>
  </si>
  <si>
    <t>3 ans et moins</t>
  </si>
  <si>
    <t>4 et 5 ans</t>
  </si>
  <si>
    <t>6 et 7 ans</t>
  </si>
  <si>
    <t>8, 9 et 10 ans</t>
  </si>
  <si>
    <t>11 à 15 ans</t>
  </si>
  <si>
    <t>Année de mise en circulation</t>
  </si>
  <si>
    <t>1 à 4 CV</t>
  </si>
  <si>
    <t>5 CV</t>
  </si>
  <si>
    <t>6 CV</t>
  </si>
  <si>
    <t>7 CV</t>
  </si>
  <si>
    <t>8 CV</t>
  </si>
  <si>
    <t>9 CV</t>
  </si>
  <si>
    <t>10 et 11 CV</t>
  </si>
  <si>
    <t>12 CV et plus</t>
  </si>
  <si>
    <t>Non dét.</t>
  </si>
  <si>
    <t xml:space="preserve">Total </t>
  </si>
  <si>
    <t>Conso litres essence 2002</t>
  </si>
  <si>
    <t>conso litre diesel</t>
  </si>
  <si>
    <t xml:space="preserve">Part de marché diesel </t>
  </si>
  <si>
    <t>Conso litres essence 2004</t>
  </si>
  <si>
    <t>Nombre de véhicules essence</t>
  </si>
  <si>
    <t>Nombre de véhicules diesel</t>
  </si>
  <si>
    <t>gCO2/Km essence</t>
  </si>
  <si>
    <t>gCO2/Km diesel</t>
  </si>
  <si>
    <t>Genre de véhicule</t>
  </si>
  <si>
    <t xml:space="preserve"> Voitures particulières</t>
  </si>
  <si>
    <t>Immatriculation</t>
  </si>
  <si>
    <t>B en %</t>
  </si>
  <si>
    <t>A en %</t>
  </si>
  <si>
    <t>C en %</t>
  </si>
  <si>
    <t xml:space="preserve">A </t>
  </si>
  <si>
    <t xml:space="preserve">B </t>
  </si>
  <si>
    <t>2002-2003</t>
  </si>
  <si>
    <t>2004-2006</t>
  </si>
  <si>
    <t>Classe</t>
  </si>
  <si>
    <t>Parc</t>
  </si>
  <si>
    <t>2000-2006</t>
  </si>
  <si>
    <t>gCO2/Km ensemble</t>
  </si>
  <si>
    <t>D en %</t>
  </si>
  <si>
    <t xml:space="preserve">3ans et moins </t>
  </si>
  <si>
    <t xml:space="preserve">4 et 5ans </t>
  </si>
  <si>
    <t>espérance de vie des véhicules</t>
  </si>
  <si>
    <t xml:space="preserve">PARC </t>
  </si>
  <si>
    <t>Parc véhicules&lt;15ans</t>
  </si>
  <si>
    <t>6et+</t>
  </si>
  <si>
    <t xml:space="preserve">Nombre de véhicules de plus de 10 ans </t>
  </si>
  <si>
    <t xml:space="preserve">immatriculation 2006 </t>
  </si>
  <si>
    <t>part des ventes d'occas après mise à la casse</t>
  </si>
  <si>
    <t>consommation essence litre/100km</t>
  </si>
  <si>
    <t>Parc 2008</t>
  </si>
  <si>
    <t>Parc 2006</t>
  </si>
  <si>
    <t>% des ventes en 2008</t>
  </si>
  <si>
    <t>ventes 2008</t>
  </si>
  <si>
    <t>Parc 2007 (milliers de véhicules)</t>
  </si>
  <si>
    <t>Emissons de CO2</t>
  </si>
  <si>
    <t xml:space="preserve">émissions moyennes par tranche </t>
  </si>
  <si>
    <t>immatriculations 2007 en pourcentage du total</t>
  </si>
  <si>
    <t>Nombre en unités</t>
  </si>
  <si>
    <t>prix moyens des véhicules € 2007 (ADEME)</t>
  </si>
  <si>
    <t>prix moyen</t>
  </si>
  <si>
    <t>taux de subvention</t>
  </si>
  <si>
    <t>0/60</t>
  </si>
  <si>
    <t>61/100</t>
  </si>
  <si>
    <t>101/120</t>
  </si>
  <si>
    <t>121/130</t>
  </si>
  <si>
    <t>130/140</t>
  </si>
  <si>
    <t>141/160</t>
  </si>
  <si>
    <t>161/165</t>
  </si>
  <si>
    <t>166/200</t>
  </si>
  <si>
    <t>201/250</t>
  </si>
  <si>
    <t>&gt;250</t>
  </si>
  <si>
    <t>Classes énergétiques</t>
  </si>
  <si>
    <t>A+</t>
  </si>
  <si>
    <t>C+</t>
  </si>
  <si>
    <t>C-</t>
  </si>
  <si>
    <t>E+</t>
  </si>
  <si>
    <t>E-</t>
  </si>
  <si>
    <t>total</t>
  </si>
  <si>
    <t>Bonus Malus 2008</t>
  </si>
  <si>
    <t xml:space="preserve">Estimation de la dette </t>
  </si>
  <si>
    <t>prix</t>
  </si>
  <si>
    <t>dette en M€</t>
  </si>
  <si>
    <t>nombre</t>
  </si>
  <si>
    <t>taux d'autofinancement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</si>
</sst>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4" formatCode="0.0"/>
    <numFmt numFmtId="181" formatCode="0.0%"/>
    <numFmt numFmtId="198" formatCode="#,###,##0"/>
    <numFmt numFmtId="199" formatCode="_-* #,##0.0\ _€_-;\-* #,##0.0\ _€_-;_-* &quot;-&quot;??\ _€_-;_-@_-"/>
    <numFmt numFmtId="200" formatCode="_-* #,##0\ _€_-;\-* #,##0\ _€_-;_-* &quot;-&quot;??\ _€_-;_-@_-"/>
    <numFmt numFmtId="203" formatCode="_-* #,##0.0000\ _€_-;\-* #,##0.0000\ _€_-;_-* &quot;-&quot;??\ _€_-;_-@_-"/>
    <numFmt numFmtId="204" formatCode="_-* #,##0\ &quot;€&quot;_-;\-* #,##0\ &quot;€&quot;_-;_-* &quot;-&quot;??\ &quot;€&quot;_-;_-@_-"/>
  </numFmts>
  <fonts count="11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i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gray0625">
        <fgColor indexed="9"/>
        <bgColor indexed="9"/>
      </patternFill>
    </fill>
    <fill>
      <patternFill patternType="gray125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gray0625">
        <fgColor indexed="9"/>
        <bgColor indexed="4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98" fontId="5" fillId="2" borderId="0" applyNumberFormat="0" applyBorder="0">
      <alignment horizontal="center"/>
      <protection locked="0"/>
    </xf>
    <xf numFmtId="198" fontId="5" fillId="3" borderId="0" applyNumberFormat="0" applyBorder="0">
      <alignment horizontal="right"/>
      <protection locked="0"/>
    </xf>
  </cellStyleXfs>
  <cellXfs count="60">
    <xf numFmtId="0" fontId="0" fillId="0" borderId="0" xfId="0"/>
    <xf numFmtId="0" fontId="0" fillId="0" borderId="1" xfId="0" applyBorder="1"/>
    <xf numFmtId="174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0" fontId="2" fillId="0" borderId="0" xfId="0" applyFont="1" applyBorder="1" applyAlignment="1">
      <alignment vertical="top" wrapText="1"/>
    </xf>
    <xf numFmtId="174" fontId="0" fillId="0" borderId="0" xfId="0" applyNumberFormat="1" applyBorder="1"/>
    <xf numFmtId="0" fontId="0" fillId="0" borderId="0" xfId="0" applyFill="1" applyBorder="1"/>
    <xf numFmtId="0" fontId="4" fillId="0" borderId="1" xfId="0" applyFont="1" applyBorder="1"/>
    <xf numFmtId="174" fontId="0" fillId="0" borderId="0" xfId="0" applyNumberFormat="1" applyFill="1" applyBorder="1"/>
    <xf numFmtId="1" fontId="0" fillId="0" borderId="0" xfId="0" applyNumberFormat="1" applyBorder="1"/>
    <xf numFmtId="3" fontId="0" fillId="0" borderId="0" xfId="0" applyNumberFormat="1" applyBorder="1"/>
    <xf numFmtId="49" fontId="5" fillId="2" borderId="2" xfId="4" applyNumberFormat="1" applyBorder="1" applyAlignment="1">
      <alignment horizontal="centerContinuous" wrapText="1"/>
      <protection locked="0"/>
    </xf>
    <xf numFmtId="49" fontId="5" fillId="3" borderId="1" xfId="5" applyNumberFormat="1" applyBorder="1" applyAlignment="1">
      <alignment horizontal="centerContinuous" wrapText="1"/>
      <protection locked="0"/>
    </xf>
    <xf numFmtId="1" fontId="0" fillId="0" borderId="0" xfId="0" applyNumberFormat="1" applyFill="1" applyBorder="1"/>
    <xf numFmtId="4" fontId="0" fillId="0" borderId="0" xfId="0" applyNumberFormat="1" applyBorder="1"/>
    <xf numFmtId="0" fontId="0" fillId="4" borderId="0" xfId="0" applyFill="1" applyBorder="1"/>
    <xf numFmtId="49" fontId="5" fillId="5" borderId="3" xfId="4" applyNumberFormat="1" applyFill="1" applyBorder="1" applyAlignment="1">
      <alignment horizontal="center" wrapText="1"/>
      <protection locked="0"/>
    </xf>
    <xf numFmtId="0" fontId="0" fillId="0" borderId="2" xfId="0" applyBorder="1"/>
    <xf numFmtId="0" fontId="4" fillId="0" borderId="2" xfId="0" applyFont="1" applyBorder="1"/>
    <xf numFmtId="0" fontId="3" fillId="0" borderId="0" xfId="0" applyFont="1" applyBorder="1"/>
    <xf numFmtId="2" fontId="0" fillId="0" borderId="1" xfId="0" applyNumberFormat="1" applyBorder="1"/>
    <xf numFmtId="200" fontId="0" fillId="0" borderId="0" xfId="0" applyNumberFormat="1" applyBorder="1"/>
    <xf numFmtId="200" fontId="1" fillId="0" borderId="1" xfId="2" applyNumberFormat="1" applyBorder="1"/>
    <xf numFmtId="200" fontId="1" fillId="0" borderId="0" xfId="2" applyNumberFormat="1" applyBorder="1"/>
    <xf numFmtId="171" fontId="0" fillId="0" borderId="0" xfId="0" applyNumberFormat="1" applyBorder="1"/>
    <xf numFmtId="200" fontId="1" fillId="0" borderId="2" xfId="2" applyNumberFormat="1" applyBorder="1"/>
    <xf numFmtId="200" fontId="0" fillId="0" borderId="0" xfId="0" applyNumberFormat="1" applyFill="1" applyBorder="1"/>
    <xf numFmtId="171" fontId="0" fillId="0" borderId="0" xfId="0" applyNumberFormat="1" applyFill="1" applyBorder="1"/>
    <xf numFmtId="199" fontId="0" fillId="0" borderId="0" xfId="0" applyNumberFormat="1" applyBorder="1"/>
    <xf numFmtId="171" fontId="1" fillId="0" borderId="0" xfId="2" applyNumberFormat="1" applyBorder="1"/>
    <xf numFmtId="0" fontId="6" fillId="0" borderId="0" xfId="0" applyFont="1" applyFill="1" applyBorder="1"/>
    <xf numFmtId="9" fontId="0" fillId="0" borderId="0" xfId="3" applyFont="1" applyBorder="1"/>
    <xf numFmtId="0" fontId="0" fillId="0" borderId="0" xfId="0" applyNumberFormat="1" applyBorder="1"/>
    <xf numFmtId="200" fontId="0" fillId="0" borderId="1" xfId="0" applyNumberFormat="1" applyBorder="1"/>
    <xf numFmtId="203" fontId="0" fillId="0" borderId="0" xfId="0" applyNumberFormat="1" applyBorder="1"/>
    <xf numFmtId="0" fontId="1" fillId="0" borderId="1" xfId="0" applyFont="1" applyBorder="1"/>
    <xf numFmtId="181" fontId="0" fillId="0" borderId="1" xfId="3" applyNumberFormat="1" applyFont="1" applyBorder="1"/>
    <xf numFmtId="204" fontId="1" fillId="0" borderId="1" xfId="0" applyNumberFormat="1" applyFont="1" applyBorder="1"/>
    <xf numFmtId="204" fontId="0" fillId="0" borderId="1" xfId="0" applyNumberFormat="1" applyBorder="1"/>
    <xf numFmtId="0" fontId="0" fillId="0" borderId="4" xfId="0" applyBorder="1"/>
    <xf numFmtId="0" fontId="0" fillId="0" borderId="5" xfId="0" applyBorder="1"/>
    <xf numFmtId="204" fontId="1" fillId="0" borderId="1" xfId="0" applyNumberFormat="1" applyFont="1" applyFill="1" applyBorder="1"/>
    <xf numFmtId="0" fontId="6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wrapText="1" shrinkToFit="1"/>
    </xf>
    <xf numFmtId="0" fontId="7" fillId="0" borderId="1" xfId="0" applyFont="1" applyBorder="1" applyAlignment="1">
      <alignment horizontal="center" wrapText="1" shrinkToFit="1"/>
    </xf>
    <xf numFmtId="0" fontId="0" fillId="0" borderId="1" xfId="0" applyBorder="1" applyAlignment="1">
      <alignment shrinkToFit="1"/>
    </xf>
    <xf numFmtId="0" fontId="7" fillId="0" borderId="1" xfId="0" applyFont="1" applyFill="1" applyBorder="1" applyAlignment="1">
      <alignment horizontal="center" wrapText="1" shrinkToFit="1"/>
    </xf>
    <xf numFmtId="0" fontId="1" fillId="0" borderId="1" xfId="0" applyFont="1" applyBorder="1" applyAlignment="1">
      <alignment wrapText="1"/>
    </xf>
    <xf numFmtId="0" fontId="0" fillId="0" borderId="8" xfId="0" applyFill="1" applyBorder="1"/>
    <xf numFmtId="2" fontId="0" fillId="0" borderId="0" xfId="0" applyNumberFormat="1"/>
    <xf numFmtId="171" fontId="1" fillId="0" borderId="2" xfId="2" applyNumberFormat="1" applyBorder="1"/>
    <xf numFmtId="181" fontId="0" fillId="0" borderId="4" xfId="3" applyNumberFormat="1" applyFont="1" applyBorder="1" applyAlignment="1">
      <alignment horizontal="center"/>
    </xf>
    <xf numFmtId="181" fontId="0" fillId="0" borderId="5" xfId="3" applyNumberFormat="1" applyFont="1" applyBorder="1" applyAlignment="1">
      <alignment horizontal="center"/>
    </xf>
    <xf numFmtId="204" fontId="0" fillId="0" borderId="4" xfId="0" applyNumberFormat="1" applyBorder="1" applyAlignment="1">
      <alignment horizontal="center"/>
    </xf>
    <xf numFmtId="20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Comma" xfId="2" builtinId="3"/>
    <cellStyle name="Euro" xfId="1"/>
    <cellStyle name="Normal" xfId="0" builtinId="0"/>
    <cellStyle name="Percent" xfId="3" builtinId="5"/>
    <cellStyle name="Titre colonnes" xfId="4"/>
    <cellStyle name="Total" xfId="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22870066929996E-2"/>
          <c:y val="6.8607138252763475E-2"/>
          <c:w val="0.82373595789867471"/>
          <c:h val="0.81289063808577322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'estimation du parc'!$R$58:$AD$58</c:f>
              <c:numCache>
                <c:formatCode>General</c:formatCode>
                <c:ptCount val="13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</c:numCache>
            </c:numRef>
          </c:xVal>
          <c:yVal>
            <c:numRef>
              <c:f>'estimation du parc'!$R$60:$AD$60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5">
                  <c:v>15.87</c:v>
                </c:pt>
                <c:pt idx="6">
                  <c:v>28.77</c:v>
                </c:pt>
                <c:pt idx="7">
                  <c:v>42.58</c:v>
                </c:pt>
                <c:pt idx="8">
                  <c:v>57.19</c:v>
                </c:pt>
                <c:pt idx="9">
                  <c:v>75.289999999999992</c:v>
                </c:pt>
                <c:pt idx="10">
                  <c:v>89.289999999999992</c:v>
                </c:pt>
                <c:pt idx="11">
                  <c:v>98.289999999999992</c:v>
                </c:pt>
                <c:pt idx="12">
                  <c:v>100.28999999999999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414528"/>
        <c:axId val="391416448"/>
      </c:scatterChart>
      <c:valAx>
        <c:axId val="39141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391416448"/>
        <c:crosses val="autoZero"/>
        <c:crossBetween val="midCat"/>
      </c:valAx>
      <c:valAx>
        <c:axId val="391416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NL"/>
          </a:p>
        </c:txPr>
        <c:crossAx val="3914145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42615558060879"/>
          <c:y val="0.44623773058880045"/>
          <c:w val="8.6809470124013535E-2"/>
          <c:h val="5.64517610985831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NL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65</xdr:row>
      <xdr:rowOff>28575</xdr:rowOff>
    </xdr:from>
    <xdr:to>
      <xdr:col>29</xdr:col>
      <xdr:colOff>200025</xdr:colOff>
      <xdr:row>85</xdr:row>
      <xdr:rowOff>171450</xdr:rowOff>
    </xdr:to>
    <xdr:graphicFrame macro="">
      <xdr:nvGraphicFramePr>
        <xdr:cNvPr id="18442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eme.intra\PARIS$\SERVICES\SEP\callonnecg\mod&#233;lisation%20&#233;quilibre%20g&#233;n&#233;ral\contrat%20OFCE\rapport\bases%20ADEMEthreeme\simulation%20bonus%20malusv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as sob aux prix relatif"/>
      <sheetName val="modèle élasticités 2009"/>
      <sheetName val="modèle élasticités 2010 (2)"/>
      <sheetName val="modèle élasticités 2010"/>
      <sheetName val="bilan budg élasticité"/>
      <sheetName val=" mises à la casse 2009"/>
      <sheetName val="base"/>
      <sheetName val="Feuil2"/>
      <sheetName val="barème"/>
      <sheetName val="mise à la casse"/>
      <sheetName val="modèle élasticités 2011"/>
      <sheetName val=" ventes 2009"/>
      <sheetName val="immatriculations"/>
      <sheetName val="parc"/>
      <sheetName val="Feuil1"/>
      <sheetName val="modèle élasticités 2010 (3)"/>
      <sheetName val="modèle élasticités 2010 (4)"/>
      <sheetName val="calibrage 2007-20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7">
          <cell r="N37">
            <v>2064544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G11"/>
    </sheetView>
  </sheetViews>
  <sheetFormatPr defaultRowHeight="12.75" x14ac:dyDescent="0.2"/>
  <cols>
    <col min="1" max="256" width="11.42578125" customWidth="1"/>
  </cols>
  <sheetData>
    <row r="1" spans="1:9" ht="60" x14ac:dyDescent="0.2">
      <c r="A1" s="46" t="s">
        <v>101</v>
      </c>
      <c r="B1" s="47" t="s">
        <v>84</v>
      </c>
      <c r="C1" s="48" t="s">
        <v>85</v>
      </c>
      <c r="D1" s="47" t="s">
        <v>86</v>
      </c>
      <c r="E1" s="49" t="s">
        <v>87</v>
      </c>
      <c r="F1" s="47" t="s">
        <v>88</v>
      </c>
      <c r="G1" s="49" t="s">
        <v>89</v>
      </c>
      <c r="H1" s="50" t="s">
        <v>108</v>
      </c>
      <c r="I1" s="49" t="s">
        <v>90</v>
      </c>
    </row>
    <row r="2" spans="1:9" x14ac:dyDescent="0.2">
      <c r="A2" s="44" t="s">
        <v>102</v>
      </c>
      <c r="B2" s="1" t="s">
        <v>91</v>
      </c>
      <c r="C2" s="1">
        <v>0</v>
      </c>
      <c r="D2" s="1"/>
      <c r="E2" s="1"/>
      <c r="F2" s="36"/>
      <c r="G2" s="56">
        <f>F3</f>
        <v>13668.2563791009</v>
      </c>
      <c r="H2" s="1"/>
      <c r="I2" s="1"/>
    </row>
    <row r="3" spans="1:9" x14ac:dyDescent="0.2">
      <c r="A3" s="45" t="s">
        <v>0</v>
      </c>
      <c r="B3" s="1" t="s">
        <v>92</v>
      </c>
      <c r="C3" s="1">
        <v>90</v>
      </c>
      <c r="D3" s="37">
        <v>8.1442876911453415E-5</v>
      </c>
      <c r="E3" s="2">
        <f>D3*[1]immatriculations!$N$37</f>
        <v>168.14240287027968</v>
      </c>
      <c r="F3" s="38">
        <v>13668.2563791009</v>
      </c>
      <c r="G3" s="57"/>
      <c r="H3" s="3">
        <v>1000</v>
      </c>
      <c r="I3" s="37">
        <f>H3/G2</f>
        <v>7.3162221446842673E-2</v>
      </c>
    </row>
    <row r="4" spans="1:9" x14ac:dyDescent="0.2">
      <c r="A4" s="18" t="s">
        <v>1</v>
      </c>
      <c r="B4" s="1" t="s">
        <v>93</v>
      </c>
      <c r="C4" s="1">
        <v>114</v>
      </c>
      <c r="D4" s="37">
        <v>0.19449286174998928</v>
      </c>
      <c r="E4" s="2">
        <f>D4*[1]immatriculations!$N$37</f>
        <v>401539.07076876989</v>
      </c>
      <c r="F4" s="38">
        <v>15532.802383247699</v>
      </c>
      <c r="G4" s="39">
        <f>F4</f>
        <v>15532.802383247699</v>
      </c>
      <c r="H4" s="1">
        <v>700</v>
      </c>
      <c r="I4" s="37">
        <f t="shared" ref="I4:I11" si="0">H4/G4</f>
        <v>4.5065918095691333E-2</v>
      </c>
    </row>
    <row r="5" spans="1:9" x14ac:dyDescent="0.2">
      <c r="A5" s="44" t="s">
        <v>103</v>
      </c>
      <c r="B5" s="1" t="s">
        <v>94</v>
      </c>
      <c r="C5" s="1">
        <v>126</v>
      </c>
      <c r="D5" s="37">
        <v>0.10038998049006796</v>
      </c>
      <c r="E5" s="2">
        <f>D5*[1]immatriculations!$N$37</f>
        <v>207259.53188088688</v>
      </c>
      <c r="F5" s="38">
        <v>18392.3851397055</v>
      </c>
      <c r="G5" s="56">
        <f>SUMPRODUCT(F5:F6,E5:E6)/SUM(E5:E6)</f>
        <v>18419.001617685652</v>
      </c>
      <c r="H5" s="58">
        <v>200</v>
      </c>
      <c r="I5" s="54">
        <f>H5/G5</f>
        <v>1.0858351834225529E-2</v>
      </c>
    </row>
    <row r="6" spans="1:9" x14ac:dyDescent="0.2">
      <c r="A6" s="41" t="s">
        <v>104</v>
      </c>
      <c r="B6" s="1" t="s">
        <v>95</v>
      </c>
      <c r="C6" s="1">
        <v>135</v>
      </c>
      <c r="D6" s="37">
        <v>0.22105923733108784</v>
      </c>
      <c r="E6" s="2">
        <f>D6*[1]immatriculations!$N$37</f>
        <v>456386.5220764734</v>
      </c>
      <c r="F6" s="38">
        <v>18431.089000856799</v>
      </c>
      <c r="G6" s="57"/>
      <c r="H6" s="59"/>
      <c r="I6" s="55"/>
    </row>
    <row r="7" spans="1:9" x14ac:dyDescent="0.2">
      <c r="A7" s="1" t="s">
        <v>3</v>
      </c>
      <c r="B7" s="1" t="s">
        <v>96</v>
      </c>
      <c r="C7" s="1">
        <v>150</v>
      </c>
      <c r="D7" s="37">
        <v>0.24019395039401625</v>
      </c>
      <c r="E7" s="2">
        <f>D7*[1]immatriculations!$N$37</f>
        <v>495890.9791222639</v>
      </c>
      <c r="F7" s="42">
        <v>21105</v>
      </c>
      <c r="G7" s="39">
        <f>F7</f>
        <v>21105</v>
      </c>
      <c r="H7" s="1">
        <v>0</v>
      </c>
      <c r="I7" s="37">
        <f t="shared" si="0"/>
        <v>0</v>
      </c>
    </row>
    <row r="8" spans="1:9" x14ac:dyDescent="0.2">
      <c r="A8" s="40" t="s">
        <v>105</v>
      </c>
      <c r="B8" s="1" t="s">
        <v>97</v>
      </c>
      <c r="C8" s="1">
        <v>164</v>
      </c>
      <c r="D8" s="37">
        <v>3.412529259444283E-2</v>
      </c>
      <c r="E8" s="2">
        <f>D8*[1]immatriculations!$N$37</f>
        <v>70453.168074101384</v>
      </c>
      <c r="F8" s="42">
        <v>23616</v>
      </c>
      <c r="G8" s="56">
        <f>SUMPRODUCT(F8:F9,E8:E9)/SUM(E8:E9)</f>
        <v>29406.158549137424</v>
      </c>
      <c r="H8" s="58">
        <v>-475</v>
      </c>
      <c r="I8" s="54">
        <f>H8/G8</f>
        <v>-1.6153078927540955E-2</v>
      </c>
    </row>
    <row r="9" spans="1:9" x14ac:dyDescent="0.2">
      <c r="A9" s="41" t="s">
        <v>106</v>
      </c>
      <c r="B9" s="1" t="s">
        <v>98</v>
      </c>
      <c r="C9" s="1">
        <v>180</v>
      </c>
      <c r="D9" s="37">
        <v>0.14752359116548391</v>
      </c>
      <c r="E9" s="2">
        <f>D9*[1]immatriculations!$N$37</f>
        <v>304568.94499915279</v>
      </c>
      <c r="F9" s="38">
        <v>30745.5433424203</v>
      </c>
      <c r="G9" s="57"/>
      <c r="H9" s="59"/>
      <c r="I9" s="55"/>
    </row>
    <row r="10" spans="1:9" x14ac:dyDescent="0.2">
      <c r="A10" s="1" t="s">
        <v>5</v>
      </c>
      <c r="B10" s="1" t="s">
        <v>99</v>
      </c>
      <c r="C10" s="1">
        <v>225</v>
      </c>
      <c r="D10" s="37">
        <v>4.6690765032209931E-2</v>
      </c>
      <c r="E10" s="2">
        <f>D10*[1]immatriculations!$N$37</f>
        <v>96395.138802658825</v>
      </c>
      <c r="F10" s="38">
        <v>41763.224920702603</v>
      </c>
      <c r="G10" s="39">
        <f>F10</f>
        <v>41763.224920702603</v>
      </c>
      <c r="H10" s="1">
        <v>-1600</v>
      </c>
      <c r="I10" s="37">
        <f t="shared" si="0"/>
        <v>-3.8311217657112921E-2</v>
      </c>
    </row>
    <row r="11" spans="1:9" x14ac:dyDescent="0.2">
      <c r="A11" s="1" t="s">
        <v>6</v>
      </c>
      <c r="B11" s="1" t="s">
        <v>100</v>
      </c>
      <c r="C11" s="1">
        <v>268</v>
      </c>
      <c r="D11" s="37">
        <v>1.54428783657905E-2</v>
      </c>
      <c r="E11" s="2">
        <f>D11*[1]immatriculations!$N$37</f>
        <v>31882.501872822584</v>
      </c>
      <c r="F11" s="38">
        <v>55177.635658914704</v>
      </c>
      <c r="G11" s="39">
        <f>F11</f>
        <v>55177.635658914704</v>
      </c>
      <c r="H11" s="1">
        <v>-2600</v>
      </c>
      <c r="I11" s="37">
        <f t="shared" si="0"/>
        <v>-4.7120540214374597E-2</v>
      </c>
    </row>
    <row r="12" spans="1:9" x14ac:dyDescent="0.2">
      <c r="A12" s="43" t="s">
        <v>107</v>
      </c>
      <c r="B12" s="43"/>
      <c r="C12" s="1">
        <v>147.49565116852352</v>
      </c>
      <c r="D12" s="37">
        <f>SUM(D3:D11)</f>
        <v>1</v>
      </c>
      <c r="E12" s="2">
        <f>D12*[1]immatriculations!$N$37</f>
        <v>2064544</v>
      </c>
    </row>
  </sheetData>
  <mergeCells count="7">
    <mergeCell ref="I5:I6"/>
    <mergeCell ref="G8:G9"/>
    <mergeCell ref="H8:H9"/>
    <mergeCell ref="I8:I9"/>
    <mergeCell ref="G2:G3"/>
    <mergeCell ref="G5:G6"/>
    <mergeCell ref="H5:H6"/>
  </mergeCells>
  <phoneticPr fontId="1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B17" workbookViewId="0">
      <selection activeCell="D25" sqref="D25"/>
    </sheetView>
  </sheetViews>
  <sheetFormatPr defaultRowHeight="12.75" x14ac:dyDescent="0.2"/>
  <cols>
    <col min="1" max="3" width="11.42578125" customWidth="1"/>
    <col min="4" max="4" width="15.42578125" bestFit="1" customWidth="1"/>
    <col min="5" max="5" width="11.42578125" customWidth="1"/>
    <col min="6" max="6" width="14.5703125" customWidth="1"/>
    <col min="7" max="256" width="11.42578125" customWidth="1"/>
  </cols>
  <sheetData>
    <row r="1" spans="1:11" x14ac:dyDescent="0.2">
      <c r="A1" t="s">
        <v>109</v>
      </c>
    </row>
    <row r="4" spans="1:11" x14ac:dyDescent="0.2">
      <c r="A4" s="7" t="s">
        <v>64</v>
      </c>
      <c r="B4" s="18" t="s">
        <v>11</v>
      </c>
      <c r="C4" s="18"/>
      <c r="D4" s="1" t="s">
        <v>73</v>
      </c>
      <c r="E4" s="51" t="s">
        <v>110</v>
      </c>
      <c r="F4" s="51" t="s">
        <v>111</v>
      </c>
    </row>
    <row r="5" spans="1:11" x14ac:dyDescent="0.2">
      <c r="A5" s="7" t="s">
        <v>0</v>
      </c>
      <c r="B5" s="18">
        <v>100</v>
      </c>
      <c r="C5" s="18"/>
      <c r="D5" s="23">
        <f>'estimation du parc'!C117</f>
        <v>2076.1772000000001</v>
      </c>
      <c r="E5">
        <f>13668</f>
        <v>13668</v>
      </c>
      <c r="F5">
        <f>E35</f>
        <v>9.5536601586236536</v>
      </c>
    </row>
    <row r="6" spans="1:11" x14ac:dyDescent="0.2">
      <c r="A6" s="7" t="s">
        <v>1</v>
      </c>
      <c r="B6" s="18">
        <v>120</v>
      </c>
      <c r="C6" s="18"/>
      <c r="D6" s="23">
        <f>'estimation du parc'!C118</f>
        <v>1547171.3665000002</v>
      </c>
      <c r="E6">
        <v>15533</v>
      </c>
      <c r="F6">
        <f>F35</f>
        <v>8090.8502406099215</v>
      </c>
    </row>
    <row r="7" spans="1:11" x14ac:dyDescent="0.2">
      <c r="A7" s="7" t="s">
        <v>2</v>
      </c>
      <c r="B7" s="18">
        <v>140</v>
      </c>
      <c r="C7" s="18"/>
      <c r="D7" s="23">
        <f>'estimation du parc'!C119</f>
        <v>3662052.6360903136</v>
      </c>
      <c r="E7">
        <v>18419</v>
      </c>
      <c r="F7">
        <f>G35</f>
        <v>22708.635068736388</v>
      </c>
    </row>
    <row r="8" spans="1:11" x14ac:dyDescent="0.2">
      <c r="A8" s="7" t="s">
        <v>3</v>
      </c>
      <c r="B8" s="18">
        <v>160</v>
      </c>
      <c r="C8" s="18"/>
      <c r="D8" s="23">
        <f>'estimation du parc'!C120</f>
        <v>5126864.9007096859</v>
      </c>
      <c r="E8">
        <v>21105</v>
      </c>
      <c r="F8">
        <f>H35</f>
        <v>36428.193171270817</v>
      </c>
    </row>
    <row r="9" spans="1:11" x14ac:dyDescent="0.2">
      <c r="A9" s="7" t="s">
        <v>4</v>
      </c>
      <c r="B9" s="18">
        <v>200</v>
      </c>
      <c r="C9" s="18"/>
      <c r="D9" s="23">
        <f>'estimation du parc'!C121</f>
        <v>13309296.5231</v>
      </c>
      <c r="E9">
        <v>29406</v>
      </c>
      <c r="F9">
        <f>I35</f>
        <v>131762.38730414829</v>
      </c>
    </row>
    <row r="10" spans="1:11" x14ac:dyDescent="0.2">
      <c r="A10" s="7" t="s">
        <v>5</v>
      </c>
      <c r="B10" s="18">
        <v>250</v>
      </c>
      <c r="C10" s="18"/>
      <c r="D10" s="23">
        <f>'estimation du parc'!C122</f>
        <v>4694550.9084999999</v>
      </c>
      <c r="E10">
        <v>41763</v>
      </c>
      <c r="F10">
        <f>J35</f>
        <v>66006.414480257474</v>
      </c>
    </row>
    <row r="11" spans="1:11" x14ac:dyDescent="0.2">
      <c r="A11" s="7" t="s">
        <v>6</v>
      </c>
      <c r="B11" s="19">
        <v>475</v>
      </c>
      <c r="C11" s="19"/>
      <c r="D11" s="23">
        <f>'estimation du parc'!C123</f>
        <v>2150955.4879000001</v>
      </c>
      <c r="E11">
        <v>55178</v>
      </c>
      <c r="F11">
        <f>K35</f>
        <v>39957.451317011088</v>
      </c>
    </row>
    <row r="12" spans="1:11" x14ac:dyDescent="0.2">
      <c r="A12" s="4"/>
      <c r="B12" s="4"/>
      <c r="C12" s="4"/>
      <c r="D12" s="23">
        <f>SUM(D5:D11)</f>
        <v>30492968</v>
      </c>
      <c r="F12">
        <f>SUM(F5:F11)</f>
        <v>304963.48524219263</v>
      </c>
    </row>
    <row r="16" spans="1:11" x14ac:dyDescent="0.2">
      <c r="D16" t="s">
        <v>113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</row>
    <row r="17" spans="1:11" x14ac:dyDescent="0.2">
      <c r="D17" t="s">
        <v>112</v>
      </c>
      <c r="E17">
        <v>2076.1772000000001</v>
      </c>
      <c r="F17">
        <v>1547171.3665000002</v>
      </c>
      <c r="G17">
        <v>3662052.6360903136</v>
      </c>
      <c r="H17">
        <v>5126864.9007096859</v>
      </c>
      <c r="I17">
        <v>13309296.5231</v>
      </c>
      <c r="J17">
        <v>4694550.9084999999</v>
      </c>
      <c r="K17">
        <v>2150955.4879000001</v>
      </c>
    </row>
    <row r="18" spans="1:11" x14ac:dyDescent="0.2">
      <c r="D18" t="s">
        <v>110</v>
      </c>
      <c r="E18">
        <v>13668</v>
      </c>
      <c r="F18">
        <v>15533</v>
      </c>
      <c r="G18">
        <v>18419</v>
      </c>
      <c r="H18">
        <v>21105</v>
      </c>
      <c r="I18">
        <v>29406</v>
      </c>
      <c r="J18">
        <v>41763</v>
      </c>
      <c r="K18">
        <v>55178</v>
      </c>
    </row>
    <row r="19" spans="1:11" x14ac:dyDescent="0.2"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  <c r="K19" t="s">
        <v>6</v>
      </c>
    </row>
    <row r="20" spans="1:11" x14ac:dyDescent="0.2">
      <c r="A20">
        <v>1</v>
      </c>
      <c r="B20">
        <f>A20/15</f>
        <v>6.6666666666666666E-2</v>
      </c>
      <c r="C20" s="52">
        <f>1-D20/$D$20</f>
        <v>0</v>
      </c>
      <c r="D20">
        <v>15</v>
      </c>
      <c r="E20">
        <f>1/$A$34*E$18*E$17*(1-E$16)*(1-$D20/$D$20)/((1+0.02)^$D20)</f>
        <v>0</v>
      </c>
      <c r="F20">
        <f t="shared" ref="F20:K20" si="0">1/$A$34*F$18*F$17*(1-F$16)*(1-$D20/$D$20)/((1+0.02)^$D20)</f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</row>
    <row r="21" spans="1:11" x14ac:dyDescent="0.2">
      <c r="A21">
        <f>A20+1</f>
        <v>2</v>
      </c>
      <c r="B21">
        <f>A21/15</f>
        <v>0.13333333333333333</v>
      </c>
      <c r="C21" s="52">
        <f t="shared" ref="C21:C34" si="1">1-D21/$D$20</f>
        <v>6.6666666666666652E-2</v>
      </c>
      <c r="D21">
        <f>D20-1</f>
        <v>14</v>
      </c>
      <c r="E21">
        <f>1/$A$34*E$18*E$17*(1-E$16)*(1-$D21/$D$20)/((1+0.02)^$D21)</f>
        <v>76467.07038562544</v>
      </c>
      <c r="F21">
        <f t="shared" ref="E21:K34" si="2">1/$A$34*F$18*F$17*(1-F$16)*(1-$D21/$D$20)/((1+0.02)^$D21)</f>
        <v>64758804.956005879</v>
      </c>
      <c r="G21">
        <f t="shared" si="2"/>
        <v>181758903.63811207</v>
      </c>
      <c r="H21">
        <f t="shared" si="2"/>
        <v>291569635.6159718</v>
      </c>
      <c r="I21">
        <f t="shared" si="2"/>
        <v>1054620279.2308524</v>
      </c>
      <c r="J21">
        <f t="shared" si="2"/>
        <v>528312401.54681772</v>
      </c>
      <c r="K21">
        <f t="shared" si="2"/>
        <v>319817660.61985064</v>
      </c>
    </row>
    <row r="22" spans="1:11" x14ac:dyDescent="0.2">
      <c r="A22">
        <f t="shared" ref="A22:A34" si="3">A21+1</f>
        <v>3</v>
      </c>
      <c r="B22">
        <f t="shared" ref="B22:B33" si="4">A22/15</f>
        <v>0.2</v>
      </c>
      <c r="C22" s="52">
        <f t="shared" si="1"/>
        <v>0.1333333333333333</v>
      </c>
      <c r="D22">
        <f t="shared" ref="D22:D34" si="5">D21-1</f>
        <v>13</v>
      </c>
      <c r="E22">
        <f>1/$A$34*E$18*E$17*(1-E$16)*(1-$D22/$D$20)/((1+0.02)^$D22)</f>
        <v>155992.82358667592</v>
      </c>
      <c r="F22">
        <f t="shared" si="2"/>
        <v>132107962.11025201</v>
      </c>
      <c r="G22">
        <f t="shared" si="2"/>
        <v>370788163.42174864</v>
      </c>
      <c r="H22">
        <f t="shared" si="2"/>
        <v>594802056.65658247</v>
      </c>
      <c r="I22">
        <f t="shared" si="2"/>
        <v>2151425369.630939</v>
      </c>
      <c r="J22">
        <f t="shared" si="2"/>
        <v>1077757299.1555083</v>
      </c>
      <c r="K22">
        <f t="shared" si="2"/>
        <v>652428027.66449535</v>
      </c>
    </row>
    <row r="23" spans="1:11" x14ac:dyDescent="0.2">
      <c r="A23">
        <f t="shared" si="3"/>
        <v>4</v>
      </c>
      <c r="B23">
        <f t="shared" si="4"/>
        <v>0.26666666666666666</v>
      </c>
      <c r="C23" s="52">
        <f t="shared" si="1"/>
        <v>0.19999999999999996</v>
      </c>
      <c r="D23">
        <f t="shared" si="5"/>
        <v>12</v>
      </c>
      <c r="E23">
        <f t="shared" si="2"/>
        <v>238669.0200876141</v>
      </c>
      <c r="F23">
        <f>1/$A$34*F$18*F$17*(1-F$16)*(1-$D23/$D$20)/((1+0.02)^$D23)</f>
        <v>202125182.02868554</v>
      </c>
      <c r="G23">
        <f t="shared" si="2"/>
        <v>567305890.03527546</v>
      </c>
      <c r="H23">
        <f t="shared" si="2"/>
        <v>910047146.68457115</v>
      </c>
      <c r="I23">
        <f t="shared" si="2"/>
        <v>3291680815.535336</v>
      </c>
      <c r="J23">
        <f t="shared" si="2"/>
        <v>1648968667.7079277</v>
      </c>
      <c r="K23">
        <f t="shared" si="2"/>
        <v>998214882.32667792</v>
      </c>
    </row>
    <row r="24" spans="1:11" x14ac:dyDescent="0.2">
      <c r="A24">
        <f t="shared" si="3"/>
        <v>5</v>
      </c>
      <c r="B24">
        <f t="shared" si="4"/>
        <v>0.33333333333333331</v>
      </c>
      <c r="C24" s="52">
        <f t="shared" si="1"/>
        <v>0.26666666666666672</v>
      </c>
      <c r="D24">
        <f t="shared" si="5"/>
        <v>11</v>
      </c>
      <c r="E24">
        <f t="shared" si="2"/>
        <v>324589.86731915543</v>
      </c>
      <c r="F24">
        <f t="shared" si="2"/>
        <v>274890247.55901253</v>
      </c>
      <c r="G24">
        <f t="shared" si="2"/>
        <v>771536010.44797504</v>
      </c>
      <c r="H24">
        <f t="shared" si="2"/>
        <v>1237664119.4910173</v>
      </c>
      <c r="I24">
        <f t="shared" si="2"/>
        <v>4476685909.1280603</v>
      </c>
      <c r="J24">
        <f t="shared" si="2"/>
        <v>2242597388.0827832</v>
      </c>
      <c r="K24">
        <f t="shared" si="2"/>
        <v>1357572239.9642828</v>
      </c>
    </row>
    <row r="25" spans="1:11" x14ac:dyDescent="0.2">
      <c r="A25">
        <f t="shared" si="3"/>
        <v>6</v>
      </c>
      <c r="B25">
        <f t="shared" si="4"/>
        <v>0.4</v>
      </c>
      <c r="C25" s="52">
        <f t="shared" si="1"/>
        <v>0.33333333333333337</v>
      </c>
      <c r="D25">
        <f t="shared" si="5"/>
        <v>10</v>
      </c>
      <c r="E25">
        <f t="shared" si="2"/>
        <v>413852.080831923</v>
      </c>
      <c r="F25">
        <f t="shared" si="2"/>
        <v>350485065.63774085</v>
      </c>
      <c r="G25">
        <f t="shared" si="2"/>
        <v>983708413.32116783</v>
      </c>
      <c r="H25">
        <f t="shared" si="2"/>
        <v>1578021752.3510468</v>
      </c>
      <c r="I25">
        <f t="shared" si="2"/>
        <v>5707774534.1382751</v>
      </c>
      <c r="J25">
        <f t="shared" si="2"/>
        <v>2859311669.8055472</v>
      </c>
      <c r="K25">
        <f t="shared" si="2"/>
        <v>1730904605.9544601</v>
      </c>
    </row>
    <row r="26" spans="1:11" x14ac:dyDescent="0.2">
      <c r="A26">
        <f t="shared" si="3"/>
        <v>7</v>
      </c>
      <c r="B26">
        <f t="shared" si="4"/>
        <v>0.46666666666666667</v>
      </c>
      <c r="C26" s="52">
        <f t="shared" si="1"/>
        <v>0.4</v>
      </c>
      <c r="D26">
        <f t="shared" si="5"/>
        <v>9</v>
      </c>
      <c r="E26">
        <f t="shared" si="2"/>
        <v>506554.94693827379</v>
      </c>
      <c r="F26">
        <f t="shared" si="2"/>
        <v>428993720.34059477</v>
      </c>
      <c r="G26">
        <f t="shared" si="2"/>
        <v>1204059097.9051094</v>
      </c>
      <c r="H26">
        <f t="shared" si="2"/>
        <v>1931498624.8776813</v>
      </c>
      <c r="I26">
        <f t="shared" si="2"/>
        <v>6986316029.7852488</v>
      </c>
      <c r="J26">
        <f t="shared" si="2"/>
        <v>3499797483.84199</v>
      </c>
      <c r="K26">
        <f t="shared" si="2"/>
        <v>2118627237.6882589</v>
      </c>
    </row>
    <row r="27" spans="1:11" x14ac:dyDescent="0.2">
      <c r="A27">
        <f t="shared" si="3"/>
        <v>8</v>
      </c>
      <c r="B27">
        <f t="shared" si="4"/>
        <v>0.53333333333333333</v>
      </c>
      <c r="C27" s="52">
        <f t="shared" si="1"/>
        <v>0.46666666666666667</v>
      </c>
      <c r="D27">
        <f t="shared" si="5"/>
        <v>8</v>
      </c>
      <c r="E27">
        <f t="shared" si="2"/>
        <v>602800.38685654581</v>
      </c>
      <c r="F27">
        <f t="shared" si="2"/>
        <v>510502527.20530778</v>
      </c>
      <c r="G27">
        <f t="shared" si="2"/>
        <v>1432830326.5070803</v>
      </c>
      <c r="H27">
        <f t="shared" si="2"/>
        <v>2298483363.6044407</v>
      </c>
      <c r="I27">
        <f t="shared" si="2"/>
        <v>8313716075.4444456</v>
      </c>
      <c r="J27">
        <f t="shared" si="2"/>
        <v>4164759005.7719679</v>
      </c>
      <c r="K27">
        <f t="shared" si="2"/>
        <v>2521166412.8490281</v>
      </c>
    </row>
    <row r="28" spans="1:11" x14ac:dyDescent="0.2">
      <c r="A28">
        <f t="shared" si="3"/>
        <v>9</v>
      </c>
      <c r="B28">
        <f t="shared" si="4"/>
        <v>0.6</v>
      </c>
      <c r="C28" s="52">
        <f t="shared" si="1"/>
        <v>0.53333333333333333</v>
      </c>
      <c r="D28">
        <f t="shared" si="5"/>
        <v>7</v>
      </c>
      <c r="E28">
        <f t="shared" si="2"/>
        <v>702693.02239277342</v>
      </c>
      <c r="F28">
        <f t="shared" si="2"/>
        <v>595100088.85647309</v>
      </c>
      <c r="G28">
        <f t="shared" si="2"/>
        <v>1670270780.6139679</v>
      </c>
      <c r="H28">
        <f t="shared" si="2"/>
        <v>2679374892.4303193</v>
      </c>
      <c r="I28">
        <f t="shared" si="2"/>
        <v>9691417596.5180969</v>
      </c>
      <c r="J28">
        <f t="shared" si="2"/>
        <v>4854919069.5856094</v>
      </c>
      <c r="K28">
        <f t="shared" si="2"/>
        <v>2938959704.1211534</v>
      </c>
    </row>
    <row r="29" spans="1:11" x14ac:dyDescent="0.2">
      <c r="A29">
        <f t="shared" si="3"/>
        <v>10</v>
      </c>
      <c r="B29">
        <f t="shared" si="4"/>
        <v>0.66666666666666663</v>
      </c>
      <c r="C29" s="52">
        <f t="shared" si="1"/>
        <v>0.6</v>
      </c>
      <c r="D29">
        <f t="shared" si="5"/>
        <v>6</v>
      </c>
      <c r="E29">
        <f t="shared" si="2"/>
        <v>806340.24319570733</v>
      </c>
      <c r="F29">
        <f t="shared" si="2"/>
        <v>682877351.96280265</v>
      </c>
      <c r="G29">
        <f t="shared" si="2"/>
        <v>1916635720.7545278</v>
      </c>
      <c r="H29">
        <f t="shared" si="2"/>
        <v>3074582689.0637908</v>
      </c>
      <c r="I29">
        <f t="shared" si="2"/>
        <v>11120901692.004515</v>
      </c>
      <c r="J29">
        <f t="shared" si="2"/>
        <v>5571019632.3494844</v>
      </c>
      <c r="K29">
        <f t="shared" si="2"/>
        <v>3372456260.4790225</v>
      </c>
    </row>
    <row r="30" spans="1:11" x14ac:dyDescent="0.2">
      <c r="A30">
        <f t="shared" si="3"/>
        <v>11</v>
      </c>
      <c r="B30">
        <f t="shared" si="4"/>
        <v>0.73333333333333328</v>
      </c>
      <c r="C30" s="52">
        <f t="shared" si="1"/>
        <v>0.66666666666666674</v>
      </c>
      <c r="D30">
        <f t="shared" si="5"/>
        <v>5</v>
      </c>
      <c r="E30">
        <f t="shared" si="2"/>
        <v>913852.27562180173</v>
      </c>
      <c r="F30">
        <f t="shared" si="2"/>
        <v>773927665.55784321</v>
      </c>
      <c r="G30">
        <f t="shared" si="2"/>
        <v>2172187150.1884651</v>
      </c>
      <c r="H30">
        <f t="shared" si="2"/>
        <v>3484527047.6056304</v>
      </c>
      <c r="I30">
        <f t="shared" si="2"/>
        <v>12603688584.271784</v>
      </c>
      <c r="J30">
        <f t="shared" si="2"/>
        <v>6313822249.9960833</v>
      </c>
      <c r="K30">
        <f t="shared" si="2"/>
        <v>3822117095.2095594</v>
      </c>
    </row>
    <row r="31" spans="1:11" x14ac:dyDescent="0.2">
      <c r="A31">
        <f t="shared" si="3"/>
        <v>12</v>
      </c>
      <c r="B31">
        <f t="shared" si="4"/>
        <v>0.8</v>
      </c>
      <c r="C31" s="52">
        <f t="shared" si="1"/>
        <v>0.73333333333333339</v>
      </c>
      <c r="D31">
        <f t="shared" si="5"/>
        <v>4</v>
      </c>
      <c r="E31">
        <f t="shared" si="2"/>
        <v>1025342.2532476617</v>
      </c>
      <c r="F31">
        <f t="shared" si="2"/>
        <v>868346840.75590014</v>
      </c>
      <c r="G31">
        <f t="shared" si="2"/>
        <v>2437193982.5114579</v>
      </c>
      <c r="H31">
        <f t="shared" si="2"/>
        <v>3909639347.413517</v>
      </c>
      <c r="I31">
        <f t="shared" si="2"/>
        <v>14141338591.552942</v>
      </c>
      <c r="J31">
        <f t="shared" si="2"/>
        <v>7084108564.4956064</v>
      </c>
      <c r="K31">
        <f t="shared" si="2"/>
        <v>4288415380.8251257</v>
      </c>
    </row>
    <row r="32" spans="1:11" x14ac:dyDescent="0.2">
      <c r="A32">
        <f t="shared" si="3"/>
        <v>13</v>
      </c>
      <c r="B32">
        <f t="shared" si="4"/>
        <v>0.8666666666666667</v>
      </c>
      <c r="C32" s="52">
        <f t="shared" si="1"/>
        <v>0.8</v>
      </c>
      <c r="D32">
        <f t="shared" si="5"/>
        <v>3</v>
      </c>
      <c r="E32">
        <f t="shared" si="2"/>
        <v>1140926.289068307</v>
      </c>
      <c r="F32">
        <f t="shared" si="2"/>
        <v>966233211.89565611</v>
      </c>
      <c r="G32">
        <f t="shared" si="2"/>
        <v>2711932213.2672949</v>
      </c>
      <c r="H32">
        <f t="shared" si="2"/>
        <v>4350362328.3946772</v>
      </c>
      <c r="I32">
        <f t="shared" si="2"/>
        <v>15735453123.691639</v>
      </c>
      <c r="J32">
        <f t="shared" si="2"/>
        <v>7882680802.6751108</v>
      </c>
      <c r="K32">
        <f t="shared" si="2"/>
        <v>4771836751.0272303</v>
      </c>
    </row>
    <row r="33" spans="1:12" x14ac:dyDescent="0.2">
      <c r="A33">
        <f t="shared" si="3"/>
        <v>14</v>
      </c>
      <c r="B33">
        <f t="shared" si="4"/>
        <v>0.93333333333333335</v>
      </c>
      <c r="C33" s="52">
        <f t="shared" si="1"/>
        <v>0.8666666666666667</v>
      </c>
      <c r="D33">
        <f t="shared" si="5"/>
        <v>2</v>
      </c>
      <c r="E33">
        <f t="shared" si="2"/>
        <v>1260723.5494204792</v>
      </c>
      <c r="F33">
        <f t="shared" si="2"/>
        <v>1067687699.1446998</v>
      </c>
      <c r="G33">
        <f t="shared" si="2"/>
        <v>2996685095.6603608</v>
      </c>
      <c r="H33">
        <f t="shared" si="2"/>
        <v>4807150372.8761187</v>
      </c>
      <c r="I33">
        <f t="shared" si="2"/>
        <v>17387675701.679256</v>
      </c>
      <c r="J33">
        <f t="shared" si="2"/>
        <v>8710362286.9559975</v>
      </c>
      <c r="K33">
        <f t="shared" si="2"/>
        <v>5272879609.8850889</v>
      </c>
    </row>
    <row r="34" spans="1:12" x14ac:dyDescent="0.2">
      <c r="A34">
        <f t="shared" si="3"/>
        <v>15</v>
      </c>
      <c r="B34">
        <f>A34/15</f>
        <v>1</v>
      </c>
      <c r="C34" s="52">
        <f t="shared" si="1"/>
        <v>0.93333333333333335</v>
      </c>
      <c r="D34">
        <f t="shared" si="5"/>
        <v>1</v>
      </c>
      <c r="E34">
        <f t="shared" si="2"/>
        <v>1384856.3296711112</v>
      </c>
      <c r="F34">
        <f t="shared" si="2"/>
        <v>1172813872.5989473</v>
      </c>
      <c r="G34">
        <f t="shared" si="2"/>
        <v>3291743320.4638424</v>
      </c>
      <c r="H34">
        <f t="shared" si="2"/>
        <v>5280469794.2054586</v>
      </c>
      <c r="I34">
        <f t="shared" si="2"/>
        <v>19099693001.536907</v>
      </c>
      <c r="J34">
        <f t="shared" si="2"/>
        <v>9567997958.2870483</v>
      </c>
      <c r="K34">
        <f t="shared" si="2"/>
        <v>5792055448.3968515</v>
      </c>
    </row>
    <row r="35" spans="1:12" x14ac:dyDescent="0.2">
      <c r="E35">
        <f>SUM(E20:E34)/1000000</f>
        <v>9.5536601586236536</v>
      </c>
      <c r="F35">
        <f t="shared" ref="F35:K35" si="6">SUM(F20:F34)/1000000</f>
        <v>8090.8502406099215</v>
      </c>
      <c r="G35">
        <f t="shared" si="6"/>
        <v>22708.635068736388</v>
      </c>
      <c r="H35">
        <f t="shared" si="6"/>
        <v>36428.193171270817</v>
      </c>
      <c r="I35">
        <f t="shared" si="6"/>
        <v>131762.38730414829</v>
      </c>
      <c r="J35">
        <f t="shared" si="6"/>
        <v>66006.414480257474</v>
      </c>
      <c r="K35">
        <f t="shared" si="6"/>
        <v>39957.451317011088</v>
      </c>
      <c r="L35">
        <f>SUM(E35:K35)</f>
        <v>304963.48524219263</v>
      </c>
    </row>
    <row r="39" spans="1:12" x14ac:dyDescent="0.2">
      <c r="D39" t="s">
        <v>113</v>
      </c>
      <c r="E39">
        <v>0.2</v>
      </c>
      <c r="F39">
        <v>0.2</v>
      </c>
      <c r="G39">
        <v>0.2</v>
      </c>
      <c r="H39">
        <v>0.2</v>
      </c>
      <c r="I39">
        <v>0.2</v>
      </c>
      <c r="J39">
        <v>0.2</v>
      </c>
      <c r="K39">
        <v>0.2</v>
      </c>
    </row>
    <row r="40" spans="1:12" x14ac:dyDescent="0.2">
      <c r="D40" t="s">
        <v>112</v>
      </c>
      <c r="E40">
        <v>2076.1772000000001</v>
      </c>
      <c r="F40">
        <v>1547171.3665000002</v>
      </c>
      <c r="G40">
        <v>3662052.6360903136</v>
      </c>
      <c r="H40">
        <v>5126864.9007096859</v>
      </c>
      <c r="I40">
        <v>13309296.5231</v>
      </c>
      <c r="J40">
        <v>4694550.9084999999</v>
      </c>
      <c r="K40">
        <v>2150955.4879000001</v>
      </c>
    </row>
    <row r="41" spans="1:12" x14ac:dyDescent="0.2">
      <c r="D41" t="s">
        <v>110</v>
      </c>
      <c r="E41">
        <v>13668</v>
      </c>
      <c r="F41">
        <v>15533</v>
      </c>
      <c r="G41">
        <v>18419</v>
      </c>
      <c r="H41">
        <v>21105</v>
      </c>
      <c r="I41">
        <v>29406</v>
      </c>
      <c r="J41">
        <v>41763</v>
      </c>
      <c r="K41">
        <v>55178</v>
      </c>
    </row>
    <row r="42" spans="1:12" x14ac:dyDescent="0.2">
      <c r="E42" t="s">
        <v>0</v>
      </c>
      <c r="F42" t="s">
        <v>1</v>
      </c>
      <c r="G42" t="s">
        <v>2</v>
      </c>
      <c r="H42" t="s">
        <v>3</v>
      </c>
      <c r="I42" t="s">
        <v>4</v>
      </c>
      <c r="J42" t="s">
        <v>5</v>
      </c>
      <c r="K42" t="s">
        <v>6</v>
      </c>
    </row>
    <row r="43" spans="1:12" x14ac:dyDescent="0.2">
      <c r="A43">
        <v>1</v>
      </c>
      <c r="B43">
        <f>A43/15</f>
        <v>6.6666666666666666E-2</v>
      </c>
      <c r="C43" s="52">
        <f>1-D43/$D$20</f>
        <v>0</v>
      </c>
      <c r="D43">
        <v>15</v>
      </c>
      <c r="E43">
        <f>((1/$A$34)*E$18*E$17*(1-E$16)*(1-$D43/$D$20))/((1+0.02)^$D43)</f>
        <v>0</v>
      </c>
      <c r="F43">
        <f t="shared" ref="F43:K43" si="7">((1/$A$34)*F$18*F$17*(1-F$16)*(1-$D43/$D$20))/((1+0.02)^$D43)</f>
        <v>0</v>
      </c>
      <c r="G43">
        <f t="shared" si="7"/>
        <v>0</v>
      </c>
      <c r="H43">
        <f t="shared" si="7"/>
        <v>0</v>
      </c>
      <c r="I43">
        <f t="shared" si="7"/>
        <v>0</v>
      </c>
      <c r="J43">
        <f t="shared" si="7"/>
        <v>0</v>
      </c>
      <c r="K43">
        <f t="shared" si="7"/>
        <v>0</v>
      </c>
    </row>
    <row r="44" spans="1:12" x14ac:dyDescent="0.2">
      <c r="A44">
        <f>A43+1</f>
        <v>2</v>
      </c>
      <c r="B44">
        <f>A44/15</f>
        <v>0.13333333333333333</v>
      </c>
      <c r="C44" s="52">
        <f t="shared" ref="C44:C57" si="8">1-D44/$D$20</f>
        <v>6.6666666666666652E-2</v>
      </c>
      <c r="D44">
        <f>D43-1</f>
        <v>14</v>
      </c>
      <c r="E44">
        <f t="shared" ref="E44:K57" si="9">((1/$A$34)*E$18*E$17*(1-E$16)*(1-$D44/$D$20))/((1+0.02)^$D44)</f>
        <v>76467.07038562544</v>
      </c>
      <c r="F44">
        <f t="shared" si="9"/>
        <v>64758804.956005879</v>
      </c>
      <c r="G44">
        <f t="shared" si="9"/>
        <v>181758903.63811207</v>
      </c>
      <c r="H44">
        <f t="shared" si="9"/>
        <v>291569635.6159718</v>
      </c>
      <c r="I44">
        <f t="shared" si="9"/>
        <v>1054620279.2308524</v>
      </c>
      <c r="J44">
        <f t="shared" si="9"/>
        <v>528312401.54681772</v>
      </c>
      <c r="K44">
        <f t="shared" si="9"/>
        <v>319817660.61985064</v>
      </c>
    </row>
    <row r="45" spans="1:12" x14ac:dyDescent="0.2">
      <c r="A45">
        <f t="shared" ref="A45:A57" si="10">A44+1</f>
        <v>3</v>
      </c>
      <c r="B45">
        <f t="shared" ref="B45:B56" si="11">A45/15</f>
        <v>0.2</v>
      </c>
      <c r="C45" s="52">
        <f t="shared" si="8"/>
        <v>0.1333333333333333</v>
      </c>
      <c r="D45">
        <f t="shared" ref="D45:D57" si="12">D44-1</f>
        <v>13</v>
      </c>
      <c r="E45">
        <f t="shared" si="9"/>
        <v>155992.82358667592</v>
      </c>
      <c r="F45">
        <f t="shared" si="9"/>
        <v>132107962.11025201</v>
      </c>
      <c r="G45">
        <f t="shared" si="9"/>
        <v>370788163.42174864</v>
      </c>
      <c r="H45">
        <f t="shared" si="9"/>
        <v>594802056.65658247</v>
      </c>
      <c r="I45">
        <f t="shared" si="9"/>
        <v>2151425369.630939</v>
      </c>
      <c r="J45">
        <f t="shared" si="9"/>
        <v>1077757299.1555083</v>
      </c>
      <c r="K45">
        <f t="shared" si="9"/>
        <v>652428027.66449535</v>
      </c>
    </row>
    <row r="46" spans="1:12" x14ac:dyDescent="0.2">
      <c r="A46">
        <f t="shared" si="10"/>
        <v>4</v>
      </c>
      <c r="B46">
        <f t="shared" si="11"/>
        <v>0.26666666666666666</v>
      </c>
      <c r="C46" s="52">
        <f t="shared" si="8"/>
        <v>0.19999999999999996</v>
      </c>
      <c r="D46">
        <f t="shared" si="12"/>
        <v>12</v>
      </c>
      <c r="E46">
        <f t="shared" si="9"/>
        <v>238669.0200876141</v>
      </c>
      <c r="F46">
        <f t="shared" si="9"/>
        <v>202125182.02868554</v>
      </c>
      <c r="G46">
        <f t="shared" si="9"/>
        <v>567305890.03527546</v>
      </c>
      <c r="H46">
        <f t="shared" si="9"/>
        <v>910047146.68457115</v>
      </c>
      <c r="I46">
        <f t="shared" si="9"/>
        <v>3291680815.535336</v>
      </c>
      <c r="J46">
        <f t="shared" si="9"/>
        <v>1648968667.7079277</v>
      </c>
      <c r="K46">
        <f t="shared" si="9"/>
        <v>998214882.32667792</v>
      </c>
    </row>
    <row r="47" spans="1:12" x14ac:dyDescent="0.2">
      <c r="A47">
        <f t="shared" si="10"/>
        <v>5</v>
      </c>
      <c r="B47">
        <f t="shared" si="11"/>
        <v>0.33333333333333331</v>
      </c>
      <c r="C47" s="52">
        <f t="shared" si="8"/>
        <v>0.26666666666666672</v>
      </c>
      <c r="D47">
        <f t="shared" si="12"/>
        <v>11</v>
      </c>
      <c r="E47">
        <f t="shared" si="9"/>
        <v>324589.86731915543</v>
      </c>
      <c r="F47">
        <f t="shared" si="9"/>
        <v>274890247.55901253</v>
      </c>
      <c r="G47">
        <f t="shared" si="9"/>
        <v>771536010.44797504</v>
      </c>
      <c r="H47">
        <f t="shared" si="9"/>
        <v>1237664119.4910173</v>
      </c>
      <c r="I47">
        <f t="shared" si="9"/>
        <v>4476685909.1280603</v>
      </c>
      <c r="J47">
        <f t="shared" si="9"/>
        <v>2242597388.0827832</v>
      </c>
      <c r="K47">
        <f t="shared" si="9"/>
        <v>1357572239.9642828</v>
      </c>
    </row>
    <row r="48" spans="1:12" x14ac:dyDescent="0.2">
      <c r="A48">
        <f t="shared" si="10"/>
        <v>6</v>
      </c>
      <c r="B48">
        <f t="shared" si="11"/>
        <v>0.4</v>
      </c>
      <c r="C48" s="52">
        <f t="shared" si="8"/>
        <v>0.33333333333333337</v>
      </c>
      <c r="D48">
        <f t="shared" si="12"/>
        <v>10</v>
      </c>
      <c r="E48">
        <f t="shared" si="9"/>
        <v>413852.080831923</v>
      </c>
      <c r="F48">
        <f t="shared" si="9"/>
        <v>350485065.63774085</v>
      </c>
      <c r="G48">
        <f t="shared" si="9"/>
        <v>983708413.32116783</v>
      </c>
      <c r="H48">
        <f t="shared" si="9"/>
        <v>1578021752.3510468</v>
      </c>
      <c r="I48">
        <f t="shared" si="9"/>
        <v>5707774534.1382751</v>
      </c>
      <c r="J48">
        <f t="shared" si="9"/>
        <v>2859311669.8055472</v>
      </c>
      <c r="K48">
        <f t="shared" si="9"/>
        <v>1730904605.9544601</v>
      </c>
    </row>
    <row r="49" spans="1:11" x14ac:dyDescent="0.2">
      <c r="A49">
        <f t="shared" si="10"/>
        <v>7</v>
      </c>
      <c r="B49">
        <f t="shared" si="11"/>
        <v>0.46666666666666667</v>
      </c>
      <c r="C49" s="52">
        <f t="shared" si="8"/>
        <v>0.4</v>
      </c>
      <c r="D49">
        <f t="shared" si="12"/>
        <v>9</v>
      </c>
      <c r="E49">
        <f t="shared" si="9"/>
        <v>506554.94693827379</v>
      </c>
      <c r="F49">
        <f t="shared" si="9"/>
        <v>428993720.34059477</v>
      </c>
      <c r="G49">
        <f t="shared" si="9"/>
        <v>1204059097.9051094</v>
      </c>
      <c r="H49">
        <f t="shared" si="9"/>
        <v>1931498624.8776813</v>
      </c>
      <c r="I49">
        <f t="shared" si="9"/>
        <v>6986316029.7852488</v>
      </c>
      <c r="J49">
        <f t="shared" si="9"/>
        <v>3499797483.84199</v>
      </c>
      <c r="K49">
        <f t="shared" si="9"/>
        <v>2118627237.6882589</v>
      </c>
    </row>
    <row r="50" spans="1:11" x14ac:dyDescent="0.2">
      <c r="A50">
        <f t="shared" si="10"/>
        <v>8</v>
      </c>
      <c r="B50">
        <f t="shared" si="11"/>
        <v>0.53333333333333333</v>
      </c>
      <c r="C50" s="52">
        <f t="shared" si="8"/>
        <v>0.46666666666666667</v>
      </c>
      <c r="D50">
        <f t="shared" si="12"/>
        <v>8</v>
      </c>
      <c r="E50">
        <f t="shared" si="9"/>
        <v>602800.38685654581</v>
      </c>
      <c r="F50">
        <f t="shared" si="9"/>
        <v>510502527.20530778</v>
      </c>
      <c r="G50">
        <f t="shared" si="9"/>
        <v>1432830326.5070803</v>
      </c>
      <c r="H50">
        <f t="shared" si="9"/>
        <v>2298483363.6044407</v>
      </c>
      <c r="I50">
        <f t="shared" si="9"/>
        <v>8313716075.4444456</v>
      </c>
      <c r="J50">
        <f t="shared" si="9"/>
        <v>4164759005.7719679</v>
      </c>
      <c r="K50">
        <f t="shared" si="9"/>
        <v>2521166412.8490281</v>
      </c>
    </row>
    <row r="51" spans="1:11" x14ac:dyDescent="0.2">
      <c r="A51">
        <f t="shared" si="10"/>
        <v>9</v>
      </c>
      <c r="B51">
        <f t="shared" si="11"/>
        <v>0.6</v>
      </c>
      <c r="C51" s="52">
        <f t="shared" si="8"/>
        <v>0.53333333333333333</v>
      </c>
      <c r="D51">
        <f t="shared" si="12"/>
        <v>7</v>
      </c>
      <c r="E51">
        <f t="shared" si="9"/>
        <v>702693.02239277342</v>
      </c>
      <c r="F51">
        <f t="shared" si="9"/>
        <v>595100088.85647309</v>
      </c>
      <c r="G51">
        <f t="shared" si="9"/>
        <v>1670270780.6139679</v>
      </c>
      <c r="H51">
        <f t="shared" si="9"/>
        <v>2679374892.4303193</v>
      </c>
      <c r="I51">
        <f t="shared" si="9"/>
        <v>9691417596.5180969</v>
      </c>
      <c r="J51">
        <f t="shared" si="9"/>
        <v>4854919069.5856094</v>
      </c>
      <c r="K51">
        <f t="shared" si="9"/>
        <v>2938959704.1211534</v>
      </c>
    </row>
    <row r="52" spans="1:11" x14ac:dyDescent="0.2">
      <c r="A52">
        <f t="shared" si="10"/>
        <v>10</v>
      </c>
      <c r="B52">
        <f t="shared" si="11"/>
        <v>0.66666666666666663</v>
      </c>
      <c r="C52" s="52">
        <f t="shared" si="8"/>
        <v>0.6</v>
      </c>
      <c r="D52">
        <f t="shared" si="12"/>
        <v>6</v>
      </c>
      <c r="E52">
        <f t="shared" si="9"/>
        <v>806340.24319570733</v>
      </c>
      <c r="F52">
        <f t="shared" si="9"/>
        <v>682877351.96280265</v>
      </c>
      <c r="G52">
        <f t="shared" si="9"/>
        <v>1916635720.7545278</v>
      </c>
      <c r="H52">
        <f t="shared" si="9"/>
        <v>3074582689.0637908</v>
      </c>
      <c r="I52">
        <f t="shared" si="9"/>
        <v>11120901692.004515</v>
      </c>
      <c r="J52">
        <f t="shared" si="9"/>
        <v>5571019632.3494844</v>
      </c>
      <c r="K52">
        <f t="shared" si="9"/>
        <v>3372456260.4790225</v>
      </c>
    </row>
    <row r="53" spans="1:11" x14ac:dyDescent="0.2">
      <c r="A53">
        <f t="shared" si="10"/>
        <v>11</v>
      </c>
      <c r="B53">
        <f t="shared" si="11"/>
        <v>0.73333333333333328</v>
      </c>
      <c r="C53" s="52">
        <f t="shared" si="8"/>
        <v>0.66666666666666674</v>
      </c>
      <c r="D53">
        <f t="shared" si="12"/>
        <v>5</v>
      </c>
      <c r="E53">
        <f t="shared" si="9"/>
        <v>913852.27562180173</v>
      </c>
      <c r="F53">
        <f t="shared" si="9"/>
        <v>773927665.55784321</v>
      </c>
      <c r="G53">
        <f t="shared" si="9"/>
        <v>2172187150.1884651</v>
      </c>
      <c r="H53">
        <f t="shared" si="9"/>
        <v>3484527047.6056304</v>
      </c>
      <c r="I53">
        <f t="shared" si="9"/>
        <v>12603688584.271784</v>
      </c>
      <c r="J53">
        <f t="shared" si="9"/>
        <v>6313822249.9960833</v>
      </c>
      <c r="K53">
        <f t="shared" si="9"/>
        <v>3822117095.2095594</v>
      </c>
    </row>
    <row r="54" spans="1:11" x14ac:dyDescent="0.2">
      <c r="A54">
        <f t="shared" si="10"/>
        <v>12</v>
      </c>
      <c r="B54">
        <f t="shared" si="11"/>
        <v>0.8</v>
      </c>
      <c r="C54" s="52">
        <f t="shared" si="8"/>
        <v>0.73333333333333339</v>
      </c>
      <c r="D54">
        <f t="shared" si="12"/>
        <v>4</v>
      </c>
      <c r="E54">
        <f t="shared" si="9"/>
        <v>1025342.2532476617</v>
      </c>
      <c r="F54">
        <f t="shared" si="9"/>
        <v>868346840.75590014</v>
      </c>
      <c r="G54">
        <f t="shared" si="9"/>
        <v>2437193982.5114579</v>
      </c>
      <c r="H54">
        <f t="shared" si="9"/>
        <v>3909639347.413517</v>
      </c>
      <c r="I54">
        <f t="shared" si="9"/>
        <v>14141338591.552942</v>
      </c>
      <c r="J54">
        <f t="shared" si="9"/>
        <v>7084108564.4956064</v>
      </c>
      <c r="K54">
        <f t="shared" si="9"/>
        <v>4288415380.8251257</v>
      </c>
    </row>
    <row r="55" spans="1:11" x14ac:dyDescent="0.2">
      <c r="A55">
        <f t="shared" si="10"/>
        <v>13</v>
      </c>
      <c r="B55">
        <f t="shared" si="11"/>
        <v>0.8666666666666667</v>
      </c>
      <c r="C55" s="52">
        <f t="shared" si="8"/>
        <v>0.8</v>
      </c>
      <c r="D55">
        <f t="shared" si="12"/>
        <v>3</v>
      </c>
      <c r="E55">
        <f t="shared" si="9"/>
        <v>1140926.289068307</v>
      </c>
      <c r="F55">
        <f t="shared" si="9"/>
        <v>966233211.89565611</v>
      </c>
      <c r="G55">
        <f t="shared" si="9"/>
        <v>2711932213.2672949</v>
      </c>
      <c r="H55">
        <f t="shared" si="9"/>
        <v>4350362328.3946772</v>
      </c>
      <c r="I55">
        <f t="shared" si="9"/>
        <v>15735453123.691639</v>
      </c>
      <c r="J55">
        <f t="shared" si="9"/>
        <v>7882680802.6751108</v>
      </c>
      <c r="K55">
        <f t="shared" si="9"/>
        <v>4771836751.0272303</v>
      </c>
    </row>
    <row r="56" spans="1:11" x14ac:dyDescent="0.2">
      <c r="A56">
        <f t="shared" si="10"/>
        <v>14</v>
      </c>
      <c r="B56">
        <f t="shared" si="11"/>
        <v>0.93333333333333335</v>
      </c>
      <c r="C56" s="52">
        <f t="shared" si="8"/>
        <v>0.8666666666666667</v>
      </c>
      <c r="D56">
        <f t="shared" si="12"/>
        <v>2</v>
      </c>
      <c r="E56">
        <f t="shared" si="9"/>
        <v>1260723.5494204792</v>
      </c>
      <c r="F56">
        <f t="shared" si="9"/>
        <v>1067687699.1446998</v>
      </c>
      <c r="G56">
        <f t="shared" si="9"/>
        <v>2996685095.6603608</v>
      </c>
      <c r="H56">
        <f t="shared" si="9"/>
        <v>4807150372.8761187</v>
      </c>
      <c r="I56">
        <f t="shared" si="9"/>
        <v>17387675701.679256</v>
      </c>
      <c r="J56">
        <f t="shared" si="9"/>
        <v>8710362286.9559975</v>
      </c>
      <c r="K56">
        <f t="shared" si="9"/>
        <v>5272879609.8850889</v>
      </c>
    </row>
    <row r="57" spans="1:11" x14ac:dyDescent="0.2">
      <c r="A57">
        <f t="shared" si="10"/>
        <v>15</v>
      </c>
      <c r="B57">
        <f>A57/15</f>
        <v>1</v>
      </c>
      <c r="C57" s="52">
        <f t="shared" si="8"/>
        <v>0.93333333333333335</v>
      </c>
      <c r="D57">
        <f t="shared" si="12"/>
        <v>1</v>
      </c>
      <c r="E57">
        <f t="shared" si="9"/>
        <v>1384856.3296711112</v>
      </c>
      <c r="F57">
        <f t="shared" si="9"/>
        <v>1172813872.5989473</v>
      </c>
      <c r="G57">
        <f t="shared" si="9"/>
        <v>3291743320.4638424</v>
      </c>
      <c r="H57">
        <f t="shared" si="9"/>
        <v>5280469794.2054586</v>
      </c>
      <c r="I57">
        <f t="shared" si="9"/>
        <v>19099693001.536907</v>
      </c>
      <c r="J57">
        <f t="shared" si="9"/>
        <v>9567997958.2870483</v>
      </c>
      <c r="K57">
        <f t="shared" si="9"/>
        <v>5792055448.3968515</v>
      </c>
    </row>
  </sheetData>
  <phoneticPr fontId="1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27"/>
  <sheetViews>
    <sheetView topLeftCell="A129" zoomScale="75" workbookViewId="0">
      <selection activeCell="H59" sqref="H58:H64"/>
    </sheetView>
  </sheetViews>
  <sheetFormatPr defaultRowHeight="12.75" x14ac:dyDescent="0.2"/>
  <cols>
    <col min="1" max="1" width="19.28515625" customWidth="1"/>
    <col min="2" max="3" width="16.5703125" customWidth="1"/>
    <col min="4" max="4" width="13" customWidth="1"/>
    <col min="5" max="5" width="15.42578125" customWidth="1"/>
    <col min="6" max="6" width="11.42578125" customWidth="1"/>
    <col min="7" max="7" width="14" bestFit="1" customWidth="1"/>
    <col min="8" max="20" width="11.42578125" customWidth="1"/>
    <col min="21" max="21" width="12.85546875" bestFit="1" customWidth="1"/>
    <col min="22" max="22" width="12.85546875" customWidth="1"/>
    <col min="23" max="23" width="14.42578125" bestFit="1" customWidth="1"/>
    <col min="24" max="25" width="11.42578125" customWidth="1"/>
    <col min="26" max="28" width="12.85546875" bestFit="1" customWidth="1"/>
    <col min="29" max="29" width="11.85546875" bestFit="1" customWidth="1"/>
    <col min="30" max="256" width="11.42578125" customWidth="1"/>
  </cols>
  <sheetData>
    <row r="3" spans="1:15" ht="12.75" customHeight="1" x14ac:dyDescent="0.2">
      <c r="A3" s="1"/>
      <c r="B3" s="1" t="s">
        <v>81</v>
      </c>
      <c r="C3" s="1" t="s">
        <v>82</v>
      </c>
      <c r="D3" s="1" t="s">
        <v>8</v>
      </c>
      <c r="E3" s="1"/>
      <c r="F3" s="1" t="s">
        <v>7</v>
      </c>
      <c r="G3" s="1"/>
      <c r="H3" s="1" t="s">
        <v>11</v>
      </c>
      <c r="I3" s="1" t="s">
        <v>12</v>
      </c>
      <c r="J3" s="1" t="s">
        <v>24</v>
      </c>
      <c r="K3" s="1" t="s">
        <v>78</v>
      </c>
      <c r="L3" s="1" t="s">
        <v>23</v>
      </c>
      <c r="M3" s="1" t="s">
        <v>25</v>
      </c>
      <c r="N3" s="1" t="s">
        <v>26</v>
      </c>
      <c r="O3" s="1" t="s">
        <v>22</v>
      </c>
    </row>
    <row r="4" spans="1:15" x14ac:dyDescent="0.2">
      <c r="A4" s="1" t="s">
        <v>0</v>
      </c>
      <c r="B4" s="1">
        <v>0</v>
      </c>
      <c r="C4" s="23">
        <v>0</v>
      </c>
      <c r="D4" s="1"/>
      <c r="E4" s="1"/>
      <c r="F4" s="1"/>
      <c r="G4" s="1"/>
      <c r="H4" s="1">
        <v>100</v>
      </c>
      <c r="I4" s="1">
        <v>90</v>
      </c>
      <c r="J4" s="2">
        <f t="shared" ref="J4:J10" si="0">I4*100/$E$17</f>
        <v>3.3299142857142856</v>
      </c>
      <c r="K4" s="2">
        <f t="shared" ref="K4:K10" si="1">I4*100/$E$18</f>
        <v>3.4211448140900194</v>
      </c>
      <c r="L4" s="2">
        <f t="shared" ref="L4:L10" si="2">I4*100/$E$19</f>
        <v>3.371284411633495</v>
      </c>
      <c r="M4" s="2">
        <f t="shared" ref="M4:M10" si="3">J4*$E$21/100</f>
        <v>551.10081428571425</v>
      </c>
      <c r="N4" s="2">
        <f t="shared" ref="N4:N10" si="4">K4*$E$22/100</f>
        <v>427.33519872798433</v>
      </c>
      <c r="O4" s="3">
        <f t="shared" ref="O4:O10" si="5">L4*$E$23/100</f>
        <v>494.97706721056733</v>
      </c>
    </row>
    <row r="5" spans="1:15" x14ac:dyDescent="0.2">
      <c r="A5" s="1" t="s">
        <v>1</v>
      </c>
      <c r="B5" s="1">
        <v>35</v>
      </c>
      <c r="C5" s="23">
        <v>362000</v>
      </c>
      <c r="D5" s="1">
        <v>11</v>
      </c>
      <c r="E5" s="1">
        <f t="shared" ref="E5:E10" si="6">$E$13*D5/100</f>
        <v>62919.999999999993</v>
      </c>
      <c r="F5" s="1">
        <v>21</v>
      </c>
      <c r="G5" s="1">
        <f t="shared" ref="G5:G10" si="7">(F5/100)*$G$13</f>
        <v>0</v>
      </c>
      <c r="H5" s="1">
        <v>120</v>
      </c>
      <c r="I5" s="1">
        <v>114</v>
      </c>
      <c r="J5" s="2">
        <f t="shared" si="0"/>
        <v>4.2178914285714288</v>
      </c>
      <c r="K5" s="2">
        <f t="shared" si="1"/>
        <v>4.3334500978473578</v>
      </c>
      <c r="L5" s="2">
        <f t="shared" si="2"/>
        <v>4.2702935880690935</v>
      </c>
      <c r="M5" s="2">
        <f t="shared" si="3"/>
        <v>698.06103142857148</v>
      </c>
      <c r="N5" s="2">
        <f t="shared" si="4"/>
        <v>541.29125172211343</v>
      </c>
      <c r="O5" s="3">
        <f t="shared" si="5"/>
        <v>626.97095180005203</v>
      </c>
    </row>
    <row r="6" spans="1:15" x14ac:dyDescent="0.2">
      <c r="A6" s="1" t="s">
        <v>2</v>
      </c>
      <c r="B6" s="1">
        <v>28</v>
      </c>
      <c r="C6" s="23">
        <v>570400</v>
      </c>
      <c r="D6" s="1">
        <v>21</v>
      </c>
      <c r="E6" s="1">
        <f t="shared" si="6"/>
        <v>120119.99999999999</v>
      </c>
      <c r="F6" s="1">
        <v>32</v>
      </c>
      <c r="G6" s="1">
        <f t="shared" si="7"/>
        <v>0</v>
      </c>
      <c r="H6" s="1">
        <v>140</v>
      </c>
      <c r="I6" s="1">
        <v>132</v>
      </c>
      <c r="J6" s="2">
        <f t="shared" si="0"/>
        <v>4.8838742857142856</v>
      </c>
      <c r="K6" s="2">
        <f t="shared" si="1"/>
        <v>5.0176790606653618</v>
      </c>
      <c r="L6" s="2">
        <f t="shared" si="2"/>
        <v>4.944550470395793</v>
      </c>
      <c r="M6" s="2">
        <f t="shared" si="3"/>
        <v>808.28119428571426</v>
      </c>
      <c r="N6" s="2">
        <f t="shared" si="4"/>
        <v>626.75829146771036</v>
      </c>
      <c r="O6" s="3">
        <f t="shared" si="5"/>
        <v>725.96636524216547</v>
      </c>
    </row>
    <row r="7" spans="1:15" x14ac:dyDescent="0.2">
      <c r="A7" s="1" t="s">
        <v>3</v>
      </c>
      <c r="B7" s="1">
        <v>23</v>
      </c>
      <c r="C7" s="23">
        <v>560400</v>
      </c>
      <c r="D7" s="1">
        <v>36</v>
      </c>
      <c r="E7" s="1">
        <f t="shared" si="6"/>
        <v>205919.99999999997</v>
      </c>
      <c r="F7" s="1">
        <v>25</v>
      </c>
      <c r="G7" s="1">
        <f t="shared" si="7"/>
        <v>0</v>
      </c>
      <c r="H7" s="1">
        <v>160</v>
      </c>
      <c r="I7" s="1">
        <v>150</v>
      </c>
      <c r="J7" s="2">
        <f t="shared" si="0"/>
        <v>5.5498571428571433</v>
      </c>
      <c r="K7" s="2">
        <f t="shared" si="1"/>
        <v>5.7019080234833659</v>
      </c>
      <c r="L7" s="2">
        <f t="shared" si="2"/>
        <v>5.6188073527224915</v>
      </c>
      <c r="M7" s="2">
        <f t="shared" si="3"/>
        <v>918.50135714285716</v>
      </c>
      <c r="N7" s="2">
        <f t="shared" si="4"/>
        <v>712.22533121330719</v>
      </c>
      <c r="O7" s="3">
        <f t="shared" si="5"/>
        <v>824.96177868427901</v>
      </c>
    </row>
    <row r="8" spans="1:15" x14ac:dyDescent="0.2">
      <c r="A8" s="1" t="s">
        <v>4</v>
      </c>
      <c r="B8" s="1">
        <v>11</v>
      </c>
      <c r="C8" s="23">
        <v>369600</v>
      </c>
      <c r="D8" s="1">
        <v>27</v>
      </c>
      <c r="E8" s="1">
        <f t="shared" si="6"/>
        <v>154439.99999999997</v>
      </c>
      <c r="F8" s="1">
        <v>15</v>
      </c>
      <c r="G8" s="1">
        <f t="shared" si="7"/>
        <v>0</v>
      </c>
      <c r="H8" s="1">
        <v>200</v>
      </c>
      <c r="I8" s="1">
        <v>176</v>
      </c>
      <c r="J8" s="2">
        <f t="shared" si="0"/>
        <v>6.5118323809523808</v>
      </c>
      <c r="K8" s="2">
        <f t="shared" si="1"/>
        <v>6.6902387475538161</v>
      </c>
      <c r="L8" s="2">
        <f t="shared" si="2"/>
        <v>6.592733960527724</v>
      </c>
      <c r="M8" s="2">
        <f t="shared" si="3"/>
        <v>1077.7082590476191</v>
      </c>
      <c r="N8" s="2">
        <f t="shared" si="4"/>
        <v>835.67772195694715</v>
      </c>
      <c r="O8" s="3">
        <f t="shared" si="5"/>
        <v>967.95515365622066</v>
      </c>
    </row>
    <row r="9" spans="1:15" x14ac:dyDescent="0.2">
      <c r="A9" s="1" t="s">
        <v>5</v>
      </c>
      <c r="B9" s="1">
        <v>2</v>
      </c>
      <c r="C9" s="23">
        <v>107600</v>
      </c>
      <c r="D9" s="1">
        <v>4</v>
      </c>
      <c r="E9" s="1">
        <f t="shared" si="6"/>
        <v>22879.999999999996</v>
      </c>
      <c r="F9" s="1">
        <v>6</v>
      </c>
      <c r="G9" s="1">
        <f t="shared" si="7"/>
        <v>0</v>
      </c>
      <c r="H9" s="1">
        <v>250</v>
      </c>
      <c r="I9" s="1">
        <v>216</v>
      </c>
      <c r="J9" s="2">
        <f t="shared" si="0"/>
        <v>7.9917942857142856</v>
      </c>
      <c r="K9" s="2">
        <f t="shared" si="1"/>
        <v>8.2107475538160468</v>
      </c>
      <c r="L9" s="2">
        <f t="shared" si="2"/>
        <v>8.091082587920388</v>
      </c>
      <c r="M9" s="2">
        <f t="shared" si="3"/>
        <v>1322.6419542857143</v>
      </c>
      <c r="N9" s="2">
        <f t="shared" si="4"/>
        <v>1025.6044769471625</v>
      </c>
      <c r="O9" s="3">
        <f t="shared" si="5"/>
        <v>1187.9449613053616</v>
      </c>
    </row>
    <row r="10" spans="1:15" x14ac:dyDescent="0.2">
      <c r="A10" s="1" t="s">
        <v>6</v>
      </c>
      <c r="B10" s="1">
        <v>1</v>
      </c>
      <c r="C10" s="23">
        <v>28000</v>
      </c>
      <c r="D10" s="1">
        <v>1</v>
      </c>
      <c r="E10" s="1">
        <f t="shared" si="6"/>
        <v>5719.9999999999991</v>
      </c>
      <c r="F10" s="1">
        <v>1</v>
      </c>
      <c r="G10" s="1">
        <f t="shared" si="7"/>
        <v>0</v>
      </c>
      <c r="H10" s="8">
        <v>475</v>
      </c>
      <c r="I10" s="1">
        <v>268</v>
      </c>
      <c r="J10" s="2">
        <f t="shared" si="0"/>
        <v>9.9157447619047616</v>
      </c>
      <c r="K10" s="2">
        <f t="shared" si="1"/>
        <v>10.187409001956947</v>
      </c>
      <c r="L10" s="2">
        <f t="shared" si="2"/>
        <v>10.038935803530851</v>
      </c>
      <c r="M10" s="2">
        <f t="shared" si="3"/>
        <v>1641.0557580952382</v>
      </c>
      <c r="N10" s="2">
        <f t="shared" si="4"/>
        <v>1272.5092584344422</v>
      </c>
      <c r="O10" s="3">
        <f t="shared" si="5"/>
        <v>1473.9317112492449</v>
      </c>
    </row>
    <row r="11" spans="1:15" x14ac:dyDescent="0.2">
      <c r="A11" s="1"/>
      <c r="B11" s="21">
        <f>SUM(B5:B10)</f>
        <v>100</v>
      </c>
      <c r="C11" s="23">
        <v>2050283</v>
      </c>
      <c r="D11" s="1">
        <v>100</v>
      </c>
      <c r="E11" s="1"/>
      <c r="F11" s="1">
        <v>100</v>
      </c>
      <c r="G11" s="1"/>
      <c r="H11" s="1"/>
      <c r="I11" s="1"/>
      <c r="J11" s="1"/>
    </row>
    <row r="12" spans="1:15" x14ac:dyDescent="0.2">
      <c r="D12">
        <f>D11-F12</f>
        <v>28.599999999999994</v>
      </c>
      <c r="F12">
        <v>71.400000000000006</v>
      </c>
    </row>
    <row r="13" spans="1:15" x14ac:dyDescent="0.2">
      <c r="E13">
        <f>(E32+E33)*D12/100</f>
        <v>571999.99999999988</v>
      </c>
    </row>
    <row r="14" spans="1:15" x14ac:dyDescent="0.2">
      <c r="A14" t="s">
        <v>14</v>
      </c>
      <c r="E14">
        <f>14463</f>
        <v>14463</v>
      </c>
    </row>
    <row r="15" spans="1:15" x14ac:dyDescent="0.2">
      <c r="A15" t="s">
        <v>13</v>
      </c>
      <c r="E15">
        <v>12329</v>
      </c>
      <c r="I15" s="4"/>
      <c r="J15" s="4"/>
    </row>
    <row r="16" spans="1:15" ht="15.75" x14ac:dyDescent="0.2">
      <c r="A16" t="s">
        <v>17</v>
      </c>
      <c r="E16">
        <f>E14/(E14+E15)</f>
        <v>0.53982532099134073</v>
      </c>
      <c r="I16" s="5"/>
      <c r="J16" s="5"/>
    </row>
    <row r="17" spans="1:28" x14ac:dyDescent="0.2">
      <c r="A17" t="s">
        <v>15</v>
      </c>
      <c r="E17">
        <f>3150*1000/(7.33*159)</f>
        <v>2702.7722721305568</v>
      </c>
      <c r="G17" s="4"/>
      <c r="H17" s="4"/>
      <c r="I17" s="4"/>
      <c r="J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t="s">
        <v>16</v>
      </c>
      <c r="E18">
        <f>3066*1000/(7.33*159)</f>
        <v>2630.6983448737419</v>
      </c>
      <c r="G18" s="4"/>
      <c r="H18" s="4"/>
      <c r="I18" s="4"/>
      <c r="J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t="s">
        <v>18</v>
      </c>
      <c r="E19">
        <f>E16*E17+E18*(1-E16)</f>
        <v>2669.6056757902584</v>
      </c>
      <c r="G19" s="4"/>
      <c r="H19" s="4"/>
      <c r="I19" s="4"/>
      <c r="J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G20" s="4"/>
      <c r="H20" s="4"/>
      <c r="I20" s="4"/>
      <c r="J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t="s">
        <v>19</v>
      </c>
      <c r="E21">
        <v>16550</v>
      </c>
      <c r="G21" s="4"/>
      <c r="H21" s="4"/>
      <c r="I21" s="4"/>
      <c r="J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t="s">
        <v>20</v>
      </c>
      <c r="E22">
        <v>12491</v>
      </c>
      <c r="G22" s="4"/>
      <c r="H22" s="4"/>
      <c r="I22" s="4"/>
      <c r="J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t="s">
        <v>21</v>
      </c>
      <c r="E23">
        <f>(E16*E21+(1-E16)*E22)</f>
        <v>14682.150977903853</v>
      </c>
      <c r="G23" s="4"/>
      <c r="H23" s="4"/>
      <c r="I23" s="4"/>
      <c r="J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G24" s="4"/>
      <c r="H24" s="4"/>
      <c r="I24" s="4"/>
      <c r="J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t="s">
        <v>29</v>
      </c>
      <c r="E25">
        <f>30497013</f>
        <v>30497013</v>
      </c>
      <c r="G25" s="4"/>
      <c r="H25" s="4"/>
      <c r="I25" s="4"/>
      <c r="J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t="s">
        <v>27</v>
      </c>
      <c r="E26">
        <v>6.9</v>
      </c>
      <c r="G26" s="4"/>
      <c r="H26" s="4"/>
      <c r="I26" s="4"/>
      <c r="J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t="s">
        <v>28</v>
      </c>
      <c r="E27">
        <f>E26*E19/100</f>
        <v>184.20279162952781</v>
      </c>
      <c r="G27" s="4"/>
      <c r="H27" s="4"/>
      <c r="I27" s="4"/>
      <c r="J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G28" s="4"/>
      <c r="H28" s="4"/>
      <c r="I28" s="4"/>
      <c r="J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G29" s="4"/>
      <c r="H29" s="4"/>
      <c r="I29" s="4"/>
      <c r="J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t="s">
        <v>71</v>
      </c>
      <c r="E30">
        <v>13</v>
      </c>
      <c r="G30" s="4"/>
      <c r="H30" s="4"/>
      <c r="I30" s="4"/>
      <c r="J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4" customFormat="1" x14ac:dyDescent="0.2">
      <c r="A31" s="4" t="s">
        <v>77</v>
      </c>
      <c r="G31" s="6"/>
      <c r="I31" s="6"/>
      <c r="J31" s="6"/>
      <c r="K31" s="6"/>
      <c r="L31" s="6"/>
    </row>
    <row r="32" spans="1:28" s="4" customFormat="1" x14ac:dyDescent="0.2">
      <c r="A32" s="7" t="s">
        <v>76</v>
      </c>
      <c r="E32" s="4">
        <v>2000000</v>
      </c>
      <c r="G32" s="6"/>
      <c r="I32" s="6"/>
      <c r="J32" s="6"/>
      <c r="K32" s="6"/>
      <c r="L32" s="6"/>
    </row>
    <row r="33" spans="1:24" s="4" customFormat="1" x14ac:dyDescent="0.2">
      <c r="A33" s="7"/>
      <c r="E33" s="7"/>
      <c r="G33" s="6"/>
      <c r="I33" s="6"/>
      <c r="J33" s="6"/>
      <c r="K33" s="6"/>
      <c r="L33" s="6"/>
    </row>
    <row r="34" spans="1:24" s="4" customFormat="1" x14ac:dyDescent="0.2">
      <c r="A34" s="7" t="s">
        <v>65</v>
      </c>
      <c r="G34" s="6"/>
      <c r="I34" s="6"/>
      <c r="J34" s="6"/>
      <c r="K34" s="6"/>
      <c r="L34" s="6"/>
    </row>
    <row r="35" spans="1:24" s="4" customFormat="1" ht="25.5" x14ac:dyDescent="0.2">
      <c r="A35" s="17" t="s">
        <v>35</v>
      </c>
      <c r="B35" s="12" t="s">
        <v>36</v>
      </c>
      <c r="C35" s="12" t="s">
        <v>37</v>
      </c>
      <c r="D35" s="12" t="s">
        <v>38</v>
      </c>
      <c r="E35" s="12" t="s">
        <v>39</v>
      </c>
      <c r="F35" s="12" t="s">
        <v>40</v>
      </c>
      <c r="G35" s="12" t="s">
        <v>41</v>
      </c>
      <c r="H35" s="12" t="s">
        <v>42</v>
      </c>
      <c r="I35" s="12" t="s">
        <v>43</v>
      </c>
      <c r="J35" s="12" t="s">
        <v>44</v>
      </c>
      <c r="K35" s="13" t="s">
        <v>45</v>
      </c>
      <c r="L35" s="6"/>
    </row>
    <row r="36" spans="1:24" s="4" customFormat="1" x14ac:dyDescent="0.2">
      <c r="A36" s="4" t="s">
        <v>30</v>
      </c>
      <c r="B36" s="4">
        <v>1245234</v>
      </c>
      <c r="C36" s="4">
        <v>1423867</v>
      </c>
      <c r="D36" s="4">
        <v>1211421</v>
      </c>
      <c r="E36" s="4">
        <v>1268977</v>
      </c>
      <c r="F36" s="4">
        <v>525976</v>
      </c>
      <c r="G36" s="6">
        <v>220774</v>
      </c>
      <c r="H36" s="4">
        <v>237128</v>
      </c>
      <c r="I36" s="6">
        <v>199665</v>
      </c>
      <c r="J36" s="6">
        <v>486</v>
      </c>
      <c r="K36" s="6">
        <v>6333528</v>
      </c>
      <c r="L36" s="6"/>
    </row>
    <row r="37" spans="1:24" s="7" customFormat="1" x14ac:dyDescent="0.2">
      <c r="A37" s="7" t="s">
        <v>31</v>
      </c>
      <c r="B37" s="7">
        <v>804564</v>
      </c>
      <c r="C37" s="7">
        <v>1278226</v>
      </c>
      <c r="D37" s="7">
        <v>949255</v>
      </c>
      <c r="E37" s="7">
        <v>898336</v>
      </c>
      <c r="F37" s="7">
        <v>273595</v>
      </c>
      <c r="G37" s="9">
        <v>157512</v>
      </c>
      <c r="H37" s="7">
        <v>140160</v>
      </c>
      <c r="I37" s="9">
        <v>121226</v>
      </c>
      <c r="J37" s="9">
        <v>612</v>
      </c>
      <c r="K37" s="9">
        <v>4623486</v>
      </c>
      <c r="L37" s="9"/>
    </row>
    <row r="38" spans="1:24" s="4" customFormat="1" x14ac:dyDescent="0.2">
      <c r="A38" s="4" t="s">
        <v>32</v>
      </c>
      <c r="B38" s="4">
        <v>678767</v>
      </c>
      <c r="C38" s="4">
        <v>1467905</v>
      </c>
      <c r="D38" s="4">
        <v>1131161</v>
      </c>
      <c r="E38" s="4">
        <v>771461</v>
      </c>
      <c r="F38" s="4">
        <v>136114</v>
      </c>
      <c r="G38" s="4">
        <v>143152</v>
      </c>
      <c r="H38" s="4">
        <v>119490</v>
      </c>
      <c r="I38" s="4">
        <v>89785</v>
      </c>
      <c r="J38" s="4">
        <v>778</v>
      </c>
      <c r="K38" s="6">
        <v>4538613</v>
      </c>
      <c r="L38" s="6"/>
      <c r="M38" s="7"/>
      <c r="N38" s="7"/>
      <c r="O38" s="7"/>
      <c r="P38" s="7"/>
    </row>
    <row r="39" spans="1:24" s="4" customFormat="1" x14ac:dyDescent="0.2">
      <c r="A39" s="4" t="s">
        <v>33</v>
      </c>
      <c r="B39" s="4">
        <v>835762</v>
      </c>
      <c r="C39" s="4">
        <v>1440767</v>
      </c>
      <c r="D39" s="4">
        <v>1848759</v>
      </c>
      <c r="E39" s="4">
        <v>1286695</v>
      </c>
      <c r="F39" s="4">
        <v>108454</v>
      </c>
      <c r="G39" s="9">
        <v>154375</v>
      </c>
      <c r="H39" s="4">
        <v>229385</v>
      </c>
      <c r="I39" s="6">
        <v>103827</v>
      </c>
      <c r="J39" s="6">
        <v>664</v>
      </c>
      <c r="K39" s="6">
        <v>6008688</v>
      </c>
      <c r="L39" s="6"/>
      <c r="X39" s="7"/>
    </row>
    <row r="40" spans="1:24" s="4" customFormat="1" x14ac:dyDescent="0.2">
      <c r="A40" s="7" t="s">
        <v>34</v>
      </c>
      <c r="B40" s="4">
        <v>1501623</v>
      </c>
      <c r="C40" s="4">
        <v>1902710</v>
      </c>
      <c r="D40" s="4">
        <v>2867329</v>
      </c>
      <c r="E40" s="4">
        <v>1621113</v>
      </c>
      <c r="F40" s="4">
        <v>199236</v>
      </c>
      <c r="G40" s="4">
        <v>332994</v>
      </c>
      <c r="H40" s="4">
        <v>391809</v>
      </c>
      <c r="I40" s="4">
        <v>174379</v>
      </c>
      <c r="J40" s="4">
        <v>1505</v>
      </c>
      <c r="K40" s="4">
        <v>8992698</v>
      </c>
      <c r="X40" s="6"/>
    </row>
    <row r="41" spans="1:24" s="4" customFormat="1" x14ac:dyDescent="0.2">
      <c r="A41" s="4" t="s">
        <v>10</v>
      </c>
      <c r="B41" s="4">
        <v>5065950</v>
      </c>
      <c r="C41" s="4">
        <v>7513475</v>
      </c>
      <c r="D41" s="4">
        <v>8007925</v>
      </c>
      <c r="E41" s="4">
        <v>5846582</v>
      </c>
      <c r="F41" s="4">
        <v>1243375</v>
      </c>
      <c r="G41" s="4">
        <v>1008807</v>
      </c>
      <c r="H41" s="4">
        <v>1117972</v>
      </c>
      <c r="I41" s="4">
        <v>688882</v>
      </c>
      <c r="J41" s="4">
        <v>4045</v>
      </c>
      <c r="K41" s="4">
        <v>30497013</v>
      </c>
      <c r="X41" s="6"/>
    </row>
    <row r="42" spans="1:24" s="4" customFormat="1" x14ac:dyDescent="0.2">
      <c r="X42" s="6"/>
    </row>
    <row r="43" spans="1:24" s="4" customFormat="1" x14ac:dyDescent="0.2">
      <c r="A43" s="7" t="s">
        <v>46</v>
      </c>
      <c r="B43" s="6">
        <f>(36672*5.8+4563806*6.8)/(36672+4563806)</f>
        <v>6.7920286544137376</v>
      </c>
      <c r="C43" s="6">
        <f>7.7</f>
        <v>7.7</v>
      </c>
      <c r="D43" s="6">
        <f>7.9</f>
        <v>7.9</v>
      </c>
      <c r="E43" s="9">
        <v>8.4</v>
      </c>
      <c r="F43" s="9">
        <v>9.1</v>
      </c>
      <c r="G43" s="9">
        <v>9.6999999999999993</v>
      </c>
      <c r="H43" s="9">
        <v>10.3</v>
      </c>
      <c r="I43" s="9">
        <v>10.9</v>
      </c>
      <c r="X43" s="6"/>
    </row>
    <row r="44" spans="1:24" s="4" customFormat="1" x14ac:dyDescent="0.2">
      <c r="A44" s="7" t="s">
        <v>47</v>
      </c>
      <c r="B44" s="6">
        <f>B43*(1+(6.2-7.1)/7.1)</f>
        <v>5.9310672756852361</v>
      </c>
      <c r="C44" s="6">
        <f>C43*(1+(6.2-7.1)/7.1)</f>
        <v>6.7239436619718314</v>
      </c>
      <c r="D44" s="6">
        <f>C44+(E44-C44)/2</f>
        <v>6.8207953603976801</v>
      </c>
      <c r="E44" s="6">
        <f>E43*(1+(7-8.5)/8.5)</f>
        <v>6.9176470588235297</v>
      </c>
      <c r="F44" s="6">
        <f>F43*(1+(7-8.5)/8.5)</f>
        <v>7.4941176470588227</v>
      </c>
      <c r="G44" s="6">
        <f>G43*(1+(7-8.5)/8.5)</f>
        <v>7.9882352941176462</v>
      </c>
      <c r="H44" s="6">
        <f>H43*(1+(7-8.5)/8.5)</f>
        <v>8.4823529411764707</v>
      </c>
      <c r="I44" s="6">
        <f>I43*(1+(11.7-11.2)/11.2)</f>
        <v>11.386607142857144</v>
      </c>
      <c r="X44" s="6"/>
    </row>
    <row r="45" spans="1:24" s="4" customFormat="1" x14ac:dyDescent="0.2">
      <c r="A45" s="7" t="s">
        <v>48</v>
      </c>
      <c r="X45" s="6"/>
    </row>
    <row r="46" spans="1:24" s="4" customFormat="1" x14ac:dyDescent="0.2">
      <c r="A46" s="7" t="s">
        <v>49</v>
      </c>
      <c r="B46" s="6">
        <f>B43*(1+(6.9-7.1)/7.1)</f>
        <v>6.6007039035851829</v>
      </c>
      <c r="C46" s="6">
        <f>C43*(1+(6-6.2)/6.2)</f>
        <v>7.4516129032258069</v>
      </c>
      <c r="D46" s="6">
        <f>D43*(1+(8.3-8.5)/8.5)</f>
        <v>7.7141176470588242</v>
      </c>
      <c r="E46" s="6">
        <f>E43*(1+(8.3-8.5)/8.5)</f>
        <v>8.2023529411764713</v>
      </c>
      <c r="F46" s="6">
        <f>F43*(1+(8.3-8.5)/8.5)</f>
        <v>8.8858823529411772</v>
      </c>
      <c r="G46" s="6">
        <f>G43*(1+(8.3-8.5)/8.5)</f>
        <v>9.4717647058823538</v>
      </c>
      <c r="H46" s="6">
        <f>H43*(1+(8.3-8.5)/8.5)</f>
        <v>10.05764705882353</v>
      </c>
      <c r="I46" s="9">
        <f>I43*(1+(11-11.3)/11.3)</f>
        <v>10.610619469026549</v>
      </c>
      <c r="N46" s="4">
        <f>250000/9000000</f>
        <v>2.7777777777777776E-2</v>
      </c>
      <c r="X46" s="6"/>
    </row>
    <row r="47" spans="1:24" s="4" customFormat="1" x14ac:dyDescent="0.2">
      <c r="A47" s="4" t="s">
        <v>47</v>
      </c>
      <c r="B47" s="6">
        <f>B44*(1+(6-6.2)/6.2)</f>
        <v>5.7397425248566805</v>
      </c>
      <c r="C47" s="6">
        <f>C44*(1+(6-6.2)/6.2)</f>
        <v>6.507042253521127</v>
      </c>
      <c r="D47" s="6">
        <f t="shared" ref="D47:I47" si="8">D44*(1+(6.9-7)/7)</f>
        <v>6.7233554266777134</v>
      </c>
      <c r="E47" s="6">
        <f t="shared" si="8"/>
        <v>6.8188235294117652</v>
      </c>
      <c r="F47" s="6">
        <f t="shared" si="8"/>
        <v>7.3870588235294115</v>
      </c>
      <c r="G47" s="6">
        <f t="shared" si="8"/>
        <v>7.8741176470588234</v>
      </c>
      <c r="H47" s="6">
        <f t="shared" si="8"/>
        <v>8.3611764705882354</v>
      </c>
      <c r="I47" s="6">
        <f t="shared" si="8"/>
        <v>11.223941326530614</v>
      </c>
      <c r="N47" s="4">
        <f>350000/9000000</f>
        <v>3.888888888888889E-2</v>
      </c>
    </row>
    <row r="48" spans="1:24" s="4" customFormat="1" x14ac:dyDescent="0.2">
      <c r="A48" s="7" t="s">
        <v>52</v>
      </c>
      <c r="B48" s="6">
        <f t="shared" ref="B48:I48" si="9">B46*$E$18/100</f>
        <v>173.64460834163185</v>
      </c>
      <c r="C48" s="6">
        <f t="shared" si="9"/>
        <v>196.0294573115595</v>
      </c>
      <c r="D48" s="6">
        <f t="shared" si="9"/>
        <v>202.93516526278975</v>
      </c>
      <c r="E48" s="6">
        <f t="shared" si="9"/>
        <v>215.77916306423214</v>
      </c>
      <c r="F48" s="6">
        <f t="shared" si="9"/>
        <v>233.76075998625146</v>
      </c>
      <c r="G48" s="6">
        <f t="shared" si="9"/>
        <v>249.17355734798232</v>
      </c>
      <c r="H48" s="6">
        <f t="shared" si="9"/>
        <v>264.58635470971319</v>
      </c>
      <c r="I48" s="6">
        <f t="shared" si="9"/>
        <v>279.13339075253242</v>
      </c>
    </row>
    <row r="49" spans="1:32" s="4" customFormat="1" x14ac:dyDescent="0.2">
      <c r="A49" s="7" t="s">
        <v>53</v>
      </c>
      <c r="B49" s="6">
        <f t="shared" ref="B49:I49" si="10">B47*$E$17/100</f>
        <v>155.13216945351269</v>
      </c>
      <c r="C49" s="6">
        <f t="shared" si="10"/>
        <v>175.87053376398836</v>
      </c>
      <c r="D49" s="6">
        <f t="shared" si="10"/>
        <v>181.71698622903034</v>
      </c>
      <c r="E49" s="6">
        <f t="shared" si="10"/>
        <v>184.29727163845538</v>
      </c>
      <c r="F49" s="6">
        <f t="shared" si="10"/>
        <v>199.65537760832663</v>
      </c>
      <c r="G49" s="6">
        <f t="shared" si="10"/>
        <v>212.81946843964488</v>
      </c>
      <c r="H49" s="6">
        <f t="shared" si="10"/>
        <v>225.98355927096316</v>
      </c>
      <c r="I49" s="6">
        <f t="shared" si="10"/>
        <v>303.35757401367204</v>
      </c>
    </row>
    <row r="50" spans="1:32" s="4" customFormat="1" x14ac:dyDescent="0.2">
      <c r="A50" s="7" t="s">
        <v>50</v>
      </c>
      <c r="B50" s="10">
        <f t="shared" ref="B50:K50" si="11">B41*0.575</f>
        <v>2912921.25</v>
      </c>
      <c r="C50" s="10">
        <f t="shared" si="11"/>
        <v>4320248.125</v>
      </c>
      <c r="D50" s="10">
        <f t="shared" si="11"/>
        <v>4604556.875</v>
      </c>
      <c r="E50" s="10">
        <f t="shared" si="11"/>
        <v>3361784.65</v>
      </c>
      <c r="F50" s="10">
        <f t="shared" si="11"/>
        <v>714940.625</v>
      </c>
      <c r="G50" s="10">
        <f t="shared" si="11"/>
        <v>580064.02499999991</v>
      </c>
      <c r="H50" s="10">
        <f t="shared" si="11"/>
        <v>642833.89999999991</v>
      </c>
      <c r="I50" s="10">
        <f t="shared" si="11"/>
        <v>396107.14999999997</v>
      </c>
      <c r="J50" s="10">
        <f t="shared" si="11"/>
        <v>2325.875</v>
      </c>
      <c r="K50" s="10">
        <f t="shared" si="11"/>
        <v>17535782.474999998</v>
      </c>
    </row>
    <row r="51" spans="1:32" s="4" customFormat="1" x14ac:dyDescent="0.2">
      <c r="A51" s="7" t="s">
        <v>51</v>
      </c>
      <c r="B51" s="10">
        <f t="shared" ref="B51:K51" si="12">B41*0.425</f>
        <v>2153028.75</v>
      </c>
      <c r="C51" s="10">
        <f t="shared" si="12"/>
        <v>3193226.875</v>
      </c>
      <c r="D51" s="10">
        <f t="shared" si="12"/>
        <v>3403368.125</v>
      </c>
      <c r="E51" s="10">
        <f t="shared" si="12"/>
        <v>2484797.35</v>
      </c>
      <c r="F51" s="10">
        <f t="shared" si="12"/>
        <v>528434.375</v>
      </c>
      <c r="G51" s="10">
        <f t="shared" si="12"/>
        <v>428742.97499999998</v>
      </c>
      <c r="H51" s="10">
        <f t="shared" si="12"/>
        <v>475138.1</v>
      </c>
      <c r="I51" s="10">
        <f t="shared" si="12"/>
        <v>292774.84999999998</v>
      </c>
      <c r="J51" s="10">
        <f t="shared" si="12"/>
        <v>1719.125</v>
      </c>
      <c r="K51" s="10">
        <f t="shared" si="12"/>
        <v>12961230.525</v>
      </c>
    </row>
    <row r="52" spans="1:32" s="4" customFormat="1" x14ac:dyDescent="0.2">
      <c r="A52" s="7" t="s">
        <v>45</v>
      </c>
      <c r="B52" s="10">
        <f t="shared" ref="B52:K52" si="13">B50+B51</f>
        <v>5065950</v>
      </c>
      <c r="C52" s="10">
        <f t="shared" si="13"/>
        <v>7513475</v>
      </c>
      <c r="D52" s="10">
        <f t="shared" si="13"/>
        <v>8007925</v>
      </c>
      <c r="E52" s="10">
        <f t="shared" si="13"/>
        <v>5846582</v>
      </c>
      <c r="F52" s="10">
        <f t="shared" si="13"/>
        <v>1243375</v>
      </c>
      <c r="G52" s="10">
        <f t="shared" si="13"/>
        <v>1008806.9999999999</v>
      </c>
      <c r="H52" s="10">
        <f t="shared" si="13"/>
        <v>1117972</v>
      </c>
      <c r="I52" s="10">
        <f t="shared" si="13"/>
        <v>688882</v>
      </c>
      <c r="J52" s="10">
        <f t="shared" si="13"/>
        <v>4045</v>
      </c>
      <c r="K52" s="10">
        <f t="shared" si="13"/>
        <v>30497013</v>
      </c>
    </row>
    <row r="53" spans="1:32" s="4" customFormat="1" x14ac:dyDescent="0.2">
      <c r="A53" s="7" t="s">
        <v>67</v>
      </c>
      <c r="B53" s="4">
        <f t="shared" ref="B53:K53" si="14">0.575*B48+(1-0.575)*B49</f>
        <v>165.7768218141812</v>
      </c>
      <c r="C53" s="4">
        <f t="shared" si="14"/>
        <v>187.46191480384175</v>
      </c>
      <c r="D53" s="4">
        <f t="shared" si="14"/>
        <v>193.91743917344201</v>
      </c>
      <c r="E53" s="4">
        <f t="shared" si="14"/>
        <v>202.39935920827702</v>
      </c>
      <c r="F53" s="4">
        <f t="shared" si="14"/>
        <v>219.26597247563339</v>
      </c>
      <c r="G53" s="4">
        <f t="shared" si="14"/>
        <v>233.72306956193893</v>
      </c>
      <c r="H53" s="4">
        <f t="shared" si="14"/>
        <v>248.18016664824444</v>
      </c>
      <c r="I53" s="4">
        <f t="shared" si="14"/>
        <v>289.42866863851674</v>
      </c>
      <c r="J53" s="4">
        <f t="shared" si="14"/>
        <v>0</v>
      </c>
      <c r="K53" s="4">
        <f t="shared" si="14"/>
        <v>0</v>
      </c>
    </row>
    <row r="54" spans="1:32" s="4" customFormat="1" x14ac:dyDescent="0.2">
      <c r="A54" s="7"/>
    </row>
    <row r="55" spans="1:32" s="4" customFormat="1" x14ac:dyDescent="0.2">
      <c r="A55" s="16" t="s">
        <v>56</v>
      </c>
      <c r="D55" s="10"/>
    </row>
    <row r="56" spans="1:32" s="4" customFormat="1" x14ac:dyDescent="0.2">
      <c r="A56" s="16" t="s">
        <v>54</v>
      </c>
      <c r="B56" s="4">
        <v>2000</v>
      </c>
      <c r="C56" s="4">
        <v>2001</v>
      </c>
      <c r="D56" s="4">
        <v>2002</v>
      </c>
      <c r="E56" s="4">
        <v>2003</v>
      </c>
      <c r="F56" s="4">
        <v>2004</v>
      </c>
      <c r="G56" s="4">
        <v>2005</v>
      </c>
      <c r="H56" s="4">
        <v>2006</v>
      </c>
      <c r="I56" s="7">
        <v>2007</v>
      </c>
      <c r="K56" s="4" t="s">
        <v>62</v>
      </c>
      <c r="L56" s="4" t="s">
        <v>63</v>
      </c>
      <c r="M56" s="4" t="s">
        <v>66</v>
      </c>
    </row>
    <row r="57" spans="1:32" s="4" customFormat="1" x14ac:dyDescent="0.2">
      <c r="A57" s="4" t="s">
        <v>55</v>
      </c>
      <c r="B57" s="4">
        <v>2133884</v>
      </c>
      <c r="C57" s="4">
        <v>2254732</v>
      </c>
      <c r="D57" s="4">
        <v>2145071</v>
      </c>
      <c r="E57" s="4">
        <v>2009246</v>
      </c>
      <c r="F57" s="4">
        <v>2013709</v>
      </c>
      <c r="G57" s="4">
        <v>2067789</v>
      </c>
      <c r="H57" s="4">
        <v>2000549</v>
      </c>
      <c r="I57" s="7">
        <v>2064543</v>
      </c>
      <c r="K57" s="4">
        <f>H57+G57+F57</f>
        <v>6082047</v>
      </c>
    </row>
    <row r="58" spans="1:32" s="4" customFormat="1" x14ac:dyDescent="0.2">
      <c r="A58" s="7" t="s">
        <v>58</v>
      </c>
      <c r="B58" s="7">
        <v>0.02</v>
      </c>
      <c r="C58" s="4">
        <v>0.02</v>
      </c>
      <c r="D58" s="4">
        <v>0.04</v>
      </c>
      <c r="E58" s="4">
        <v>0.02</v>
      </c>
      <c r="F58" s="4">
        <v>0.02</v>
      </c>
      <c r="G58" s="7">
        <v>0.02</v>
      </c>
      <c r="H58" s="7">
        <v>0</v>
      </c>
      <c r="I58" s="4">
        <f>0</f>
        <v>0</v>
      </c>
      <c r="R58" s="4">
        <v>1999</v>
      </c>
      <c r="S58" s="4">
        <v>2000</v>
      </c>
      <c r="T58" s="4">
        <v>2001</v>
      </c>
      <c r="W58" s="4">
        <v>2002</v>
      </c>
      <c r="X58" s="4">
        <v>2003</v>
      </c>
      <c r="Y58" s="4">
        <v>2004</v>
      </c>
      <c r="Z58" s="4">
        <v>2005</v>
      </c>
      <c r="AA58" s="4">
        <v>2006</v>
      </c>
      <c r="AB58" s="7">
        <v>2007</v>
      </c>
      <c r="AC58" s="7">
        <v>2008</v>
      </c>
      <c r="AD58" s="7">
        <v>2009</v>
      </c>
      <c r="AE58" s="7"/>
      <c r="AF58" s="7"/>
    </row>
    <row r="59" spans="1:32" s="4" customFormat="1" x14ac:dyDescent="0.2">
      <c r="A59" s="7" t="s">
        <v>57</v>
      </c>
      <c r="B59" s="4">
        <v>2</v>
      </c>
      <c r="C59" s="4">
        <v>5</v>
      </c>
      <c r="D59" s="4">
        <f>8.87</f>
        <v>8.8699999999999992</v>
      </c>
      <c r="E59" s="4">
        <v>12.9</v>
      </c>
      <c r="F59" s="4">
        <v>13.81</v>
      </c>
      <c r="G59" s="4">
        <v>14.61</v>
      </c>
      <c r="H59" s="7">
        <v>18.100000000000001</v>
      </c>
      <c r="I59" s="7">
        <v>49</v>
      </c>
      <c r="S59" s="4">
        <v>2</v>
      </c>
      <c r="T59" s="4">
        <v>5</v>
      </c>
      <c r="W59" s="4">
        <f>8.87</f>
        <v>8.8699999999999992</v>
      </c>
      <c r="X59" s="4">
        <v>12.9</v>
      </c>
      <c r="Y59" s="4">
        <v>13.81</v>
      </c>
      <c r="Z59" s="4">
        <v>14.61</v>
      </c>
      <c r="AA59" s="7">
        <v>18.100000000000001</v>
      </c>
      <c r="AB59" s="7">
        <v>14</v>
      </c>
      <c r="AC59" s="7">
        <v>9</v>
      </c>
      <c r="AD59" s="4">
        <v>2</v>
      </c>
    </row>
    <row r="60" spans="1:32" s="4" customFormat="1" x14ac:dyDescent="0.2">
      <c r="A60" s="7" t="s">
        <v>59</v>
      </c>
      <c r="C60" s="7"/>
      <c r="D60" s="11">
        <v>19.989999999999998</v>
      </c>
      <c r="E60" s="7">
        <v>19.5</v>
      </c>
      <c r="F60" s="7">
        <v>24.22</v>
      </c>
      <c r="G60" s="7">
        <v>27.64</v>
      </c>
      <c r="H60" s="7">
        <v>28.52</v>
      </c>
      <c r="I60" s="7">
        <v>24</v>
      </c>
      <c r="M60" s="6"/>
      <c r="R60" s="4">
        <v>0</v>
      </c>
      <c r="S60" s="4">
        <f>S59+R60</f>
        <v>2</v>
      </c>
      <c r="T60" s="4">
        <f>T59+S60</f>
        <v>7</v>
      </c>
      <c r="W60" s="4">
        <f>W59+T60</f>
        <v>15.87</v>
      </c>
      <c r="X60" s="4">
        <f t="shared" ref="X60:AD60" si="15">X59+W60</f>
        <v>28.77</v>
      </c>
      <c r="Y60" s="4">
        <f t="shared" si="15"/>
        <v>42.58</v>
      </c>
      <c r="Z60" s="4">
        <f t="shared" si="15"/>
        <v>57.19</v>
      </c>
      <c r="AA60" s="4">
        <f t="shared" si="15"/>
        <v>75.289999999999992</v>
      </c>
      <c r="AB60" s="4">
        <f t="shared" si="15"/>
        <v>89.289999999999992</v>
      </c>
      <c r="AC60" s="4">
        <f t="shared" si="15"/>
        <v>98.289999999999992</v>
      </c>
      <c r="AD60" s="4">
        <f t="shared" si="15"/>
        <v>100.28999999999999</v>
      </c>
    </row>
    <row r="61" spans="1:32" s="4" customFormat="1" x14ac:dyDescent="0.2">
      <c r="A61" s="7" t="s">
        <v>68</v>
      </c>
      <c r="C61" s="7"/>
      <c r="D61" s="15">
        <v>39.28</v>
      </c>
      <c r="E61" s="7">
        <v>37.270000000000003</v>
      </c>
      <c r="F61" s="7">
        <v>34.19</v>
      </c>
      <c r="G61" s="7">
        <v>30.82</v>
      </c>
      <c r="H61" s="7">
        <v>28.02</v>
      </c>
      <c r="I61" s="7">
        <v>18</v>
      </c>
      <c r="M61" s="6"/>
    </row>
    <row r="62" spans="1:32" s="4" customFormat="1" x14ac:dyDescent="0.2">
      <c r="A62" s="7" t="s">
        <v>4</v>
      </c>
      <c r="C62" s="7"/>
      <c r="D62" s="7">
        <v>24.95</v>
      </c>
      <c r="E62" s="15">
        <v>23.6</v>
      </c>
      <c r="F62" s="7">
        <v>20.239999999999998</v>
      </c>
      <c r="G62" s="7">
        <v>19.22</v>
      </c>
      <c r="H62" s="7">
        <v>18.48</v>
      </c>
      <c r="I62" s="7">
        <v>7</v>
      </c>
      <c r="M62" s="6"/>
    </row>
    <row r="63" spans="1:32" s="4" customFormat="1" x14ac:dyDescent="0.2">
      <c r="A63" s="7" t="s">
        <v>5</v>
      </c>
      <c r="C63" s="7"/>
      <c r="D63" s="15">
        <v>5.1100000000000003</v>
      </c>
      <c r="E63" s="7">
        <v>5.31</v>
      </c>
      <c r="F63" s="7">
        <v>5.73</v>
      </c>
      <c r="G63" s="7">
        <v>5.38</v>
      </c>
      <c r="H63" s="7">
        <v>6.11</v>
      </c>
      <c r="I63" s="7">
        <v>2</v>
      </c>
      <c r="M63" s="6"/>
    </row>
    <row r="64" spans="1:32" s="4" customFormat="1" x14ac:dyDescent="0.2">
      <c r="A64" s="7" t="s">
        <v>6</v>
      </c>
      <c r="C64" s="7"/>
      <c r="D64" s="15">
        <v>1.76</v>
      </c>
      <c r="E64" s="7">
        <v>1.93</v>
      </c>
      <c r="F64" s="7">
        <v>1.8</v>
      </c>
      <c r="G64" s="7">
        <v>1.59</v>
      </c>
      <c r="H64" s="7">
        <v>1.4</v>
      </c>
      <c r="I64" s="7">
        <v>0</v>
      </c>
      <c r="M64" s="6"/>
    </row>
    <row r="65" spans="1:14" s="4" customFormat="1" x14ac:dyDescent="0.2">
      <c r="A65" s="7"/>
      <c r="C65" s="7"/>
      <c r="D65" s="15"/>
      <c r="E65" s="7"/>
      <c r="F65" s="7"/>
      <c r="G65" s="7"/>
      <c r="H65" s="7"/>
      <c r="M65" s="6"/>
    </row>
    <row r="66" spans="1:14" s="4" customFormat="1" x14ac:dyDescent="0.2">
      <c r="A66" s="7" t="s">
        <v>60</v>
      </c>
      <c r="B66" s="10">
        <f t="shared" ref="B66:G66" si="16">B58*B57/100</f>
        <v>426.77679999999998</v>
      </c>
      <c r="C66" s="10">
        <f t="shared" si="16"/>
        <v>450.94639999999998</v>
      </c>
      <c r="D66" s="10">
        <f t="shared" si="16"/>
        <v>858.02839999999992</v>
      </c>
      <c r="E66" s="10">
        <f t="shared" si="16"/>
        <v>401.8492</v>
      </c>
      <c r="F66" s="10">
        <f t="shared" si="16"/>
        <v>402.74180000000001</v>
      </c>
      <c r="G66" s="10">
        <f t="shared" si="16"/>
        <v>413.55779999999999</v>
      </c>
      <c r="H66" s="4">
        <f>H58*H57</f>
        <v>0</v>
      </c>
      <c r="I66" s="14">
        <f>+I58*$I$57/100</f>
        <v>0</v>
      </c>
      <c r="K66" s="10">
        <f>D66+E66</f>
        <v>1259.8775999999998</v>
      </c>
      <c r="L66" s="14">
        <f t="shared" ref="L66:L72" si="17">F66+G66+H66</f>
        <v>816.29960000000005</v>
      </c>
      <c r="M66" s="10">
        <f t="shared" ref="M66:M72" si="18">SUM(B66:H66)</f>
        <v>2953.9004</v>
      </c>
    </row>
    <row r="67" spans="1:14" s="4" customFormat="1" x14ac:dyDescent="0.2">
      <c r="A67" s="7" t="s">
        <v>61</v>
      </c>
      <c r="B67" s="10">
        <f t="shared" ref="B67:G67" si="19">B59*B57/100</f>
        <v>42677.68</v>
      </c>
      <c r="C67" s="10">
        <f t="shared" si="19"/>
        <v>112736.6</v>
      </c>
      <c r="D67" s="10">
        <f t="shared" si="19"/>
        <v>190267.7977</v>
      </c>
      <c r="E67" s="10">
        <f t="shared" si="19"/>
        <v>259192.73400000003</v>
      </c>
      <c r="F67" s="10">
        <f t="shared" si="19"/>
        <v>278093.21290000004</v>
      </c>
      <c r="G67" s="10">
        <f t="shared" si="19"/>
        <v>302103.97289999999</v>
      </c>
      <c r="H67" s="10">
        <f>H59*H57/100</f>
        <v>362099.36900000006</v>
      </c>
      <c r="I67" s="14">
        <f t="shared" ref="I67:I72" si="20">+I59*$I$57/100</f>
        <v>1011626.07</v>
      </c>
      <c r="K67" s="10">
        <f t="shared" ref="K67:K72" si="21">D67+E67</f>
        <v>449460.53170000005</v>
      </c>
      <c r="L67" s="14">
        <f t="shared" si="17"/>
        <v>942296.55480000016</v>
      </c>
      <c r="M67" s="10">
        <f t="shared" si="18"/>
        <v>1547171.3665</v>
      </c>
    </row>
    <row r="68" spans="1:14" s="4" customFormat="1" x14ac:dyDescent="0.2">
      <c r="A68" s="7" t="s">
        <v>2</v>
      </c>
      <c r="B68" s="10"/>
      <c r="C68" s="10"/>
      <c r="D68" s="10">
        <f>D60*D57/100</f>
        <v>428799.69289999997</v>
      </c>
      <c r="E68" s="10">
        <f>E60*E57/100</f>
        <v>391802.97</v>
      </c>
      <c r="F68" s="10">
        <f>F60*F57/100</f>
        <v>487720.31979999994</v>
      </c>
      <c r="G68" s="10">
        <f>G60*G57/100</f>
        <v>571536.87959999999</v>
      </c>
      <c r="H68" s="10">
        <f>H60*H57/100</f>
        <v>570556.57479999994</v>
      </c>
      <c r="I68" s="14">
        <f t="shared" si="20"/>
        <v>495490.32</v>
      </c>
      <c r="K68" s="10">
        <f t="shared" si="21"/>
        <v>820602.66289999988</v>
      </c>
      <c r="L68" s="10">
        <f t="shared" si="17"/>
        <v>1629813.7741999999</v>
      </c>
      <c r="M68" s="10">
        <f t="shared" si="18"/>
        <v>2450416.4370999997</v>
      </c>
      <c r="N68" s="10">
        <f>L68+K68</f>
        <v>2450416.4370999997</v>
      </c>
    </row>
    <row r="69" spans="1:14" s="4" customFormat="1" x14ac:dyDescent="0.2">
      <c r="A69" s="7" t="s">
        <v>3</v>
      </c>
      <c r="B69" s="10"/>
      <c r="C69" s="10"/>
      <c r="D69" s="10">
        <f>D61*D57/100</f>
        <v>842583.88879999996</v>
      </c>
      <c r="E69" s="10">
        <f>E61*E57/100</f>
        <v>748845.98420000006</v>
      </c>
      <c r="F69" s="10">
        <f>F61*F57/100</f>
        <v>688487.10709999991</v>
      </c>
      <c r="G69" s="10">
        <f>G61*G57/100</f>
        <v>637292.56980000006</v>
      </c>
      <c r="H69" s="10">
        <f>H61*H57/100</f>
        <v>560553.82979999995</v>
      </c>
      <c r="I69" s="14">
        <f t="shared" si="20"/>
        <v>371617.74</v>
      </c>
      <c r="K69" s="10">
        <f t="shared" si="21"/>
        <v>1591429.8730000001</v>
      </c>
      <c r="L69" s="10">
        <f t="shared" si="17"/>
        <v>1886333.5066999998</v>
      </c>
      <c r="M69" s="10">
        <f t="shared" si="18"/>
        <v>3477763.3797000004</v>
      </c>
      <c r="N69" s="10"/>
    </row>
    <row r="70" spans="1:14" s="4" customFormat="1" x14ac:dyDescent="0.2">
      <c r="A70" s="7" t="s">
        <v>4</v>
      </c>
      <c r="B70" s="10"/>
      <c r="C70" s="10"/>
      <c r="D70" s="10">
        <f>D62*D57/100</f>
        <v>535195.2145</v>
      </c>
      <c r="E70" s="10">
        <f>E62*E57/100</f>
        <v>474182.05600000004</v>
      </c>
      <c r="F70" s="10">
        <f>F62*F57/100</f>
        <v>407574.70159999997</v>
      </c>
      <c r="G70" s="10">
        <f>G62*G57/100</f>
        <v>397429.04579999996</v>
      </c>
      <c r="H70" s="10">
        <f>H62*H57/100</f>
        <v>369701.45520000003</v>
      </c>
      <c r="I70" s="14">
        <f t="shared" si="20"/>
        <v>144518.01</v>
      </c>
      <c r="K70" s="10">
        <f t="shared" si="21"/>
        <v>1009377.2705000001</v>
      </c>
      <c r="L70" s="10">
        <f t="shared" si="17"/>
        <v>1174705.2026</v>
      </c>
      <c r="M70" s="10">
        <f t="shared" si="18"/>
        <v>2184082.4731000001</v>
      </c>
      <c r="N70" s="10"/>
    </row>
    <row r="71" spans="1:14" s="4" customFormat="1" x14ac:dyDescent="0.2">
      <c r="A71" s="7" t="s">
        <v>5</v>
      </c>
      <c r="D71" s="10">
        <f>D63*D57/100</f>
        <v>109613.1281</v>
      </c>
      <c r="E71" s="10">
        <f>E63*E57/100</f>
        <v>106690.9626</v>
      </c>
      <c r="F71" s="10">
        <f>F63*F57/100</f>
        <v>115385.5257</v>
      </c>
      <c r="G71" s="10">
        <f>G63*G57/100</f>
        <v>111247.0482</v>
      </c>
      <c r="H71" s="10">
        <f>H63*H57/100</f>
        <v>122233.5439</v>
      </c>
      <c r="I71" s="14">
        <f t="shared" si="20"/>
        <v>41290.86</v>
      </c>
      <c r="J71" s="7"/>
      <c r="K71" s="10">
        <f t="shared" si="21"/>
        <v>216304.0907</v>
      </c>
      <c r="L71" s="10">
        <f t="shared" si="17"/>
        <v>348866.11780000001</v>
      </c>
      <c r="M71" s="10">
        <f t="shared" si="18"/>
        <v>565170.20850000007</v>
      </c>
    </row>
    <row r="72" spans="1:14" s="4" customFormat="1" x14ac:dyDescent="0.2">
      <c r="A72" s="7" t="s">
        <v>6</v>
      </c>
      <c r="D72" s="10">
        <f>D64*D57/100</f>
        <v>37753.249600000003</v>
      </c>
      <c r="E72" s="10">
        <f>E64*E57/100</f>
        <v>38778.447799999994</v>
      </c>
      <c r="F72" s="10">
        <f>F64*F57/100</f>
        <v>36246.762000000002</v>
      </c>
      <c r="G72" s="10">
        <f>G64*G57/100</f>
        <v>32877.845100000006</v>
      </c>
      <c r="H72" s="10">
        <f>H64*H57/100</f>
        <v>28007.685999999998</v>
      </c>
      <c r="I72" s="14">
        <f t="shared" si="20"/>
        <v>0</v>
      </c>
      <c r="J72" s="7"/>
      <c r="K72" s="10">
        <f t="shared" si="21"/>
        <v>76531.697400000005</v>
      </c>
      <c r="L72" s="10">
        <f t="shared" si="17"/>
        <v>97132.29310000001</v>
      </c>
      <c r="M72" s="10">
        <f t="shared" si="18"/>
        <v>173663.99050000001</v>
      </c>
    </row>
    <row r="73" spans="1:14" s="4" customFormat="1" x14ac:dyDescent="0.2">
      <c r="A73" s="7"/>
      <c r="D73" s="10"/>
      <c r="E73" s="10"/>
      <c r="F73" s="10"/>
      <c r="G73" s="10"/>
      <c r="H73" s="10"/>
      <c r="J73" s="7"/>
      <c r="K73" s="10"/>
      <c r="L73" s="10"/>
    </row>
    <row r="74" spans="1:14" s="4" customFormat="1" x14ac:dyDescent="0.2">
      <c r="A74" s="7"/>
      <c r="D74" s="4">
        <f>(D67+D68)/(D68+D69+D67)</f>
        <v>0.42353977105958313</v>
      </c>
      <c r="J74" s="7"/>
      <c r="K74" s="10">
        <f>SUM(K66:K72)</f>
        <v>4164966.0038000001</v>
      </c>
      <c r="L74" s="10">
        <f>SUM(L66:L72)</f>
        <v>6079963.7488000002</v>
      </c>
    </row>
    <row r="75" spans="1:14" s="4" customFormat="1" x14ac:dyDescent="0.2">
      <c r="A75" s="7"/>
      <c r="D75" s="4">
        <f>D70/(D70+D71)</f>
        <v>0.83000665335994683</v>
      </c>
      <c r="J75" s="7"/>
      <c r="K75" s="10"/>
      <c r="L75" s="10"/>
    </row>
    <row r="76" spans="1:14" s="4" customFormat="1" ht="25.5" x14ac:dyDescent="0.2">
      <c r="A76" s="7" t="s">
        <v>69</v>
      </c>
      <c r="B76" s="12" t="s">
        <v>36</v>
      </c>
      <c r="C76" s="12" t="s">
        <v>37</v>
      </c>
      <c r="D76" s="12" t="s">
        <v>38</v>
      </c>
      <c r="E76" s="12" t="s">
        <v>39</v>
      </c>
      <c r="F76" s="12" t="s">
        <v>40</v>
      </c>
      <c r="G76" s="12" t="s">
        <v>41</v>
      </c>
      <c r="H76" s="12" t="s">
        <v>42</v>
      </c>
      <c r="I76" s="12" t="s">
        <v>43</v>
      </c>
      <c r="J76" s="12" t="s">
        <v>44</v>
      </c>
      <c r="K76" s="13" t="s">
        <v>45</v>
      </c>
    </row>
    <row r="77" spans="1:14" s="4" customFormat="1" x14ac:dyDescent="0.2">
      <c r="A77" s="7" t="s">
        <v>0</v>
      </c>
      <c r="B77" s="10">
        <f>L66</f>
        <v>816.29960000000005</v>
      </c>
      <c r="K77" s="10">
        <f t="shared" ref="K77:K83" si="22">SUM(B77:J77)</f>
        <v>816.29960000000005</v>
      </c>
    </row>
    <row r="78" spans="1:14" s="4" customFormat="1" x14ac:dyDescent="0.2">
      <c r="A78" s="7" t="s">
        <v>1</v>
      </c>
      <c r="B78" s="10">
        <f>L67</f>
        <v>942296.55480000016</v>
      </c>
      <c r="K78" s="10">
        <f t="shared" si="22"/>
        <v>942296.55480000016</v>
      </c>
    </row>
    <row r="79" spans="1:14" s="4" customFormat="1" x14ac:dyDescent="0.2">
      <c r="A79" s="7" t="s">
        <v>2</v>
      </c>
      <c r="B79" s="10">
        <f>B36-B77-B78</f>
        <v>302121.14559999981</v>
      </c>
      <c r="C79" s="10">
        <f>L68-B79</f>
        <v>1327692.6285999999</v>
      </c>
      <c r="D79" s="10"/>
      <c r="K79" s="10">
        <f t="shared" si="22"/>
        <v>1629813.7741999999</v>
      </c>
    </row>
    <row r="80" spans="1:14" s="4" customFormat="1" x14ac:dyDescent="0.2">
      <c r="A80" s="7" t="s">
        <v>3</v>
      </c>
      <c r="C80" s="10">
        <f>C36-C79</f>
        <v>96174.371400000062</v>
      </c>
      <c r="D80" s="10">
        <f>D36</f>
        <v>1211421</v>
      </c>
      <c r="E80" s="10">
        <f>L69-D80-C80</f>
        <v>578738.13529999973</v>
      </c>
      <c r="G80" s="10"/>
      <c r="K80" s="10">
        <f t="shared" si="22"/>
        <v>1886333.5066999998</v>
      </c>
    </row>
    <row r="81" spans="1:11" s="4" customFormat="1" x14ac:dyDescent="0.2">
      <c r="A81" s="7" t="s">
        <v>4</v>
      </c>
      <c r="E81" s="10">
        <f>E36-E80</f>
        <v>690238.86470000027</v>
      </c>
      <c r="F81" s="10">
        <f>L70-E81</f>
        <v>484466.33789999969</v>
      </c>
      <c r="G81" s="6"/>
      <c r="H81" s="6"/>
      <c r="K81" s="10">
        <f t="shared" si="22"/>
        <v>1174705.2026</v>
      </c>
    </row>
    <row r="82" spans="1:11" s="4" customFormat="1" x14ac:dyDescent="0.2">
      <c r="A82" s="7" t="s">
        <v>5</v>
      </c>
      <c r="F82" s="10">
        <f>F36-F81</f>
        <v>41509.662100000307</v>
      </c>
      <c r="G82" s="6">
        <f>G36-G81</f>
        <v>220774</v>
      </c>
      <c r="H82" s="6">
        <f>L71-G82-F82</f>
        <v>86582.4556999997</v>
      </c>
      <c r="K82" s="10">
        <f t="shared" si="22"/>
        <v>348866.11780000001</v>
      </c>
    </row>
    <row r="83" spans="1:11" s="4" customFormat="1" x14ac:dyDescent="0.2">
      <c r="A83" s="7" t="s">
        <v>6</v>
      </c>
      <c r="H83" s="6">
        <f>H36-H82</f>
        <v>150545.5443000003</v>
      </c>
      <c r="I83" s="6">
        <f>I36</f>
        <v>199665</v>
      </c>
      <c r="K83" s="10">
        <f t="shared" si="22"/>
        <v>350210.5443000003</v>
      </c>
    </row>
    <row r="84" spans="1:11" s="4" customFormat="1" x14ac:dyDescent="0.2">
      <c r="B84" s="10">
        <f t="shared" ref="B84:I84" si="23">SUM(B77:B83)</f>
        <v>1245234</v>
      </c>
      <c r="C84" s="10">
        <f t="shared" si="23"/>
        <v>1423867</v>
      </c>
      <c r="D84" s="10">
        <f t="shared" si="23"/>
        <v>1211421</v>
      </c>
      <c r="E84" s="10">
        <f t="shared" si="23"/>
        <v>1268977</v>
      </c>
      <c r="F84" s="10">
        <f t="shared" si="23"/>
        <v>525976</v>
      </c>
      <c r="G84" s="10">
        <f t="shared" si="23"/>
        <v>220774</v>
      </c>
      <c r="H84" s="10">
        <f t="shared" si="23"/>
        <v>237128</v>
      </c>
      <c r="I84" s="10">
        <f t="shared" si="23"/>
        <v>199665</v>
      </c>
      <c r="K84" s="10">
        <f>SUM(B84:J84)</f>
        <v>6333042</v>
      </c>
    </row>
    <row r="85" spans="1:11" s="4" customFormat="1" x14ac:dyDescent="0.2"/>
    <row r="86" spans="1:11" s="4" customFormat="1" ht="25.5" x14ac:dyDescent="0.2">
      <c r="A86" s="7" t="s">
        <v>70</v>
      </c>
      <c r="B86" s="12" t="s">
        <v>36</v>
      </c>
      <c r="C86" s="12" t="s">
        <v>37</v>
      </c>
      <c r="D86" s="12" t="s">
        <v>38</v>
      </c>
      <c r="E86" s="12" t="s">
        <v>39</v>
      </c>
      <c r="F86" s="12" t="s">
        <v>40</v>
      </c>
      <c r="G86" s="12" t="s">
        <v>41</v>
      </c>
      <c r="H86" s="12" t="s">
        <v>42</v>
      </c>
      <c r="I86" s="12" t="s">
        <v>43</v>
      </c>
      <c r="J86" s="12" t="s">
        <v>44</v>
      </c>
      <c r="K86" s="13" t="s">
        <v>45</v>
      </c>
    </row>
    <row r="87" spans="1:11" s="4" customFormat="1" x14ac:dyDescent="0.2">
      <c r="A87" s="7" t="s">
        <v>0</v>
      </c>
      <c r="B87" s="10">
        <f>K66</f>
        <v>1259.8775999999998</v>
      </c>
      <c r="K87" s="10">
        <f t="shared" ref="K87:K94" si="24">SUM(B87:J87)</f>
        <v>1259.8775999999998</v>
      </c>
    </row>
    <row r="88" spans="1:11" s="4" customFormat="1" x14ac:dyDescent="0.2">
      <c r="A88" s="7" t="s">
        <v>1</v>
      </c>
      <c r="B88" s="10">
        <f>K67</f>
        <v>449460.53170000005</v>
      </c>
      <c r="K88" s="10">
        <f t="shared" si="24"/>
        <v>449460.53170000005</v>
      </c>
    </row>
    <row r="89" spans="1:11" s="4" customFormat="1" x14ac:dyDescent="0.2">
      <c r="A89" s="7" t="s">
        <v>2</v>
      </c>
      <c r="B89" s="10">
        <f>B37-B88-B87</f>
        <v>353843.59069999994</v>
      </c>
      <c r="C89" s="10">
        <f>K68-B89</f>
        <v>466759.07219999994</v>
      </c>
      <c r="D89" s="10"/>
      <c r="K89" s="10">
        <f t="shared" si="24"/>
        <v>820602.66289999988</v>
      </c>
    </row>
    <row r="90" spans="1:11" s="4" customFormat="1" x14ac:dyDescent="0.2">
      <c r="A90" s="7" t="s">
        <v>3</v>
      </c>
      <c r="C90" s="10">
        <f>C37-C89</f>
        <v>811466.92780000006</v>
      </c>
      <c r="D90" s="10">
        <f>K69-C90</f>
        <v>779962.94520000007</v>
      </c>
      <c r="E90" s="10"/>
      <c r="G90" s="10"/>
      <c r="K90" s="10">
        <f t="shared" si="24"/>
        <v>1591429.8730000001</v>
      </c>
    </row>
    <row r="91" spans="1:11" s="4" customFormat="1" x14ac:dyDescent="0.2">
      <c r="A91" s="7" t="s">
        <v>4</v>
      </c>
      <c r="D91" s="10">
        <f>D37-D90</f>
        <v>169292.05479999993</v>
      </c>
      <c r="E91" s="10">
        <f>K70-D91</f>
        <v>840085.21570000018</v>
      </c>
      <c r="F91" s="10"/>
      <c r="G91" s="6"/>
      <c r="H91" s="6"/>
      <c r="K91" s="10">
        <f t="shared" si="24"/>
        <v>1009377.2705000001</v>
      </c>
    </row>
    <row r="92" spans="1:11" s="4" customFormat="1" x14ac:dyDescent="0.2">
      <c r="A92" s="7" t="s">
        <v>5</v>
      </c>
      <c r="E92" s="10">
        <f>E37-E91</f>
        <v>58250.784299999825</v>
      </c>
      <c r="F92" s="10">
        <f>K71-E92</f>
        <v>158053.30640000018</v>
      </c>
      <c r="G92" s="6"/>
      <c r="H92" s="6"/>
      <c r="K92" s="10">
        <f t="shared" si="24"/>
        <v>216304.0907</v>
      </c>
    </row>
    <row r="93" spans="1:11" s="4" customFormat="1" x14ac:dyDescent="0.2">
      <c r="A93" s="7" t="s">
        <v>6</v>
      </c>
      <c r="F93" s="10">
        <f>F37-F92</f>
        <v>115541.69359999982</v>
      </c>
      <c r="G93" s="6">
        <f>G37</f>
        <v>157512</v>
      </c>
      <c r="H93" s="6">
        <f>H37</f>
        <v>140160</v>
      </c>
      <c r="I93" s="6">
        <f>I37</f>
        <v>121226</v>
      </c>
      <c r="K93" s="10">
        <f t="shared" si="24"/>
        <v>534439.69359999988</v>
      </c>
    </row>
    <row r="94" spans="1:11" s="4" customFormat="1" x14ac:dyDescent="0.2">
      <c r="B94" s="10">
        <f t="shared" ref="B94:I94" si="25">SUM(B87:B93)</f>
        <v>804564</v>
      </c>
      <c r="C94" s="10">
        <f t="shared" si="25"/>
        <v>1278226</v>
      </c>
      <c r="D94" s="10">
        <f t="shared" si="25"/>
        <v>949255</v>
      </c>
      <c r="E94" s="10">
        <f t="shared" si="25"/>
        <v>898336</v>
      </c>
      <c r="F94" s="10">
        <f t="shared" si="25"/>
        <v>273595</v>
      </c>
      <c r="G94" s="10">
        <f t="shared" si="25"/>
        <v>157512</v>
      </c>
      <c r="H94" s="10">
        <f t="shared" si="25"/>
        <v>140160</v>
      </c>
      <c r="I94" s="10">
        <f t="shared" si="25"/>
        <v>121226</v>
      </c>
      <c r="K94" s="10">
        <f t="shared" si="24"/>
        <v>4622874</v>
      </c>
    </row>
    <row r="95" spans="1:11" s="4" customFormat="1" x14ac:dyDescent="0.2"/>
    <row r="96" spans="1:11" s="4" customFormat="1" x14ac:dyDescent="0.2"/>
    <row r="97" spans="1:11" s="4" customFormat="1" ht="25.5" x14ac:dyDescent="0.2">
      <c r="A97" s="7" t="s">
        <v>74</v>
      </c>
      <c r="B97" s="12" t="s">
        <v>36</v>
      </c>
      <c r="C97" s="12" t="s">
        <v>37</v>
      </c>
      <c r="D97" s="12" t="s">
        <v>38</v>
      </c>
      <c r="E97" s="12" t="s">
        <v>39</v>
      </c>
      <c r="F97" s="12" t="s">
        <v>40</v>
      </c>
      <c r="G97" s="12" t="s">
        <v>41</v>
      </c>
      <c r="H97" s="12" t="s">
        <v>42</v>
      </c>
      <c r="I97" s="12" t="s">
        <v>43</v>
      </c>
      <c r="J97" s="12" t="s">
        <v>44</v>
      </c>
      <c r="K97" s="13" t="s">
        <v>45</v>
      </c>
    </row>
    <row r="98" spans="1:11" s="4" customFormat="1" x14ac:dyDescent="0.2">
      <c r="A98" s="7" t="s">
        <v>0</v>
      </c>
      <c r="B98" s="10">
        <v>0</v>
      </c>
      <c r="K98" s="10">
        <f t="shared" ref="K98:K104" si="26">SUM(B98:J98)</f>
        <v>0</v>
      </c>
    </row>
    <row r="99" spans="1:11" s="4" customFormat="1" x14ac:dyDescent="0.2">
      <c r="A99" s="7" t="s">
        <v>1</v>
      </c>
      <c r="B99" s="10">
        <f>B67+C67</f>
        <v>155414.28</v>
      </c>
      <c r="K99" s="10">
        <f t="shared" si="26"/>
        <v>155414.28</v>
      </c>
    </row>
    <row r="100" spans="1:11" s="4" customFormat="1" x14ac:dyDescent="0.2">
      <c r="A100" s="7" t="s">
        <v>2</v>
      </c>
      <c r="B100" s="10">
        <f>(B41-B37-B36-B99)*D74</f>
        <v>1211636.1989903138</v>
      </c>
      <c r="C100" s="10"/>
      <c r="D100" s="10"/>
      <c r="K100" s="10">
        <f t="shared" si="26"/>
        <v>1211636.1989903138</v>
      </c>
    </row>
    <row r="101" spans="1:11" s="4" customFormat="1" x14ac:dyDescent="0.2">
      <c r="A101" s="7" t="s">
        <v>3</v>
      </c>
      <c r="B101" s="10">
        <f>(B41-B37-B36-B99)*(1-D74)</f>
        <v>1649101.5210096862</v>
      </c>
      <c r="C101" s="10"/>
      <c r="D101" s="10"/>
      <c r="E101" s="10"/>
      <c r="G101" s="10"/>
      <c r="K101" s="10">
        <f t="shared" si="26"/>
        <v>1649101.5210096862</v>
      </c>
    </row>
    <row r="102" spans="1:11" s="4" customFormat="1" x14ac:dyDescent="0.2">
      <c r="A102" s="7" t="s">
        <v>4</v>
      </c>
      <c r="C102" s="10">
        <f>C41-C36-C37</f>
        <v>4811382</v>
      </c>
      <c r="D102" s="10">
        <f>(D41-D37-D36)*0.75</f>
        <v>4385436.75</v>
      </c>
      <c r="E102" s="10">
        <f>(E41-E37-E36)*(1-D109)</f>
        <v>1839634.5</v>
      </c>
      <c r="F102" s="10">
        <f>(F41-F37-F36)*0.2</f>
        <v>88760.8</v>
      </c>
      <c r="G102" s="6"/>
      <c r="H102" s="6"/>
      <c r="K102" s="10">
        <f t="shared" si="26"/>
        <v>11125214.050000001</v>
      </c>
    </row>
    <row r="103" spans="1:11" s="4" customFormat="1" x14ac:dyDescent="0.2">
      <c r="A103" s="7" t="s">
        <v>5</v>
      </c>
      <c r="C103" s="10"/>
      <c r="D103" s="10">
        <f>(D41-D37-D36)*(1-0.75)</f>
        <v>1461812.25</v>
      </c>
      <c r="E103" s="10">
        <f>(E41-E37-E36)*D109</f>
        <v>1839634.5</v>
      </c>
      <c r="F103" s="10">
        <f>(F41-F37-F36)*0.8</f>
        <v>355043.2</v>
      </c>
      <c r="G103" s="6">
        <f>(G41-G37-G36)*0.75</f>
        <v>472890.75</v>
      </c>
      <c r="H103" s="6"/>
      <c r="K103" s="10">
        <f t="shared" si="26"/>
        <v>4129380.7</v>
      </c>
    </row>
    <row r="104" spans="1:11" s="4" customFormat="1" x14ac:dyDescent="0.2">
      <c r="A104" s="7" t="s">
        <v>6</v>
      </c>
      <c r="F104" s="10"/>
      <c r="G104" s="6">
        <f>(G41-G37-G36)*0.25</f>
        <v>157630.25</v>
      </c>
      <c r="H104" s="6">
        <f>H41-H37-H36</f>
        <v>740684</v>
      </c>
      <c r="I104" s="6">
        <f>I41-I37-I36</f>
        <v>367991</v>
      </c>
      <c r="K104" s="10">
        <f t="shared" si="26"/>
        <v>1266305.25</v>
      </c>
    </row>
    <row r="105" spans="1:11" s="4" customFormat="1" x14ac:dyDescent="0.2">
      <c r="B105" s="10">
        <f t="shared" ref="B105:I105" si="27">SUM(B98:B104)</f>
        <v>3016152</v>
      </c>
      <c r="C105" s="10">
        <f t="shared" si="27"/>
        <v>4811382</v>
      </c>
      <c r="D105" s="10">
        <f t="shared" si="27"/>
        <v>5847249</v>
      </c>
      <c r="E105" s="10">
        <f t="shared" si="27"/>
        <v>3679269</v>
      </c>
      <c r="F105" s="10">
        <f t="shared" si="27"/>
        <v>443804</v>
      </c>
      <c r="G105" s="10">
        <f t="shared" si="27"/>
        <v>630521</v>
      </c>
      <c r="H105" s="10">
        <f t="shared" si="27"/>
        <v>740684</v>
      </c>
      <c r="I105" s="10">
        <f t="shared" si="27"/>
        <v>367991</v>
      </c>
      <c r="K105" s="10">
        <f>SUM(B105:J105)</f>
        <v>19537052</v>
      </c>
    </row>
    <row r="106" spans="1:11" s="4" customFormat="1" x14ac:dyDescent="0.2">
      <c r="B106" s="20">
        <f>B41-B36-B37</f>
        <v>3016152</v>
      </c>
      <c r="C106" s="20">
        <f t="shared" ref="C106:I106" si="28">C41-C36-C37</f>
        <v>4811382</v>
      </c>
      <c r="D106" s="20">
        <f t="shared" si="28"/>
        <v>5847249</v>
      </c>
      <c r="E106" s="20">
        <f t="shared" si="28"/>
        <v>3679269</v>
      </c>
      <c r="F106" s="20">
        <f t="shared" si="28"/>
        <v>443804</v>
      </c>
      <c r="G106" s="20">
        <f t="shared" si="28"/>
        <v>630521</v>
      </c>
      <c r="H106" s="20">
        <f t="shared" si="28"/>
        <v>740684</v>
      </c>
      <c r="I106" s="20">
        <f t="shared" si="28"/>
        <v>367991</v>
      </c>
    </row>
    <row r="107" spans="1:11" s="4" customFormat="1" x14ac:dyDescent="0.2"/>
    <row r="108" spans="1:11" s="4" customFormat="1" x14ac:dyDescent="0.2">
      <c r="D108" s="4">
        <f>(C102+D102+E102+F102)/(D103+E103+C102+D102+F102+F103+G103)</f>
        <v>0.82931397802688245</v>
      </c>
    </row>
    <row r="109" spans="1:11" s="4" customFormat="1" x14ac:dyDescent="0.2">
      <c r="D109" s="4">
        <v>0.5</v>
      </c>
    </row>
    <row r="110" spans="1:11" s="4" customFormat="1" x14ac:dyDescent="0.2"/>
    <row r="111" spans="1:11" s="4" customFormat="1" x14ac:dyDescent="0.2"/>
    <row r="112" spans="1:11" s="4" customFormat="1" x14ac:dyDescent="0.2"/>
    <row r="113" spans="1:13" s="4" customFormat="1" x14ac:dyDescent="0.2"/>
    <row r="114" spans="1:13" s="4" customFormat="1" x14ac:dyDescent="0.2"/>
    <row r="115" spans="1:13" s="4" customFormat="1" x14ac:dyDescent="0.2">
      <c r="B115" s="4" t="s">
        <v>80</v>
      </c>
    </row>
    <row r="116" spans="1:13" s="4" customFormat="1" x14ac:dyDescent="0.2">
      <c r="A116" s="7" t="s">
        <v>64</v>
      </c>
      <c r="B116" s="18" t="s">
        <v>11</v>
      </c>
      <c r="C116" s="1" t="s">
        <v>73</v>
      </c>
    </row>
    <row r="117" spans="1:13" s="4" customFormat="1" x14ac:dyDescent="0.2">
      <c r="A117" s="7" t="s">
        <v>0</v>
      </c>
      <c r="B117" s="18">
        <v>100</v>
      </c>
      <c r="C117" s="23">
        <f t="shared" ref="C117:C122" si="29">K77+K87+K98</f>
        <v>2076.1772000000001</v>
      </c>
      <c r="D117" s="22"/>
      <c r="F117" s="35"/>
      <c r="G117" s="22"/>
      <c r="K117" s="4">
        <v>29.5</v>
      </c>
      <c r="L117" s="4">
        <f>100-K117</f>
        <v>70.5</v>
      </c>
    </row>
    <row r="118" spans="1:13" s="4" customFormat="1" x14ac:dyDescent="0.2">
      <c r="A118" s="7" t="s">
        <v>1</v>
      </c>
      <c r="B118" s="18">
        <v>120</v>
      </c>
      <c r="C118" s="23">
        <f t="shared" si="29"/>
        <v>1547171.3665000002</v>
      </c>
      <c r="D118" s="22"/>
      <c r="F118" s="22"/>
      <c r="G118" s="22"/>
      <c r="K118" s="4">
        <v>29.5</v>
      </c>
      <c r="L118" s="4">
        <f t="shared" ref="L118:L129" si="30">100-K118</f>
        <v>70.5</v>
      </c>
    </row>
    <row r="119" spans="1:13" s="4" customFormat="1" x14ac:dyDescent="0.2">
      <c r="A119" s="7" t="s">
        <v>2</v>
      </c>
      <c r="B119" s="18">
        <v>140</v>
      </c>
      <c r="C119" s="23">
        <f t="shared" si="29"/>
        <v>3662052.6360903136</v>
      </c>
      <c r="D119" s="22"/>
      <c r="F119" s="22"/>
      <c r="G119" s="22"/>
      <c r="K119" s="4">
        <v>29.5</v>
      </c>
      <c r="L119" s="4">
        <f t="shared" si="30"/>
        <v>70.5</v>
      </c>
    </row>
    <row r="120" spans="1:13" s="4" customFormat="1" x14ac:dyDescent="0.2">
      <c r="A120" s="7" t="s">
        <v>3</v>
      </c>
      <c r="B120" s="18">
        <v>160</v>
      </c>
      <c r="C120" s="23">
        <f t="shared" si="29"/>
        <v>5126864.9007096859</v>
      </c>
      <c r="D120" s="22"/>
      <c r="F120" s="22"/>
      <c r="G120" s="22"/>
      <c r="K120" s="4">
        <v>29.5</v>
      </c>
      <c r="L120" s="4">
        <f t="shared" si="30"/>
        <v>70.5</v>
      </c>
    </row>
    <row r="121" spans="1:13" s="4" customFormat="1" x14ac:dyDescent="0.2">
      <c r="A121" s="7" t="s">
        <v>4</v>
      </c>
      <c r="B121" s="18">
        <v>200</v>
      </c>
      <c r="C121" s="23">
        <f t="shared" si="29"/>
        <v>13309296.5231</v>
      </c>
      <c r="D121" s="22"/>
      <c r="F121" s="22"/>
      <c r="G121" s="22"/>
      <c r="K121" s="4">
        <v>29.5</v>
      </c>
      <c r="L121" s="4">
        <f t="shared" si="30"/>
        <v>70.5</v>
      </c>
    </row>
    <row r="122" spans="1:13" s="4" customFormat="1" x14ac:dyDescent="0.2">
      <c r="A122" s="7" t="s">
        <v>5</v>
      </c>
      <c r="B122" s="18">
        <v>250</v>
      </c>
      <c r="C122" s="23">
        <f t="shared" si="29"/>
        <v>4694550.9084999999</v>
      </c>
      <c r="D122" s="22"/>
      <c r="F122" s="22"/>
      <c r="G122" s="22"/>
      <c r="K122" s="4">
        <v>29.5</v>
      </c>
      <c r="L122" s="4">
        <f t="shared" si="30"/>
        <v>70.5</v>
      </c>
    </row>
    <row r="123" spans="1:13" s="4" customFormat="1" x14ac:dyDescent="0.2">
      <c r="A123" s="7" t="s">
        <v>6</v>
      </c>
      <c r="B123" s="19">
        <v>475</v>
      </c>
      <c r="C123" s="23">
        <f>K83+K93++K104</f>
        <v>2150955.4879000001</v>
      </c>
      <c r="D123" s="22"/>
      <c r="F123" s="22"/>
      <c r="G123" s="22"/>
      <c r="K123" s="4">
        <v>29.5</v>
      </c>
      <c r="L123" s="4">
        <f t="shared" si="30"/>
        <v>70.5</v>
      </c>
    </row>
    <row r="124" spans="1:13" s="4" customFormat="1" x14ac:dyDescent="0.2">
      <c r="C124" s="23">
        <f>SUM(C117:C123)</f>
        <v>30492968</v>
      </c>
      <c r="D124" s="24"/>
      <c r="E124" s="24"/>
      <c r="F124" s="24"/>
      <c r="G124" s="24"/>
      <c r="K124" s="4">
        <v>29.5</v>
      </c>
      <c r="L124" s="4">
        <f t="shared" si="30"/>
        <v>70.5</v>
      </c>
    </row>
    <row r="125" spans="1:13" s="4" customFormat="1" x14ac:dyDescent="0.2">
      <c r="K125" s="4">
        <v>29.5</v>
      </c>
      <c r="L125" s="4">
        <f t="shared" si="30"/>
        <v>70.5</v>
      </c>
    </row>
    <row r="126" spans="1:13" s="4" customFormat="1" x14ac:dyDescent="0.2">
      <c r="A126" s="7" t="s">
        <v>72</v>
      </c>
      <c r="K126" s="4">
        <v>29.5</v>
      </c>
      <c r="L126" s="4">
        <f t="shared" si="30"/>
        <v>70.5</v>
      </c>
    </row>
    <row r="127" spans="1:13" s="4" customFormat="1" x14ac:dyDescent="0.2">
      <c r="A127" s="1"/>
      <c r="B127" s="18" t="s">
        <v>83</v>
      </c>
      <c r="D127" s="1"/>
      <c r="E127" s="1" t="s">
        <v>79</v>
      </c>
      <c r="F127" s="7"/>
      <c r="G127" s="7"/>
      <c r="H127" s="7"/>
      <c r="I127" s="7"/>
      <c r="J127" s="7"/>
      <c r="K127" s="4">
        <v>29.5</v>
      </c>
      <c r="L127" s="4">
        <f t="shared" si="30"/>
        <v>70.5</v>
      </c>
      <c r="M127" s="31"/>
    </row>
    <row r="128" spans="1:13" s="4" customFormat="1" x14ac:dyDescent="0.2">
      <c r="A128" s="1" t="s">
        <v>0</v>
      </c>
      <c r="B128" s="53">
        <f>C117+I66/1000</f>
        <v>2076.1772000000001</v>
      </c>
      <c r="C128" s="24"/>
      <c r="D128" s="1" t="s">
        <v>0</v>
      </c>
      <c r="E128" s="34">
        <f>B128+C4/1000</f>
        <v>2076.1772000000001</v>
      </c>
      <c r="F128" s="29"/>
      <c r="G128" s="35"/>
      <c r="H128" s="35"/>
      <c r="I128" s="35"/>
      <c r="J128" s="35"/>
      <c r="K128" s="4">
        <v>29.5</v>
      </c>
      <c r="L128" s="4">
        <f t="shared" si="30"/>
        <v>70.5</v>
      </c>
      <c r="M128" s="27"/>
    </row>
    <row r="129" spans="1:14" s="4" customFormat="1" x14ac:dyDescent="0.2">
      <c r="A129" s="1" t="s">
        <v>1</v>
      </c>
      <c r="B129" s="26">
        <f t="shared" ref="B129:B134" si="31">C118+I67/1000</f>
        <v>1548182.9925700002</v>
      </c>
      <c r="C129" s="24"/>
      <c r="D129" s="1" t="s">
        <v>1</v>
      </c>
      <c r="E129" s="34">
        <f t="shared" ref="E129:E134" si="32">B129+C5/1000</f>
        <v>1548544.9925700002</v>
      </c>
      <c r="F129" s="29"/>
      <c r="G129" s="29"/>
      <c r="H129" s="28"/>
      <c r="I129" s="7"/>
      <c r="J129" s="27"/>
      <c r="K129" s="4">
        <v>29.5</v>
      </c>
      <c r="L129" s="4">
        <f t="shared" si="30"/>
        <v>70.5</v>
      </c>
      <c r="M129" s="27"/>
    </row>
    <row r="130" spans="1:14" s="4" customFormat="1" x14ac:dyDescent="0.2">
      <c r="A130" s="1" t="s">
        <v>2</v>
      </c>
      <c r="B130" s="26">
        <f t="shared" si="31"/>
        <v>3662548.1264103134</v>
      </c>
      <c r="C130" s="24"/>
      <c r="D130" s="1" t="s">
        <v>2</v>
      </c>
      <c r="E130" s="34">
        <f t="shared" si="32"/>
        <v>3663118.5264103133</v>
      </c>
      <c r="F130" s="29"/>
      <c r="G130" s="29"/>
      <c r="H130" s="28"/>
      <c r="I130" s="7"/>
      <c r="J130" s="27"/>
      <c r="K130" s="7">
        <v>32</v>
      </c>
      <c r="L130" s="4">
        <f>100-K130</f>
        <v>68</v>
      </c>
      <c r="M130" s="27"/>
    </row>
    <row r="131" spans="1:14" s="4" customFormat="1" x14ac:dyDescent="0.2">
      <c r="A131" s="1" t="s">
        <v>3</v>
      </c>
      <c r="B131" s="26">
        <f t="shared" si="31"/>
        <v>5127236.5184496855</v>
      </c>
      <c r="C131" s="24"/>
      <c r="D131" s="1" t="s">
        <v>3</v>
      </c>
      <c r="E131" s="34">
        <f t="shared" si="32"/>
        <v>5127796.9184496859</v>
      </c>
      <c r="F131" s="29"/>
      <c r="G131" s="29"/>
      <c r="H131" s="28"/>
      <c r="I131" s="7"/>
      <c r="J131" s="27"/>
      <c r="K131" s="7">
        <v>47</v>
      </c>
      <c r="L131" s="4">
        <f>100-K131</f>
        <v>53</v>
      </c>
      <c r="M131" s="27"/>
    </row>
    <row r="132" spans="1:14" s="4" customFormat="1" x14ac:dyDescent="0.2">
      <c r="A132" s="1" t="s">
        <v>4</v>
      </c>
      <c r="B132" s="26">
        <f t="shared" si="31"/>
        <v>13309441.04111</v>
      </c>
      <c r="C132" s="24"/>
      <c r="D132" s="1" t="s">
        <v>4</v>
      </c>
      <c r="E132" s="34">
        <f t="shared" si="32"/>
        <v>13309810.641109999</v>
      </c>
      <c r="F132" s="29"/>
      <c r="G132" s="29"/>
      <c r="H132" s="28"/>
      <c r="I132" s="7"/>
      <c r="J132" s="27"/>
      <c r="M132" s="27"/>
    </row>
    <row r="133" spans="1:14" s="4" customFormat="1" x14ac:dyDescent="0.2">
      <c r="A133" s="1" t="s">
        <v>5</v>
      </c>
      <c r="B133" s="26">
        <f t="shared" si="31"/>
        <v>4694592.19936</v>
      </c>
      <c r="C133" s="24"/>
      <c r="D133" s="1" t="s">
        <v>5</v>
      </c>
      <c r="E133" s="34">
        <f t="shared" si="32"/>
        <v>4694699.7993599996</v>
      </c>
      <c r="F133" s="29"/>
      <c r="G133" s="29"/>
      <c r="H133" s="28"/>
      <c r="I133" s="7"/>
      <c r="J133" s="27"/>
      <c r="M133" s="27"/>
    </row>
    <row r="134" spans="1:14" s="4" customFormat="1" x14ac:dyDescent="0.2">
      <c r="A134" s="1" t="s">
        <v>6</v>
      </c>
      <c r="B134" s="26">
        <f t="shared" si="31"/>
        <v>2150955.4879000001</v>
      </c>
      <c r="C134" s="24"/>
      <c r="D134" s="1" t="s">
        <v>6</v>
      </c>
      <c r="E134" s="34">
        <f t="shared" si="32"/>
        <v>2150983.4879000001</v>
      </c>
      <c r="F134" s="29"/>
      <c r="G134" s="29"/>
      <c r="H134" s="28"/>
      <c r="I134" s="7"/>
      <c r="J134" s="27"/>
      <c r="K134" s="4">
        <f t="shared" ref="K134:L136" si="33">SUM(K117:K129)</f>
        <v>383.5</v>
      </c>
      <c r="L134" s="4">
        <f t="shared" si="33"/>
        <v>916.5</v>
      </c>
      <c r="M134" s="27"/>
      <c r="N134" s="4">
        <f>K134/SUM(K134:L134)</f>
        <v>0.29499999999999998</v>
      </c>
    </row>
    <row r="135" spans="1:14" s="4" customFormat="1" x14ac:dyDescent="0.2">
      <c r="A135" s="1"/>
      <c r="B135" s="26">
        <f>SUM(B128:B134)</f>
        <v>30495032.542999994</v>
      </c>
      <c r="C135" s="24"/>
      <c r="D135" s="1"/>
      <c r="E135" s="23">
        <f>SUM(E128:E134)</f>
        <v>30497030.542999998</v>
      </c>
      <c r="F135" s="30"/>
      <c r="G135" s="30"/>
      <c r="H135" s="28"/>
      <c r="I135" s="28"/>
      <c r="J135" s="28"/>
      <c r="K135" s="4">
        <f t="shared" si="33"/>
        <v>386</v>
      </c>
      <c r="L135" s="4">
        <f t="shared" si="33"/>
        <v>914</v>
      </c>
      <c r="M135" s="27"/>
      <c r="N135" s="4">
        <f>K135/SUM(K135:L135)</f>
        <v>0.2969230769230769</v>
      </c>
    </row>
    <row r="136" spans="1:14" s="4" customFormat="1" x14ac:dyDescent="0.2">
      <c r="H136" s="7"/>
      <c r="I136" s="7"/>
      <c r="J136" s="7"/>
      <c r="K136" s="4">
        <f t="shared" si="33"/>
        <v>403.5</v>
      </c>
      <c r="L136" s="4">
        <f t="shared" si="33"/>
        <v>896.5</v>
      </c>
      <c r="M136" s="7"/>
      <c r="N136" s="4">
        <f>K136/SUM(K136:L136)</f>
        <v>0.31038461538461537</v>
      </c>
    </row>
    <row r="137" spans="1:14" s="4" customFormat="1" x14ac:dyDescent="0.2"/>
    <row r="138" spans="1:14" s="4" customFormat="1" x14ac:dyDescent="0.2">
      <c r="A138" s="1"/>
      <c r="B138" s="1" t="s">
        <v>75</v>
      </c>
      <c r="C138" s="7"/>
      <c r="D138" s="7"/>
      <c r="E138" s="7"/>
      <c r="F138" s="7"/>
    </row>
    <row r="139" spans="1:14" s="4" customFormat="1" x14ac:dyDescent="0.2">
      <c r="A139" s="1" t="s">
        <v>0</v>
      </c>
      <c r="B139" s="1">
        <v>0</v>
      </c>
    </row>
    <row r="140" spans="1:14" s="4" customFormat="1" x14ac:dyDescent="0.2">
      <c r="A140" s="1" t="s">
        <v>1</v>
      </c>
      <c r="B140" s="1">
        <v>0</v>
      </c>
      <c r="K140" s="10"/>
      <c r="M140" s="22"/>
    </row>
    <row r="141" spans="1:14" s="4" customFormat="1" x14ac:dyDescent="0.2">
      <c r="A141" s="1" t="s">
        <v>2</v>
      </c>
      <c r="B141" s="1">
        <v>0</v>
      </c>
      <c r="K141" s="10"/>
      <c r="M141" s="22"/>
    </row>
    <row r="142" spans="1:14" s="4" customFormat="1" x14ac:dyDescent="0.2">
      <c r="A142" s="1" t="s">
        <v>3</v>
      </c>
      <c r="B142" s="3">
        <v>492003.99987024069</v>
      </c>
      <c r="C142" s="10"/>
      <c r="D142" s="32"/>
      <c r="G142" s="10"/>
      <c r="H142" s="24"/>
      <c r="K142" s="10"/>
      <c r="M142" s="22"/>
    </row>
    <row r="143" spans="1:14" s="4" customFormat="1" x14ac:dyDescent="0.2">
      <c r="A143" s="1" t="s">
        <v>4</v>
      </c>
      <c r="B143" s="3">
        <v>3779167.974843964</v>
      </c>
      <c r="C143" s="10"/>
      <c r="D143" s="32"/>
      <c r="E143" s="33"/>
      <c r="G143" s="10"/>
      <c r="H143" s="24"/>
      <c r="K143" s="10"/>
      <c r="M143" s="22"/>
    </row>
    <row r="144" spans="1:14" s="4" customFormat="1" x14ac:dyDescent="0.2">
      <c r="A144" s="1" t="s">
        <v>5</v>
      </c>
      <c r="B144" s="3">
        <v>1491414.8282641657</v>
      </c>
      <c r="C144" s="10"/>
      <c r="D144" s="32"/>
      <c r="G144" s="10"/>
      <c r="H144" s="24"/>
      <c r="K144" s="10"/>
      <c r="M144" s="22"/>
    </row>
    <row r="145" spans="1:13" s="4" customFormat="1" x14ac:dyDescent="0.2">
      <c r="A145" s="1" t="s">
        <v>6</v>
      </c>
      <c r="B145" s="3">
        <v>441176.75155122904</v>
      </c>
      <c r="C145" s="10"/>
      <c r="D145" s="32"/>
      <c r="E145" s="7"/>
      <c r="G145" s="10"/>
      <c r="H145" s="24"/>
      <c r="K145" s="10"/>
      <c r="M145" s="22"/>
    </row>
    <row r="146" spans="1:13" s="4" customFormat="1" x14ac:dyDescent="0.2">
      <c r="A146" s="1" t="s">
        <v>9</v>
      </c>
      <c r="B146" s="23">
        <v>6203763.5545295998</v>
      </c>
      <c r="G146" s="10"/>
      <c r="H146" s="24"/>
      <c r="K146" s="10"/>
      <c r="M146" s="22"/>
    </row>
    <row r="147" spans="1:13" s="4" customFormat="1" x14ac:dyDescent="0.2">
      <c r="K147" s="10"/>
      <c r="M147" s="22"/>
    </row>
    <row r="148" spans="1:13" s="4" customFormat="1" hidden="1" x14ac:dyDescent="0.2">
      <c r="D148" s="25"/>
    </row>
    <row r="149" spans="1:13" s="4" customFormat="1" hidden="1" x14ac:dyDescent="0.2"/>
    <row r="150" spans="1:13" s="4" customFormat="1" hidden="1" x14ac:dyDescent="0.2">
      <c r="B150" s="4" t="s">
        <v>79</v>
      </c>
    </row>
    <row r="151" spans="1:13" s="4" customFormat="1" hidden="1" x14ac:dyDescent="0.2">
      <c r="B151" s="10">
        <f>C117</f>
        <v>2076.1772000000001</v>
      </c>
    </row>
    <row r="152" spans="1:13" s="4" customFormat="1" hidden="1" x14ac:dyDescent="0.2"/>
    <row r="153" spans="1:13" s="4" customFormat="1" x14ac:dyDescent="0.2"/>
    <row r="154" spans="1:13" s="4" customFormat="1" x14ac:dyDescent="0.2"/>
    <row r="155" spans="1:13" s="4" customFormat="1" x14ac:dyDescent="0.2"/>
    <row r="156" spans="1:13" s="4" customFormat="1" x14ac:dyDescent="0.2">
      <c r="C156" s="25"/>
    </row>
    <row r="157" spans="1:13" s="4" customFormat="1" x14ac:dyDescent="0.2"/>
    <row r="158" spans="1:13" s="4" customFormat="1" x14ac:dyDescent="0.2"/>
    <row r="159" spans="1:13" s="4" customFormat="1" x14ac:dyDescent="0.2"/>
    <row r="160" spans="1:13" s="4" customFormat="1" x14ac:dyDescent="0.2">
      <c r="B160" s="7"/>
    </row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pans="8:11" s="4" customFormat="1" x14ac:dyDescent="0.2"/>
    <row r="706" spans="8:11" s="4" customFormat="1" x14ac:dyDescent="0.2"/>
    <row r="707" spans="8:11" s="4" customFormat="1" x14ac:dyDescent="0.2"/>
    <row r="708" spans="8:11" s="4" customFormat="1" x14ac:dyDescent="0.2"/>
    <row r="709" spans="8:11" s="4" customFormat="1" x14ac:dyDescent="0.2"/>
    <row r="710" spans="8:11" s="4" customFormat="1" x14ac:dyDescent="0.2"/>
    <row r="711" spans="8:11" s="4" customFormat="1" x14ac:dyDescent="0.2"/>
    <row r="712" spans="8:11" s="4" customFormat="1" x14ac:dyDescent="0.2"/>
    <row r="713" spans="8:11" s="4" customFormat="1" x14ac:dyDescent="0.2"/>
    <row r="714" spans="8:11" s="4" customFormat="1" x14ac:dyDescent="0.2"/>
    <row r="715" spans="8:11" s="4" customFormat="1" x14ac:dyDescent="0.2"/>
    <row r="716" spans="8:11" s="4" customFormat="1" x14ac:dyDescent="0.2">
      <c r="H716"/>
    </row>
    <row r="717" spans="8:11" s="4" customFormat="1" x14ac:dyDescent="0.2">
      <c r="H717"/>
    </row>
    <row r="718" spans="8:11" s="4" customFormat="1" x14ac:dyDescent="0.2">
      <c r="H718"/>
      <c r="I718"/>
      <c r="J718"/>
      <c r="K718"/>
    </row>
    <row r="719" spans="8:11" s="4" customFormat="1" x14ac:dyDescent="0.2">
      <c r="H719"/>
      <c r="I719"/>
      <c r="J719"/>
      <c r="K719"/>
    </row>
    <row r="720" spans="8:11" s="4" customFormat="1" x14ac:dyDescent="0.2">
      <c r="H720"/>
      <c r="I720"/>
      <c r="J720"/>
      <c r="K720"/>
    </row>
    <row r="721" spans="1:11" s="4" customFormat="1" x14ac:dyDescent="0.2">
      <c r="H721"/>
      <c r="I721"/>
      <c r="J721"/>
      <c r="K721"/>
    </row>
    <row r="722" spans="1:11" s="4" customFormat="1" x14ac:dyDescent="0.2">
      <c r="H722"/>
      <c r="I722"/>
      <c r="J722"/>
      <c r="K722"/>
    </row>
    <row r="723" spans="1:11" s="4" customFormat="1" x14ac:dyDescent="0.2">
      <c r="H723"/>
      <c r="I723"/>
      <c r="J723"/>
      <c r="K723"/>
    </row>
    <row r="724" spans="1:11" s="4" customFormat="1" x14ac:dyDescent="0.2">
      <c r="H724"/>
      <c r="I724"/>
      <c r="J724"/>
      <c r="K724"/>
    </row>
    <row r="725" spans="1:11" s="4" customFormat="1" x14ac:dyDescent="0.2">
      <c r="A725"/>
      <c r="H725"/>
      <c r="I725"/>
      <c r="J725"/>
      <c r="K725"/>
    </row>
    <row r="726" spans="1:11" s="4" customFormat="1" x14ac:dyDescent="0.2">
      <c r="A726"/>
      <c r="B726"/>
      <c r="C726"/>
      <c r="D726"/>
      <c r="E726"/>
      <c r="F726"/>
      <c r="G726"/>
      <c r="H726"/>
      <c r="I726"/>
      <c r="J726"/>
      <c r="K726"/>
    </row>
    <row r="727" spans="1:11" s="4" customFormat="1" x14ac:dyDescent="0.2">
      <c r="A727"/>
      <c r="B727"/>
      <c r="C727"/>
      <c r="D727"/>
      <c r="E727"/>
      <c r="F727"/>
      <c r="G727"/>
      <c r="H727"/>
      <c r="I727"/>
      <c r="J727"/>
      <c r="K727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 malus</vt:lpstr>
      <vt:lpstr>estimation dette </vt:lpstr>
      <vt:lpstr>estimation du parc</vt:lpstr>
    </vt:vector>
  </TitlesOfParts>
  <Company>ADEME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callonnecg</dc:creator>
  <cp:lastModifiedBy>Frederic</cp:lastModifiedBy>
  <dcterms:created xsi:type="dcterms:W3CDTF">2007-02-28T12:58:31Z</dcterms:created>
  <dcterms:modified xsi:type="dcterms:W3CDTF">2012-10-24T04:19:36Z</dcterms:modified>
</cp:coreProperties>
</file>