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45" windowWidth="14805" windowHeight="7770"/>
  </bookViews>
  <sheets>
    <sheet name="Synthèse format 3ME" sheetId="17" r:id="rId1"/>
    <sheet name="Coûts annuel génération élec" sheetId="4" r:id="rId2"/>
    <sheet name="Coûts annuels réseaux et stocka" sheetId="1" r:id="rId3"/>
    <sheet name="Données capacités de production" sheetId="12" r:id="rId4"/>
    <sheet name="Chronique de production" sheetId="16" r:id="rId5"/>
    <sheet name="Données capacités de stockage" sheetId="7" r:id="rId6"/>
    <sheet name="LCOE" sheetId="2" r:id="rId7"/>
    <sheet name="Capacités installées" sheetId="3" r:id="rId8"/>
    <sheet name="Production" sheetId="14" r:id="rId9"/>
    <sheet name="Linéarisation mix" sheetId="15" r:id="rId10"/>
    <sheet name="Structure de coûts RTE" sheetId="5" r:id="rId11"/>
    <sheet name="Données Linky" sheetId="6" r:id="rId12"/>
  </sheets>
  <calcPr calcId="145621"/>
</workbook>
</file>

<file path=xl/calcChain.xml><?xml version="1.0" encoding="utf-8"?>
<calcChain xmlns="http://schemas.openxmlformats.org/spreadsheetml/2006/main">
  <c r="AM100" i="17" l="1"/>
  <c r="AM44" i="17"/>
  <c r="AF58" i="7"/>
  <c r="AG58" i="7"/>
  <c r="AH58" i="7" s="1"/>
  <c r="AI58" i="7" s="1"/>
  <c r="AJ58" i="7" s="1"/>
  <c r="AK58" i="7" s="1"/>
  <c r="AL58" i="7" s="1"/>
  <c r="AE58" i="7"/>
  <c r="U14" i="2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T14" i="2"/>
  <c r="U13" i="2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T13" i="2"/>
  <c r="U12" i="2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T12" i="2"/>
  <c r="U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T10" i="2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T9" i="2"/>
  <c r="T7" i="2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U6" i="2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T6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H15" i="12"/>
  <c r="I15" i="12" s="1"/>
  <c r="J15" i="12" s="1"/>
  <c r="K15" i="12" s="1"/>
  <c r="G15" i="12"/>
  <c r="T22" i="2" l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T21" i="2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T18" i="2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T17" i="2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T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T5" i="2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C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C21" i="2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C18" i="2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C17" i="2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C16" i="2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C5" i="2"/>
  <c r="T27" i="7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T26" i="7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T15" i="7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V14" i="7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U14" i="7"/>
  <c r="T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11" i="7"/>
  <c r="T11" i="7"/>
  <c r="U11" i="7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R11" i="7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V16" i="1"/>
  <c r="W16" i="1"/>
  <c r="X16" i="1"/>
  <c r="Y16" i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V17" i="1"/>
  <c r="W17" i="1"/>
  <c r="X17" i="1"/>
  <c r="Y17" i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V18" i="1"/>
  <c r="W18" i="1"/>
  <c r="X18" i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U17" i="1"/>
  <c r="U18" i="1"/>
  <c r="U16" i="1"/>
  <c r="S16" i="1"/>
  <c r="G16" i="1"/>
  <c r="H16" i="1"/>
  <c r="I16" i="1"/>
  <c r="J16" i="1" s="1"/>
  <c r="K16" i="1" s="1"/>
  <c r="L16" i="1" s="1"/>
  <c r="M16" i="1" s="1"/>
  <c r="N16" i="1" s="1"/>
  <c r="O16" i="1" s="1"/>
  <c r="P16" i="1" s="1"/>
  <c r="Q16" i="1" s="1"/>
  <c r="R16" i="1" s="1"/>
  <c r="G17" i="1"/>
  <c r="H17" i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F17" i="1"/>
  <c r="F18" i="1"/>
  <c r="F16" i="1"/>
  <c r="W27" i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H45" i="1"/>
  <c r="G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F45" i="1"/>
  <c r="AM26" i="17" l="1"/>
  <c r="E46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E44" i="1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AK90" i="17"/>
  <c r="AL90" i="17"/>
  <c r="C91" i="17"/>
  <c r="D91" i="17"/>
  <c r="E91" i="17"/>
  <c r="F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D91" i="17"/>
  <c r="AE91" i="17"/>
  <c r="AF91" i="17"/>
  <c r="AG91" i="17"/>
  <c r="AH91" i="17"/>
  <c r="AI91" i="17"/>
  <c r="AJ91" i="17"/>
  <c r="AK91" i="17"/>
  <c r="AL91" i="17"/>
  <c r="AM91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Z92" i="17"/>
  <c r="AA92" i="17"/>
  <c r="AB92" i="17"/>
  <c r="AC92" i="17"/>
  <c r="AD92" i="17"/>
  <c r="AE92" i="17"/>
  <c r="AF92" i="17"/>
  <c r="AG92" i="17"/>
  <c r="AH92" i="17"/>
  <c r="AI92" i="17"/>
  <c r="AJ92" i="17"/>
  <c r="AK92" i="17"/>
  <c r="AL92" i="17"/>
  <c r="AM92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AK93" i="17"/>
  <c r="AL93" i="17"/>
  <c r="AM93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AK94" i="17"/>
  <c r="AL94" i="17"/>
  <c r="AM94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AK95" i="17"/>
  <c r="AL95" i="17"/>
  <c r="AM95" i="17"/>
  <c r="B95" i="17"/>
  <c r="B94" i="17"/>
  <c r="B92" i="17"/>
  <c r="B93" i="17"/>
  <c r="B91" i="17"/>
  <c r="B90" i="17"/>
  <c r="AM25" i="17" l="1"/>
  <c r="S13" i="17"/>
  <c r="AM16" i="17"/>
  <c r="AM17" i="17"/>
  <c r="B13" i="17"/>
  <c r="S5" i="17"/>
  <c r="B5" i="17"/>
  <c r="AP46" i="1"/>
  <c r="V45" i="1"/>
  <c r="AG45" i="1" s="1"/>
  <c r="E45" i="1"/>
  <c r="AO45" i="1"/>
  <c r="AK45" i="1"/>
  <c r="AC45" i="1"/>
  <c r="Y45" i="1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E40" i="4"/>
  <c r="E39" i="4"/>
  <c r="AP46" i="4"/>
  <c r="F21" i="1"/>
  <c r="AG21" i="1"/>
  <c r="AH21" i="1"/>
  <c r="AI21" i="1"/>
  <c r="AJ21" i="1"/>
  <c r="AK21" i="1"/>
  <c r="AL21" i="1"/>
  <c r="AM21" i="1"/>
  <c r="AN21" i="1"/>
  <c r="AO21" i="1"/>
  <c r="AP21" i="1"/>
  <c r="E21" i="1"/>
  <c r="AM108" i="17"/>
  <c r="AL108" i="17"/>
  <c r="AK108" i="17"/>
  <c r="AJ108" i="17"/>
  <c r="AI108" i="17"/>
  <c r="AH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AM116" i="17"/>
  <c r="AL116" i="17"/>
  <c r="AK116" i="17"/>
  <c r="AJ116" i="17"/>
  <c r="AI116" i="17"/>
  <c r="AH116" i="17"/>
  <c r="AG116" i="17"/>
  <c r="AF116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AM115" i="17"/>
  <c r="AL115" i="17"/>
  <c r="AK115" i="17"/>
  <c r="AJ115" i="17"/>
  <c r="AI115" i="17"/>
  <c r="AH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AM114" i="17"/>
  <c r="AK114" i="17"/>
  <c r="AJ114" i="17"/>
  <c r="AI114" i="17"/>
  <c r="AG114" i="17"/>
  <c r="AF114" i="17"/>
  <c r="AE114" i="17"/>
  <c r="AC114" i="17"/>
  <c r="AB114" i="17"/>
  <c r="AA114" i="17"/>
  <c r="Y114" i="17"/>
  <c r="X114" i="17"/>
  <c r="W114" i="17"/>
  <c r="U114" i="17"/>
  <c r="T114" i="17"/>
  <c r="S114" i="17"/>
  <c r="Q114" i="17"/>
  <c r="P114" i="17"/>
  <c r="O114" i="17"/>
  <c r="M114" i="17"/>
  <c r="L114" i="17"/>
  <c r="K114" i="17"/>
  <c r="I114" i="17"/>
  <c r="H114" i="17"/>
  <c r="G114" i="17"/>
  <c r="E114" i="17"/>
  <c r="D114" i="17"/>
  <c r="C114" i="17"/>
  <c r="AM113" i="17"/>
  <c r="AL113" i="17"/>
  <c r="AK113" i="17"/>
  <c r="AI113" i="17"/>
  <c r="AH113" i="17"/>
  <c r="AG113" i="17"/>
  <c r="AE113" i="17"/>
  <c r="AD113" i="17"/>
  <c r="AC113" i="17"/>
  <c r="AA113" i="17"/>
  <c r="Z113" i="17"/>
  <c r="Y113" i="17"/>
  <c r="W113" i="17"/>
  <c r="V113" i="17"/>
  <c r="U113" i="17"/>
  <c r="S113" i="17"/>
  <c r="R113" i="17"/>
  <c r="Q113" i="17"/>
  <c r="O113" i="17"/>
  <c r="N113" i="17"/>
  <c r="M113" i="17"/>
  <c r="K113" i="17"/>
  <c r="J113" i="17"/>
  <c r="I113" i="17"/>
  <c r="G113" i="17"/>
  <c r="F113" i="17"/>
  <c r="E113" i="17"/>
  <c r="C113" i="17"/>
  <c r="B113" i="17"/>
  <c r="AM112" i="17"/>
  <c r="AK112" i="17"/>
  <c r="AJ112" i="17"/>
  <c r="AI112" i="17"/>
  <c r="AG112" i="17"/>
  <c r="AF112" i="17"/>
  <c r="AE112" i="17"/>
  <c r="AC112" i="17"/>
  <c r="AB112" i="17"/>
  <c r="AA112" i="17"/>
  <c r="Y112" i="17"/>
  <c r="X112" i="17"/>
  <c r="W112" i="17"/>
  <c r="U112" i="17"/>
  <c r="T112" i="17"/>
  <c r="S112" i="17"/>
  <c r="Q112" i="17"/>
  <c r="P112" i="17"/>
  <c r="O112" i="17"/>
  <c r="M112" i="17"/>
  <c r="L112" i="17"/>
  <c r="E112" i="17"/>
  <c r="D112" i="17"/>
  <c r="C112" i="17"/>
  <c r="AM111" i="17"/>
  <c r="AD111" i="17"/>
  <c r="AC111" i="17"/>
  <c r="AA111" i="17"/>
  <c r="Z111" i="17"/>
  <c r="Y111" i="17"/>
  <c r="Y117" i="17" s="1"/>
  <c r="W111" i="17"/>
  <c r="V111" i="17"/>
  <c r="U111" i="17"/>
  <c r="S111" i="17"/>
  <c r="R111" i="17"/>
  <c r="B111" i="17"/>
  <c r="AM89" i="17"/>
  <c r="AM99" i="17" s="1"/>
  <c r="AM110" i="17" s="1"/>
  <c r="AM64" i="17" s="1"/>
  <c r="AL89" i="17"/>
  <c r="AL99" i="17" s="1"/>
  <c r="AL110" i="17" s="1"/>
  <c r="AL64" i="17" s="1"/>
  <c r="AK89" i="17"/>
  <c r="AK99" i="17" s="1"/>
  <c r="AK110" i="17" s="1"/>
  <c r="AK64" i="17" s="1"/>
  <c r="AJ89" i="17"/>
  <c r="AJ99" i="17" s="1"/>
  <c r="AJ110" i="17" s="1"/>
  <c r="AJ64" i="17" s="1"/>
  <c r="AI89" i="17"/>
  <c r="AI99" i="17" s="1"/>
  <c r="AI110" i="17" s="1"/>
  <c r="AI64" i="17" s="1"/>
  <c r="AH89" i="17"/>
  <c r="AH99" i="17" s="1"/>
  <c r="AH110" i="17" s="1"/>
  <c r="AH64" i="17" s="1"/>
  <c r="AG89" i="17"/>
  <c r="AG99" i="17" s="1"/>
  <c r="AG110" i="17" s="1"/>
  <c r="AG64" i="17" s="1"/>
  <c r="AF89" i="17"/>
  <c r="AF99" i="17" s="1"/>
  <c r="AF110" i="17" s="1"/>
  <c r="AF64" i="17" s="1"/>
  <c r="AE89" i="17"/>
  <c r="AE99" i="17" s="1"/>
  <c r="AE110" i="17" s="1"/>
  <c r="AE64" i="17" s="1"/>
  <c r="AD89" i="17"/>
  <c r="AD99" i="17" s="1"/>
  <c r="AD110" i="17" s="1"/>
  <c r="AD64" i="17" s="1"/>
  <c r="AC89" i="17"/>
  <c r="AC99" i="17" s="1"/>
  <c r="AC110" i="17" s="1"/>
  <c r="AC64" i="17" s="1"/>
  <c r="AB89" i="17"/>
  <c r="AB99" i="17" s="1"/>
  <c r="AB110" i="17" s="1"/>
  <c r="AB64" i="17" s="1"/>
  <c r="AA89" i="17"/>
  <c r="AA99" i="17" s="1"/>
  <c r="AA110" i="17" s="1"/>
  <c r="AA64" i="17" s="1"/>
  <c r="Z89" i="17"/>
  <c r="Z99" i="17" s="1"/>
  <c r="Z110" i="17" s="1"/>
  <c r="Z64" i="17" s="1"/>
  <c r="Y89" i="17"/>
  <c r="Y99" i="17" s="1"/>
  <c r="Y110" i="17" s="1"/>
  <c r="Y64" i="17" s="1"/>
  <c r="X89" i="17"/>
  <c r="X99" i="17" s="1"/>
  <c r="X110" i="17" s="1"/>
  <c r="X64" i="17" s="1"/>
  <c r="W89" i="17"/>
  <c r="W99" i="17" s="1"/>
  <c r="W110" i="17" s="1"/>
  <c r="W64" i="17" s="1"/>
  <c r="V89" i="17"/>
  <c r="V99" i="17" s="1"/>
  <c r="V110" i="17" s="1"/>
  <c r="V64" i="17" s="1"/>
  <c r="U89" i="17"/>
  <c r="U99" i="17" s="1"/>
  <c r="U110" i="17" s="1"/>
  <c r="U64" i="17" s="1"/>
  <c r="T89" i="17"/>
  <c r="T99" i="17" s="1"/>
  <c r="T110" i="17" s="1"/>
  <c r="T64" i="17" s="1"/>
  <c r="S89" i="17"/>
  <c r="S99" i="17" s="1"/>
  <c r="S110" i="17" s="1"/>
  <c r="S64" i="17" s="1"/>
  <c r="R89" i="17"/>
  <c r="R99" i="17" s="1"/>
  <c r="R110" i="17" s="1"/>
  <c r="R64" i="17" s="1"/>
  <c r="Q89" i="17"/>
  <c r="Q99" i="17" s="1"/>
  <c r="Q110" i="17" s="1"/>
  <c r="Q64" i="17" s="1"/>
  <c r="P89" i="17"/>
  <c r="P99" i="17" s="1"/>
  <c r="P110" i="17" s="1"/>
  <c r="P64" i="17" s="1"/>
  <c r="O89" i="17"/>
  <c r="O99" i="17" s="1"/>
  <c r="O110" i="17" s="1"/>
  <c r="O64" i="17" s="1"/>
  <c r="N89" i="17"/>
  <c r="N99" i="17" s="1"/>
  <c r="N110" i="17" s="1"/>
  <c r="N64" i="17" s="1"/>
  <c r="M89" i="17"/>
  <c r="M99" i="17" s="1"/>
  <c r="M110" i="17" s="1"/>
  <c r="M64" i="17" s="1"/>
  <c r="L89" i="17"/>
  <c r="L99" i="17" s="1"/>
  <c r="L110" i="17" s="1"/>
  <c r="L64" i="17" s="1"/>
  <c r="K89" i="17"/>
  <c r="K99" i="17" s="1"/>
  <c r="K110" i="17" s="1"/>
  <c r="K64" i="17" s="1"/>
  <c r="J89" i="17"/>
  <c r="J99" i="17" s="1"/>
  <c r="J110" i="17" s="1"/>
  <c r="J64" i="17" s="1"/>
  <c r="I89" i="17"/>
  <c r="I99" i="17" s="1"/>
  <c r="I110" i="17" s="1"/>
  <c r="I64" i="17" s="1"/>
  <c r="H89" i="17"/>
  <c r="H99" i="17" s="1"/>
  <c r="H110" i="17" s="1"/>
  <c r="H64" i="17" s="1"/>
  <c r="G89" i="17"/>
  <c r="G99" i="17" s="1"/>
  <c r="G110" i="17" s="1"/>
  <c r="G64" i="17" s="1"/>
  <c r="F89" i="17"/>
  <c r="F99" i="17" s="1"/>
  <c r="F110" i="17" s="1"/>
  <c r="F64" i="17" s="1"/>
  <c r="E89" i="17"/>
  <c r="E99" i="17" s="1"/>
  <c r="E110" i="17" s="1"/>
  <c r="E64" i="17" s="1"/>
  <c r="D89" i="17"/>
  <c r="D99" i="17" s="1"/>
  <c r="D110" i="17" s="1"/>
  <c r="D64" i="17" s="1"/>
  <c r="C89" i="17"/>
  <c r="C99" i="17" s="1"/>
  <c r="C110" i="17" s="1"/>
  <c r="C64" i="17" s="1"/>
  <c r="B28" i="17"/>
  <c r="B37" i="17" s="1"/>
  <c r="B89" i="17" s="1"/>
  <c r="B99" i="17" s="1"/>
  <c r="B110" i="17" s="1"/>
  <c r="B64" i="17" s="1"/>
  <c r="W117" i="17" l="1"/>
  <c r="U117" i="17"/>
  <c r="AM117" i="17"/>
  <c r="AA117" i="17"/>
  <c r="AC117" i="17"/>
  <c r="S117" i="17"/>
  <c r="Z45" i="1"/>
  <c r="AD45" i="1"/>
  <c r="AH45" i="1"/>
  <c r="AL45" i="1"/>
  <c r="AP45" i="1"/>
  <c r="W45" i="1"/>
  <c r="AA45" i="1"/>
  <c r="AE45" i="1"/>
  <c r="AI45" i="1"/>
  <c r="AM45" i="1"/>
  <c r="X45" i="1"/>
  <c r="AB45" i="1"/>
  <c r="AF45" i="1"/>
  <c r="AJ45" i="1"/>
  <c r="AN45" i="1"/>
  <c r="E12" i="17"/>
  <c r="I12" i="17"/>
  <c r="M12" i="17"/>
  <c r="Q12" i="17"/>
  <c r="U12" i="17"/>
  <c r="Y12" i="17"/>
  <c r="AC12" i="17"/>
  <c r="AG12" i="17"/>
  <c r="AK12" i="17"/>
  <c r="B12" i="17"/>
  <c r="F12" i="17"/>
  <c r="J12" i="17"/>
  <c r="N12" i="17"/>
  <c r="R12" i="17"/>
  <c r="V12" i="17"/>
  <c r="Z12" i="17"/>
  <c r="AD12" i="17"/>
  <c r="AH12" i="17"/>
  <c r="AL12" i="17"/>
  <c r="C12" i="17"/>
  <c r="G12" i="17"/>
  <c r="K12" i="17"/>
  <c r="O12" i="17"/>
  <c r="S12" i="17"/>
  <c r="W12" i="17"/>
  <c r="AA12" i="17"/>
  <c r="AE12" i="17"/>
  <c r="AI12" i="17"/>
  <c r="AM12" i="17"/>
  <c r="D12" i="17"/>
  <c r="H12" i="17"/>
  <c r="L12" i="17"/>
  <c r="P12" i="17"/>
  <c r="T12" i="17"/>
  <c r="X12" i="17"/>
  <c r="AB12" i="17"/>
  <c r="AF12" i="17"/>
  <c r="AJ12" i="17"/>
  <c r="B112" i="17"/>
  <c r="F112" i="17"/>
  <c r="N112" i="17"/>
  <c r="R112" i="17"/>
  <c r="V112" i="17"/>
  <c r="V117" i="17" s="1"/>
  <c r="Z112" i="17"/>
  <c r="AD112" i="17"/>
  <c r="AD117" i="17" s="1"/>
  <c r="AH112" i="17"/>
  <c r="AL112" i="17"/>
  <c r="D113" i="17"/>
  <c r="H113" i="17"/>
  <c r="L113" i="17"/>
  <c r="P113" i="17"/>
  <c r="T113" i="17"/>
  <c r="X113" i="17"/>
  <c r="AB113" i="17"/>
  <c r="AF113" i="17"/>
  <c r="AJ113" i="17"/>
  <c r="B114" i="17"/>
  <c r="F114" i="17"/>
  <c r="J114" i="17"/>
  <c r="N114" i="17"/>
  <c r="R114" i="17"/>
  <c r="V114" i="17"/>
  <c r="Z114" i="17"/>
  <c r="Z117" i="17" s="1"/>
  <c r="AD114" i="17"/>
  <c r="AH114" i="17"/>
  <c r="AL114" i="17"/>
  <c r="T111" i="17"/>
  <c r="T117" i="17" s="1"/>
  <c r="T96" i="17"/>
  <c r="T100" i="17" s="1"/>
  <c r="X111" i="17"/>
  <c r="X96" i="17"/>
  <c r="X102" i="17" s="1"/>
  <c r="AB111" i="17"/>
  <c r="AB117" i="17" s="1"/>
  <c r="AB96" i="17"/>
  <c r="AB101" i="17" s="1"/>
  <c r="R117" i="17"/>
  <c r="B96" i="17"/>
  <c r="B101" i="17" s="1"/>
  <c r="R96" i="17"/>
  <c r="R103" i="17" s="1"/>
  <c r="V96" i="17"/>
  <c r="V101" i="17" s="1"/>
  <c r="Z96" i="17"/>
  <c r="Z103" i="17" s="1"/>
  <c r="AD96" i="17"/>
  <c r="AD101" i="17" s="1"/>
  <c r="X101" i="17"/>
  <c r="V104" i="17"/>
  <c r="S96" i="17"/>
  <c r="S103" i="17" s="1"/>
  <c r="W96" i="17"/>
  <c r="W101" i="17" s="1"/>
  <c r="AA96" i="17"/>
  <c r="AA104" i="17" s="1"/>
  <c r="AM96" i="17"/>
  <c r="AM102" i="17" s="1"/>
  <c r="S100" i="17"/>
  <c r="W100" i="17"/>
  <c r="S102" i="17"/>
  <c r="W102" i="17"/>
  <c r="V105" i="17"/>
  <c r="U96" i="17"/>
  <c r="U105" i="17" s="1"/>
  <c r="Y96" i="17"/>
  <c r="Y102" i="17" s="1"/>
  <c r="AC96" i="17"/>
  <c r="AC101" i="17" s="1"/>
  <c r="S101" i="17"/>
  <c r="W103" i="17"/>
  <c r="S105" i="17"/>
  <c r="W105" i="17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H12" i="6"/>
  <c r="G12" i="6"/>
  <c r="F12" i="6"/>
  <c r="E12" i="6"/>
  <c r="D12" i="6"/>
  <c r="C12" i="6"/>
  <c r="B12" i="6"/>
  <c r="B10" i="6"/>
  <c r="B8" i="6"/>
  <c r="B5" i="6"/>
  <c r="B24" i="5"/>
  <c r="C22" i="5"/>
  <c r="B22" i="5"/>
  <c r="B16" i="5"/>
  <c r="B15" i="5"/>
  <c r="C14" i="5"/>
  <c r="B14" i="5"/>
  <c r="C13" i="5"/>
  <c r="B13" i="5"/>
  <c r="C24" i="14"/>
  <c r="C21" i="14"/>
  <c r="C18" i="14"/>
  <c r="C12" i="14"/>
  <c r="C11" i="14"/>
  <c r="C10" i="14"/>
  <c r="C9" i="14"/>
  <c r="C8" i="14"/>
  <c r="AM15" i="2" s="1"/>
  <c r="C7" i="14"/>
  <c r="C5" i="14"/>
  <c r="C3" i="14"/>
  <c r="C37" i="3"/>
  <c r="C36" i="3"/>
  <c r="C35" i="3"/>
  <c r="C34" i="3"/>
  <c r="C33" i="3"/>
  <c r="C32" i="3"/>
  <c r="C30" i="3"/>
  <c r="C29" i="3"/>
  <c r="D25" i="3"/>
  <c r="C25" i="3"/>
  <c r="D24" i="3"/>
  <c r="C24" i="3"/>
  <c r="D23" i="3"/>
  <c r="C23" i="3"/>
  <c r="C22" i="3"/>
  <c r="D22" i="3" s="1"/>
  <c r="D21" i="3"/>
  <c r="C21" i="3"/>
  <c r="D19" i="3"/>
  <c r="C19" i="3"/>
  <c r="D18" i="3"/>
  <c r="C18" i="3"/>
  <c r="D17" i="3"/>
  <c r="C17" i="3"/>
  <c r="D16" i="3"/>
  <c r="C16" i="3"/>
  <c r="D15" i="3"/>
  <c r="C15" i="3"/>
  <c r="D14" i="3"/>
  <c r="D13" i="3"/>
  <c r="C13" i="3"/>
  <c r="D12" i="3"/>
  <c r="C12" i="3"/>
  <c r="C11" i="3"/>
  <c r="D11" i="3" s="1"/>
  <c r="C10" i="3"/>
  <c r="D10" i="3" s="1"/>
  <c r="C8" i="3"/>
  <c r="D8" i="3" s="1"/>
  <c r="D6" i="3"/>
  <c r="C6" i="3"/>
  <c r="D5" i="3"/>
  <c r="C5" i="3"/>
  <c r="D4" i="3"/>
  <c r="C4" i="3"/>
  <c r="D3" i="3"/>
  <c r="C3" i="3"/>
  <c r="D2" i="3"/>
  <c r="C2" i="3"/>
  <c r="F38" i="2"/>
  <c r="D38" i="2"/>
  <c r="B38" i="2"/>
  <c r="G37" i="2"/>
  <c r="F37" i="2"/>
  <c r="E37" i="2"/>
  <c r="C37" i="2"/>
  <c r="G36" i="2"/>
  <c r="F36" i="2"/>
  <c r="E36" i="2"/>
  <c r="C36" i="2"/>
  <c r="G35" i="2"/>
  <c r="F35" i="2"/>
  <c r="E35" i="2"/>
  <c r="C35" i="2"/>
  <c r="AO28" i="2"/>
  <c r="AN28" i="2"/>
  <c r="AR26" i="2"/>
  <c r="AO26" i="2"/>
  <c r="AR25" i="2"/>
  <c r="AO25" i="2"/>
  <c r="AN25" i="2"/>
  <c r="AR22" i="2"/>
  <c r="B22" i="2"/>
  <c r="AR21" i="2"/>
  <c r="B21" i="2"/>
  <c r="AS18" i="2"/>
  <c r="AR18" i="2"/>
  <c r="S18" i="2"/>
  <c r="B18" i="2"/>
  <c r="AR17" i="2"/>
  <c r="AO17" i="2"/>
  <c r="AN17" i="2"/>
  <c r="AR16" i="2"/>
  <c r="AO16" i="2"/>
  <c r="B16" i="2"/>
  <c r="AU15" i="2"/>
  <c r="AS15" i="2"/>
  <c r="S15" i="2"/>
  <c r="B15" i="2"/>
  <c r="AR14" i="2"/>
  <c r="AR13" i="2"/>
  <c r="C7" i="3" s="1"/>
  <c r="D7" i="3" s="1"/>
  <c r="AO13" i="2"/>
  <c r="AN13" i="2"/>
  <c r="AR12" i="2"/>
  <c r="AO12" i="2"/>
  <c r="AN12" i="2"/>
  <c r="AS11" i="2"/>
  <c r="AM11" i="2"/>
  <c r="S11" i="2" s="1"/>
  <c r="AR10" i="2"/>
  <c r="C20" i="3" s="1"/>
  <c r="D20" i="3" s="1"/>
  <c r="AO10" i="2"/>
  <c r="AN10" i="2"/>
  <c r="AR9" i="2"/>
  <c r="AO9" i="2"/>
  <c r="AN9" i="2"/>
  <c r="AS8" i="2"/>
  <c r="AM8" i="2"/>
  <c r="S8" i="2" s="1"/>
  <c r="AR7" i="2"/>
  <c r="AO7" i="2"/>
  <c r="AN7" i="2"/>
  <c r="AR6" i="2"/>
  <c r="C9" i="3" s="1"/>
  <c r="AO6" i="2"/>
  <c r="AN6" i="2"/>
  <c r="AR5" i="2"/>
  <c r="AO5" i="2"/>
  <c r="AN5" i="2"/>
  <c r="AR4" i="2"/>
  <c r="AO4" i="2"/>
  <c r="AN4" i="2"/>
  <c r="AR3" i="2"/>
  <c r="AO3" i="2"/>
  <c r="AN3" i="2"/>
  <c r="AM89" i="7"/>
  <c r="AL89" i="7"/>
  <c r="AK89" i="7"/>
  <c r="AJ89" i="7"/>
  <c r="AI89" i="7"/>
  <c r="AH89" i="7"/>
  <c r="AG89" i="7"/>
  <c r="AF89" i="7"/>
  <c r="AE89" i="7"/>
  <c r="AD89" i="7"/>
  <c r="AM88" i="7"/>
  <c r="AL88" i="7"/>
  <c r="AK88" i="7"/>
  <c r="AJ88" i="7"/>
  <c r="AI88" i="7"/>
  <c r="AH88" i="7"/>
  <c r="AG88" i="7"/>
  <c r="AF88" i="7"/>
  <c r="AE88" i="7"/>
  <c r="AD88" i="7"/>
  <c r="AC88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AM66" i="7"/>
  <c r="S66" i="7"/>
  <c r="B66" i="7"/>
  <c r="S65" i="7"/>
  <c r="B65" i="7"/>
  <c r="AM63" i="7"/>
  <c r="S63" i="7"/>
  <c r="B63" i="7"/>
  <c r="B62" i="7"/>
  <c r="AM61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AM58" i="7"/>
  <c r="AM57" i="7"/>
  <c r="S57" i="7"/>
  <c r="B57" i="7"/>
  <c r="AM56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Q50" i="7" s="1"/>
  <c r="T42" i="1" s="1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AM49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AM42" i="7"/>
  <c r="S31" i="7"/>
  <c r="B31" i="7"/>
  <c r="AM30" i="7"/>
  <c r="S30" i="7"/>
  <c r="B30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M27" i="7"/>
  <c r="S27" i="7"/>
  <c r="B27" i="7"/>
  <c r="AM26" i="7"/>
  <c r="S26" i="7"/>
  <c r="B26" i="7"/>
  <c r="AM25" i="7"/>
  <c r="S25" i="7"/>
  <c r="B25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M23" i="7"/>
  <c r="AM19" i="7"/>
  <c r="B19" i="7"/>
  <c r="AM18" i="7"/>
  <c r="B18" i="7"/>
  <c r="AM15" i="7"/>
  <c r="S15" i="7"/>
  <c r="B15" i="7"/>
  <c r="AM14" i="7"/>
  <c r="S14" i="7"/>
  <c r="B14" i="7"/>
  <c r="AM13" i="7"/>
  <c r="S13" i="7"/>
  <c r="B13" i="7"/>
  <c r="AM11" i="7"/>
  <c r="Q11" i="7"/>
  <c r="AM108" i="12"/>
  <c r="AP50" i="4" s="1"/>
  <c r="AM107" i="12"/>
  <c r="AM105" i="12"/>
  <c r="V107" i="12" s="1"/>
  <c r="Y51" i="4" s="1"/>
  <c r="V16" i="17" s="1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AM103" i="12"/>
  <c r="S103" i="12"/>
  <c r="B103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M95" i="12"/>
  <c r="AP45" i="4" s="1"/>
  <c r="AP44" i="4" s="1"/>
  <c r="AP43" i="4" s="1"/>
  <c r="AM94" i="12"/>
  <c r="AM92" i="12"/>
  <c r="AJ94" i="12" s="1"/>
  <c r="S92" i="12"/>
  <c r="B92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AM90" i="12"/>
  <c r="S90" i="12"/>
  <c r="B90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M80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AM78" i="12"/>
  <c r="S78" i="12"/>
  <c r="B78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M71" i="12"/>
  <c r="AP33" i="4" s="1"/>
  <c r="AP32" i="4" s="1"/>
  <c r="AM70" i="12"/>
  <c r="AM68" i="12"/>
  <c r="AJ70" i="12" s="1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M66" i="12"/>
  <c r="S66" i="12"/>
  <c r="B66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M60" i="12"/>
  <c r="AM59" i="12"/>
  <c r="AL59" i="12"/>
  <c r="AL60" i="12" s="1"/>
  <c r="AO29" i="4" s="1"/>
  <c r="AO28" i="4" s="1"/>
  <c r="AJ59" i="12"/>
  <c r="AJ60" i="12" s="1"/>
  <c r="AM29" i="4" s="1"/>
  <c r="AM28" i="4" s="1"/>
  <c r="AH59" i="12"/>
  <c r="AH60" i="12" s="1"/>
  <c r="AK29" i="4" s="1"/>
  <c r="AK28" i="4" s="1"/>
  <c r="AF59" i="12"/>
  <c r="AF60" i="12" s="1"/>
  <c r="AI29" i="4" s="1"/>
  <c r="AI28" i="4" s="1"/>
  <c r="AD59" i="12"/>
  <c r="AD60" i="12" s="1"/>
  <c r="AG29" i="4" s="1"/>
  <c r="AG28" i="4" s="1"/>
  <c r="AB59" i="12"/>
  <c r="AB60" i="12" s="1"/>
  <c r="AE29" i="4" s="1"/>
  <c r="AE28" i="4" s="1"/>
  <c r="Z59" i="12"/>
  <c r="Z60" i="12" s="1"/>
  <c r="AC29" i="4" s="1"/>
  <c r="AC28" i="4" s="1"/>
  <c r="X59" i="12"/>
  <c r="X60" i="12" s="1"/>
  <c r="AA29" i="4" s="1"/>
  <c r="AA28" i="4" s="1"/>
  <c r="V59" i="12"/>
  <c r="V60" i="12" s="1"/>
  <c r="Y29" i="4" s="1"/>
  <c r="Y28" i="4" s="1"/>
  <c r="T59" i="12"/>
  <c r="T60" i="12" s="1"/>
  <c r="W29" i="4" s="1"/>
  <c r="W28" i="4" s="1"/>
  <c r="R59" i="12"/>
  <c r="R60" i="12" s="1"/>
  <c r="U29" i="4" s="1"/>
  <c r="U28" i="4" s="1"/>
  <c r="P59" i="12"/>
  <c r="P60" i="12" s="1"/>
  <c r="S29" i="4" s="1"/>
  <c r="S28" i="4" s="1"/>
  <c r="N59" i="12"/>
  <c r="N60" i="12" s="1"/>
  <c r="Q29" i="4" s="1"/>
  <c r="Q28" i="4" s="1"/>
  <c r="L59" i="12"/>
  <c r="L60" i="12" s="1"/>
  <c r="O29" i="4" s="1"/>
  <c r="O28" i="4" s="1"/>
  <c r="J59" i="12"/>
  <c r="J60" i="12" s="1"/>
  <c r="M29" i="4" s="1"/>
  <c r="M28" i="4" s="1"/>
  <c r="H59" i="12"/>
  <c r="H60" i="12" s="1"/>
  <c r="K29" i="4" s="1"/>
  <c r="K28" i="4" s="1"/>
  <c r="F59" i="12"/>
  <c r="F60" i="12" s="1"/>
  <c r="I29" i="4" s="1"/>
  <c r="I28" i="4" s="1"/>
  <c r="D59" i="12"/>
  <c r="D60" i="12" s="1"/>
  <c r="G29" i="4" s="1"/>
  <c r="G28" i="4" s="1"/>
  <c r="B59" i="12"/>
  <c r="B60" i="12" s="1"/>
  <c r="E29" i="4" s="1"/>
  <c r="E28" i="4" s="1"/>
  <c r="AM57" i="12"/>
  <c r="AI59" i="12" s="1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M49" i="12"/>
  <c r="AM44" i="12" s="1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M47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M33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AM29" i="12"/>
  <c r="B29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M20" i="12"/>
  <c r="AM21" i="12" s="1"/>
  <c r="AP13" i="4" s="1"/>
  <c r="F17" i="12"/>
  <c r="E17" i="12"/>
  <c r="D17" i="12"/>
  <c r="C17" i="12"/>
  <c r="AM16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B15" i="12"/>
  <c r="AM9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M5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P42" i="1"/>
  <c r="AP40" i="1" s="1"/>
  <c r="AO42" i="1"/>
  <c r="AO40" i="1" s="1"/>
  <c r="AN42" i="1"/>
  <c r="AM42" i="1"/>
  <c r="AL42" i="1"/>
  <c r="AL40" i="1" s="1"/>
  <c r="AK42" i="1"/>
  <c r="AK40" i="1" s="1"/>
  <c r="AJ42" i="1"/>
  <c r="AI42" i="1"/>
  <c r="AH42" i="1"/>
  <c r="AG42" i="1"/>
  <c r="AG40" i="1" s="1"/>
  <c r="AF42" i="1"/>
  <c r="AE42" i="1"/>
  <c r="AD42" i="1"/>
  <c r="AC42" i="1"/>
  <c r="AC40" i="1" s="1"/>
  <c r="AB42" i="1"/>
  <c r="AA42" i="1"/>
  <c r="Z42" i="1"/>
  <c r="Z40" i="1" s="1"/>
  <c r="Y42" i="1"/>
  <c r="Y40" i="1" s="1"/>
  <c r="X42" i="1"/>
  <c r="W42" i="1"/>
  <c r="V42" i="1"/>
  <c r="V40" i="1" s="1"/>
  <c r="U42" i="1"/>
  <c r="U40" i="1" s="1"/>
  <c r="AP41" i="1"/>
  <c r="AO41" i="1"/>
  <c r="AN41" i="1"/>
  <c r="AN40" i="1" s="1"/>
  <c r="AM41" i="1"/>
  <c r="AM40" i="1" s="1"/>
  <c r="AL41" i="1"/>
  <c r="AK41" i="1"/>
  <c r="AJ41" i="1"/>
  <c r="AJ40" i="1" s="1"/>
  <c r="AI41" i="1"/>
  <c r="AI40" i="1" s="1"/>
  <c r="AH41" i="1"/>
  <c r="AG41" i="1"/>
  <c r="AF41" i="1"/>
  <c r="AF40" i="1" s="1"/>
  <c r="AE41" i="1"/>
  <c r="AE40" i="1" s="1"/>
  <c r="AD41" i="1"/>
  <c r="AC41" i="1"/>
  <c r="AB41" i="1"/>
  <c r="AB40" i="1" s="1"/>
  <c r="AA41" i="1"/>
  <c r="AA40" i="1" s="1"/>
  <c r="Z41" i="1"/>
  <c r="Y41" i="1"/>
  <c r="X41" i="1"/>
  <c r="X40" i="1" s="1"/>
  <c r="W41" i="1"/>
  <c r="W40" i="1" s="1"/>
  <c r="V41" i="1"/>
  <c r="U41" i="1"/>
  <c r="AH40" i="1"/>
  <c r="AD40" i="1"/>
  <c r="V36" i="1"/>
  <c r="V37" i="1" s="1"/>
  <c r="V35" i="1" s="1"/>
  <c r="E36" i="1"/>
  <c r="E37" i="1" s="1"/>
  <c r="E35" i="1" s="1"/>
  <c r="AP33" i="1"/>
  <c r="E33" i="1"/>
  <c r="AP32" i="1"/>
  <c r="AP31" i="1" s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E31" i="1" s="1"/>
  <c r="D30" i="1"/>
  <c r="C30" i="1"/>
  <c r="B30" i="1"/>
  <c r="V27" i="1"/>
  <c r="AP26" i="1"/>
  <c r="V26" i="1"/>
  <c r="B26" i="1"/>
  <c r="AA23" i="1"/>
  <c r="Z23" i="1"/>
  <c r="Y23" i="1"/>
  <c r="X23" i="1"/>
  <c r="W23" i="1"/>
  <c r="V23" i="1"/>
  <c r="U23" i="1"/>
  <c r="T23" i="1"/>
  <c r="S23" i="1"/>
  <c r="AN23" i="1" s="1"/>
  <c r="R23" i="1"/>
  <c r="AM23" i="1" s="1"/>
  <c r="Q23" i="1"/>
  <c r="P23" i="1"/>
  <c r="AK23" i="1" s="1"/>
  <c r="O23" i="1"/>
  <c r="AJ23" i="1" s="1"/>
  <c r="N23" i="1"/>
  <c r="AI23" i="1" s="1"/>
  <c r="M23" i="1"/>
  <c r="L23" i="1"/>
  <c r="K23" i="1"/>
  <c r="AF23" i="1" s="1"/>
  <c r="J23" i="1"/>
  <c r="AE23" i="1" s="1"/>
  <c r="I23" i="1"/>
  <c r="H23" i="1"/>
  <c r="AC23" i="1" s="1"/>
  <c r="G23" i="1"/>
  <c r="AB23" i="1" s="1"/>
  <c r="AF22" i="1"/>
  <c r="AF21" i="1" s="1"/>
  <c r="AE22" i="1"/>
  <c r="AE21" i="1" s="1"/>
  <c r="AD22" i="1"/>
  <c r="AD21" i="1" s="1"/>
  <c r="AC22" i="1"/>
  <c r="AC21" i="1" s="1"/>
  <c r="AB22" i="1"/>
  <c r="AB21" i="1" s="1"/>
  <c r="AA22" i="1"/>
  <c r="AA21" i="1" s="1"/>
  <c r="Z22" i="1"/>
  <c r="Z21" i="1" s="1"/>
  <c r="Y22" i="1"/>
  <c r="Y21" i="1" s="1"/>
  <c r="X22" i="1"/>
  <c r="X21" i="1" s="1"/>
  <c r="W22" i="1"/>
  <c r="W21" i="1" s="1"/>
  <c r="V22" i="1"/>
  <c r="V21" i="1" s="1"/>
  <c r="U22" i="1"/>
  <c r="U21" i="1" s="1"/>
  <c r="T22" i="1"/>
  <c r="T21" i="1" s="1"/>
  <c r="S22" i="1"/>
  <c r="S21" i="1" s="1"/>
  <c r="R22" i="1"/>
  <c r="R21" i="1" s="1"/>
  <c r="Q22" i="1"/>
  <c r="Q21" i="1" s="1"/>
  <c r="P22" i="1"/>
  <c r="P21" i="1" s="1"/>
  <c r="O22" i="1"/>
  <c r="O21" i="1" s="1"/>
  <c r="N22" i="1"/>
  <c r="N21" i="1" s="1"/>
  <c r="M22" i="1"/>
  <c r="M21" i="1" s="1"/>
  <c r="L22" i="1"/>
  <c r="L21" i="1" s="1"/>
  <c r="K22" i="1"/>
  <c r="K21" i="1" s="1"/>
  <c r="J22" i="1"/>
  <c r="J21" i="1" s="1"/>
  <c r="I22" i="1"/>
  <c r="I21" i="1" s="1"/>
  <c r="H22" i="1"/>
  <c r="H21" i="1" s="1"/>
  <c r="G22" i="1"/>
  <c r="G21" i="1" s="1"/>
  <c r="V20" i="1"/>
  <c r="V5" i="1" s="1"/>
  <c r="B20" i="1"/>
  <c r="E18" i="1"/>
  <c r="E17" i="1"/>
  <c r="E16" i="1"/>
  <c r="E11" i="1"/>
  <c r="AP9" i="1"/>
  <c r="AP4" i="1" s="1"/>
  <c r="T9" i="1"/>
  <c r="T4" i="1"/>
  <c r="AP51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P34" i="4"/>
  <c r="AP30" i="4"/>
  <c r="AO30" i="4"/>
  <c r="AM30" i="4"/>
  <c r="AK30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AP29" i="4"/>
  <c r="AP28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P25" i="4"/>
  <c r="AP14" i="4"/>
  <c r="AP12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M46" i="4" l="1"/>
  <c r="AJ95" i="12"/>
  <c r="AM45" i="4" s="1"/>
  <c r="AC94" i="12"/>
  <c r="B94" i="12"/>
  <c r="N94" i="12"/>
  <c r="V94" i="12"/>
  <c r="AH94" i="12"/>
  <c r="C94" i="12"/>
  <c r="G94" i="12"/>
  <c r="K94" i="12"/>
  <c r="O94" i="12"/>
  <c r="S94" i="12"/>
  <c r="W94" i="12"/>
  <c r="AA94" i="12"/>
  <c r="AE94" i="12"/>
  <c r="AI94" i="12"/>
  <c r="E94" i="12"/>
  <c r="I94" i="12"/>
  <c r="M94" i="12"/>
  <c r="Q94" i="12"/>
  <c r="U94" i="12"/>
  <c r="Y94" i="12"/>
  <c r="AG94" i="12"/>
  <c r="AK94" i="12"/>
  <c r="F94" i="12"/>
  <c r="J94" i="12"/>
  <c r="R94" i="12"/>
  <c r="Z94" i="12"/>
  <c r="AD94" i="12"/>
  <c r="AL94" i="12"/>
  <c r="D94" i="12"/>
  <c r="H94" i="12"/>
  <c r="L94" i="12"/>
  <c r="P94" i="12"/>
  <c r="T94" i="12"/>
  <c r="X94" i="12"/>
  <c r="AB94" i="12"/>
  <c r="AF94" i="12"/>
  <c r="AM34" i="4"/>
  <c r="AJ71" i="12"/>
  <c r="AM33" i="4" s="1"/>
  <c r="AM32" i="4" s="1"/>
  <c r="I70" i="12"/>
  <c r="Q70" i="12"/>
  <c r="Y70" i="12"/>
  <c r="AG70" i="12"/>
  <c r="AK70" i="12"/>
  <c r="B70" i="12"/>
  <c r="J70" i="12"/>
  <c r="R70" i="12"/>
  <c r="V70" i="12"/>
  <c r="AD70" i="12"/>
  <c r="AL70" i="12"/>
  <c r="C70" i="12"/>
  <c r="G70" i="12"/>
  <c r="K70" i="12"/>
  <c r="O70" i="12"/>
  <c r="S70" i="12"/>
  <c r="W70" i="12"/>
  <c r="AA70" i="12"/>
  <c r="AE70" i="12"/>
  <c r="AI70" i="12"/>
  <c r="E70" i="12"/>
  <c r="M70" i="12"/>
  <c r="U70" i="12"/>
  <c r="AC70" i="12"/>
  <c r="F70" i="12"/>
  <c r="N70" i="12"/>
  <c r="Z70" i="12"/>
  <c r="AH70" i="12"/>
  <c r="D70" i="12"/>
  <c r="H70" i="12"/>
  <c r="L70" i="12"/>
  <c r="P70" i="12"/>
  <c r="T70" i="12"/>
  <c r="X70" i="12"/>
  <c r="AB70" i="12"/>
  <c r="AF70" i="12"/>
  <c r="AL30" i="4"/>
  <c r="AI60" i="12"/>
  <c r="AL29" i="4" s="1"/>
  <c r="E59" i="12"/>
  <c r="I59" i="12"/>
  <c r="M59" i="12"/>
  <c r="Q59" i="12"/>
  <c r="U59" i="12"/>
  <c r="Y59" i="12"/>
  <c r="AC59" i="12"/>
  <c r="AG59" i="12"/>
  <c r="AK59" i="12"/>
  <c r="C59" i="12"/>
  <c r="G59" i="12"/>
  <c r="K59" i="12"/>
  <c r="O59" i="12"/>
  <c r="S59" i="12"/>
  <c r="W59" i="12"/>
  <c r="AA59" i="12"/>
  <c r="AE59" i="12"/>
  <c r="AL47" i="12"/>
  <c r="AH47" i="12"/>
  <c r="AD47" i="12"/>
  <c r="Z47" i="12"/>
  <c r="V47" i="12"/>
  <c r="R47" i="12"/>
  <c r="N47" i="12"/>
  <c r="J47" i="12"/>
  <c r="F47" i="12"/>
  <c r="B47" i="12"/>
  <c r="AJ47" i="12"/>
  <c r="AM25" i="4" s="1"/>
  <c r="AB47" i="12"/>
  <c r="AE25" i="4" s="1"/>
  <c r="T47" i="12"/>
  <c r="W25" i="4" s="1"/>
  <c r="L47" i="12"/>
  <c r="O25" i="4" s="1"/>
  <c r="D47" i="12"/>
  <c r="G25" i="4" s="1"/>
  <c r="AK47" i="12"/>
  <c r="AG47" i="12"/>
  <c r="AC47" i="12"/>
  <c r="Y47" i="12"/>
  <c r="U47" i="12"/>
  <c r="Q47" i="12"/>
  <c r="M47" i="12"/>
  <c r="I47" i="12"/>
  <c r="E47" i="12"/>
  <c r="AF47" i="12"/>
  <c r="AI25" i="4" s="1"/>
  <c r="X47" i="12"/>
  <c r="AA25" i="4" s="1"/>
  <c r="P47" i="12"/>
  <c r="S25" i="4" s="1"/>
  <c r="H47" i="12"/>
  <c r="K25" i="4" s="1"/>
  <c r="AA47" i="12"/>
  <c r="AD25" i="4" s="1"/>
  <c r="K47" i="12"/>
  <c r="N25" i="4" s="1"/>
  <c r="W47" i="12"/>
  <c r="Z25" i="4" s="1"/>
  <c r="G47" i="12"/>
  <c r="J25" i="4" s="1"/>
  <c r="AI47" i="12"/>
  <c r="AL25" i="4" s="1"/>
  <c r="S47" i="12"/>
  <c r="V25" i="4" s="1"/>
  <c r="C47" i="12"/>
  <c r="F25" i="4" s="1"/>
  <c r="AE47" i="12"/>
  <c r="AH25" i="4" s="1"/>
  <c r="O47" i="12"/>
  <c r="R25" i="4" s="1"/>
  <c r="C48" i="12"/>
  <c r="F24" i="4" s="1"/>
  <c r="O48" i="12"/>
  <c r="R24" i="4" s="1"/>
  <c r="S48" i="12"/>
  <c r="V24" i="4" s="1"/>
  <c r="W48" i="12"/>
  <c r="Z24" i="4" s="1"/>
  <c r="AA48" i="12"/>
  <c r="AD24" i="4" s="1"/>
  <c r="AI48" i="12"/>
  <c r="AL24" i="4" s="1"/>
  <c r="D48" i="12"/>
  <c r="G24" i="4" s="1"/>
  <c r="H48" i="12"/>
  <c r="K24" i="4" s="1"/>
  <c r="P48" i="12"/>
  <c r="S24" i="4" s="1"/>
  <c r="T48" i="12"/>
  <c r="W24" i="4" s="1"/>
  <c r="AB48" i="12"/>
  <c r="AE24" i="4" s="1"/>
  <c r="AF48" i="12"/>
  <c r="AI24" i="4" s="1"/>
  <c r="AJ48" i="12"/>
  <c r="AM24" i="4" s="1"/>
  <c r="AM48" i="12"/>
  <c r="AP24" i="4" s="1"/>
  <c r="AM112" i="12"/>
  <c r="AP19" i="4"/>
  <c r="AM15" i="17" s="1"/>
  <c r="AM40" i="17" s="1"/>
  <c r="AM34" i="12"/>
  <c r="AP18" i="4" s="1"/>
  <c r="AM31" i="12"/>
  <c r="T15" i="2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S29" i="1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T11" i="2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S16" i="12"/>
  <c r="B11" i="2"/>
  <c r="AM18" i="12"/>
  <c r="AM10" i="12"/>
  <c r="AP9" i="4" s="1"/>
  <c r="AM7" i="12"/>
  <c r="AP10" i="4"/>
  <c r="AM14" i="17" s="1"/>
  <c r="T8" i="2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S5" i="12"/>
  <c r="B8" i="2"/>
  <c r="C28" i="3"/>
  <c r="D9" i="3"/>
  <c r="AG107" i="12"/>
  <c r="L107" i="12"/>
  <c r="AC107" i="12"/>
  <c r="AC108" i="12" s="1"/>
  <c r="AF50" i="4" s="1"/>
  <c r="P107" i="12"/>
  <c r="D107" i="12"/>
  <c r="T107" i="12"/>
  <c r="AK107" i="12"/>
  <c r="AK108" i="12" s="1"/>
  <c r="AN50" i="4" s="1"/>
  <c r="H107" i="12"/>
  <c r="Y107" i="12"/>
  <c r="Y108" i="12" s="1"/>
  <c r="AB50" i="4" s="1"/>
  <c r="AB51" i="4"/>
  <c r="Y16" i="17" s="1"/>
  <c r="AF51" i="4"/>
  <c r="AC16" i="17" s="1"/>
  <c r="AG108" i="12"/>
  <c r="AJ50" i="4" s="1"/>
  <c r="AJ51" i="4"/>
  <c r="AG16" i="17" s="1"/>
  <c r="AM8" i="17"/>
  <c r="AM32" i="17" s="1"/>
  <c r="AM68" i="17" s="1"/>
  <c r="AP49" i="4"/>
  <c r="I107" i="12"/>
  <c r="Q107" i="12"/>
  <c r="AD107" i="12"/>
  <c r="C107" i="12"/>
  <c r="G107" i="12"/>
  <c r="K107" i="12"/>
  <c r="O107" i="12"/>
  <c r="S107" i="12"/>
  <c r="X107" i="12"/>
  <c r="AB107" i="12"/>
  <c r="AF107" i="12"/>
  <c r="AJ107" i="12"/>
  <c r="V108" i="12"/>
  <c r="Y50" i="4" s="1"/>
  <c r="E107" i="12"/>
  <c r="M107" i="12"/>
  <c r="U107" i="12"/>
  <c r="Z107" i="12"/>
  <c r="AH107" i="12"/>
  <c r="AL107" i="12"/>
  <c r="B107" i="12"/>
  <c r="F107" i="12"/>
  <c r="J107" i="12"/>
  <c r="N107" i="12"/>
  <c r="R107" i="12"/>
  <c r="W107" i="12"/>
  <c r="AA107" i="12"/>
  <c r="AE107" i="12"/>
  <c r="AI107" i="12"/>
  <c r="Q51" i="7"/>
  <c r="T41" i="1" s="1"/>
  <c r="T40" i="1" s="1"/>
  <c r="W104" i="17"/>
  <c r="V100" i="17"/>
  <c r="V102" i="17"/>
  <c r="B117" i="17"/>
  <c r="AM103" i="17"/>
  <c r="AM41" i="17" s="1"/>
  <c r="AB103" i="17"/>
  <c r="T104" i="17"/>
  <c r="AB104" i="17"/>
  <c r="AM105" i="17"/>
  <c r="AD105" i="17"/>
  <c r="AM104" i="17"/>
  <c r="Y101" i="17"/>
  <c r="AA105" i="17"/>
  <c r="Y100" i="17"/>
  <c r="AD104" i="17"/>
  <c r="T103" i="17"/>
  <c r="V103" i="17"/>
  <c r="Y105" i="17"/>
  <c r="Z100" i="17"/>
  <c r="Y104" i="17"/>
  <c r="X104" i="17"/>
  <c r="AM101" i="17"/>
  <c r="X105" i="17"/>
  <c r="AD102" i="17"/>
  <c r="R100" i="17"/>
  <c r="X103" i="17"/>
  <c r="R102" i="17"/>
  <c r="X100" i="17"/>
  <c r="U102" i="17"/>
  <c r="AA101" i="17"/>
  <c r="AA102" i="17"/>
  <c r="AA100" i="17"/>
  <c r="Z102" i="17"/>
  <c r="AD100" i="17"/>
  <c r="B100" i="17"/>
  <c r="B102" i="17"/>
  <c r="AC46" i="1"/>
  <c r="AN46" i="1"/>
  <c r="X46" i="1"/>
  <c r="AE46" i="1"/>
  <c r="AL46" i="1"/>
  <c r="V46" i="1"/>
  <c r="AF46" i="1"/>
  <c r="AM46" i="1"/>
  <c r="W46" i="1"/>
  <c r="AD46" i="1"/>
  <c r="AB46" i="1"/>
  <c r="AI46" i="1"/>
  <c r="Z46" i="1"/>
  <c r="AO46" i="1"/>
  <c r="AK46" i="1"/>
  <c r="AJ46" i="1"/>
  <c r="AA46" i="1"/>
  <c r="AH46" i="1"/>
  <c r="AG46" i="1"/>
  <c r="Y46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F11" i="1"/>
  <c r="E13" i="1"/>
  <c r="AG23" i="1"/>
  <c r="AO23" i="1"/>
  <c r="E15" i="1"/>
  <c r="AD23" i="1"/>
  <c r="AH23" i="1"/>
  <c r="AL23" i="1"/>
  <c r="AP23" i="1"/>
  <c r="AP20" i="1" s="1"/>
  <c r="AC103" i="17"/>
  <c r="U104" i="17"/>
  <c r="AA103" i="17"/>
  <c r="AC100" i="17"/>
  <c r="R105" i="17"/>
  <c r="B105" i="17"/>
  <c r="AC105" i="17"/>
  <c r="S104" i="17"/>
  <c r="S106" i="17" s="1"/>
  <c r="Y103" i="17"/>
  <c r="U101" i="17"/>
  <c r="AB105" i="17"/>
  <c r="R104" i="17"/>
  <c r="B104" i="17"/>
  <c r="T101" i="17"/>
  <c r="AB100" i="17"/>
  <c r="X117" i="17"/>
  <c r="AD103" i="17"/>
  <c r="AB102" i="17"/>
  <c r="T102" i="17"/>
  <c r="Z101" i="17"/>
  <c r="R101" i="17"/>
  <c r="AC102" i="17"/>
  <c r="U103" i="17"/>
  <c r="AC104" i="17"/>
  <c r="U100" i="17"/>
  <c r="Z105" i="17"/>
  <c r="W106" i="17"/>
  <c r="T105" i="17"/>
  <c r="Z104" i="17"/>
  <c r="V106" i="17"/>
  <c r="B103" i="17"/>
  <c r="AE46" i="4" l="1"/>
  <c r="AB95" i="12"/>
  <c r="AE45" i="4" s="1"/>
  <c r="AE44" i="4" s="1"/>
  <c r="AE43" i="4" s="1"/>
  <c r="O46" i="4"/>
  <c r="L95" i="12"/>
  <c r="O45" i="4" s="1"/>
  <c r="AG46" i="4"/>
  <c r="AD95" i="12"/>
  <c r="AG45" i="4" s="1"/>
  <c r="AG44" i="4" s="1"/>
  <c r="AG43" i="4" s="1"/>
  <c r="I46" i="4"/>
  <c r="F95" i="12"/>
  <c r="I45" i="4" s="1"/>
  <c r="X46" i="4"/>
  <c r="U95" i="12"/>
  <c r="X45" i="4" s="1"/>
  <c r="X44" i="4" s="1"/>
  <c r="X43" i="4" s="1"/>
  <c r="H46" i="4"/>
  <c r="E95" i="12"/>
  <c r="H45" i="4" s="1"/>
  <c r="Z46" i="4"/>
  <c r="W95" i="12"/>
  <c r="Z45" i="4" s="1"/>
  <c r="Z44" i="4" s="1"/>
  <c r="Z43" i="4" s="1"/>
  <c r="J46" i="4"/>
  <c r="G95" i="12"/>
  <c r="J45" i="4" s="1"/>
  <c r="Q46" i="4"/>
  <c r="N95" i="12"/>
  <c r="Q45" i="4" s="1"/>
  <c r="Q44" i="4" s="1"/>
  <c r="Q43" i="4" s="1"/>
  <c r="AA46" i="4"/>
  <c r="X95" i="12"/>
  <c r="AA45" i="4" s="1"/>
  <c r="K46" i="4"/>
  <c r="H95" i="12"/>
  <c r="K45" i="4" s="1"/>
  <c r="K44" i="4" s="1"/>
  <c r="K43" i="4" s="1"/>
  <c r="AC46" i="4"/>
  <c r="Z95" i="12"/>
  <c r="AC45" i="4" s="1"/>
  <c r="AN46" i="4"/>
  <c r="AK95" i="12"/>
  <c r="AN45" i="4" s="1"/>
  <c r="AN44" i="4" s="1"/>
  <c r="AN43" i="4" s="1"/>
  <c r="T46" i="4"/>
  <c r="Q95" i="12"/>
  <c r="T45" i="4" s="1"/>
  <c r="AL46" i="4"/>
  <c r="AI17" i="17" s="1"/>
  <c r="AI95" i="12"/>
  <c r="AL45" i="4" s="1"/>
  <c r="AL44" i="4" s="1"/>
  <c r="AL43" i="4" s="1"/>
  <c r="V46" i="4"/>
  <c r="S95" i="12"/>
  <c r="V45" i="4" s="1"/>
  <c r="F46" i="4"/>
  <c r="C95" i="12"/>
  <c r="F45" i="4" s="1"/>
  <c r="F44" i="4" s="1"/>
  <c r="F43" i="4" s="1"/>
  <c r="E46" i="4"/>
  <c r="B95" i="12"/>
  <c r="E45" i="4" s="1"/>
  <c r="W46" i="4"/>
  <c r="T95" i="12"/>
  <c r="W45" i="4" s="1"/>
  <c r="W44" i="4" s="1"/>
  <c r="W43" i="4" s="1"/>
  <c r="G46" i="4"/>
  <c r="D95" i="12"/>
  <c r="G45" i="4" s="1"/>
  <c r="U46" i="4"/>
  <c r="R95" i="12"/>
  <c r="U45" i="4" s="1"/>
  <c r="U44" i="4" s="1"/>
  <c r="U43" i="4" s="1"/>
  <c r="AJ46" i="4"/>
  <c r="AG95" i="12"/>
  <c r="AJ45" i="4" s="1"/>
  <c r="P46" i="4"/>
  <c r="M95" i="12"/>
  <c r="P45" i="4" s="1"/>
  <c r="P44" i="4" s="1"/>
  <c r="P43" i="4" s="1"/>
  <c r="AH46" i="4"/>
  <c r="AE17" i="17" s="1"/>
  <c r="AE95" i="12"/>
  <c r="AH45" i="4" s="1"/>
  <c r="R46" i="4"/>
  <c r="O95" i="12"/>
  <c r="R45" i="4" s="1"/>
  <c r="R44" i="4" s="1"/>
  <c r="R43" i="4" s="1"/>
  <c r="AK46" i="4"/>
  <c r="AH95" i="12"/>
  <c r="AK45" i="4" s="1"/>
  <c r="AF46" i="4"/>
  <c r="AC95" i="12"/>
  <c r="AF45" i="4" s="1"/>
  <c r="AF44" i="4" s="1"/>
  <c r="AF43" i="4" s="1"/>
  <c r="AJ17" i="17"/>
  <c r="AI46" i="4"/>
  <c r="AF95" i="12"/>
  <c r="AI45" i="4" s="1"/>
  <c r="AI44" i="4" s="1"/>
  <c r="AI43" i="4" s="1"/>
  <c r="S46" i="4"/>
  <c r="P95" i="12"/>
  <c r="S45" i="4" s="1"/>
  <c r="S44" i="4" s="1"/>
  <c r="S43" i="4" s="1"/>
  <c r="AO46" i="4"/>
  <c r="AL95" i="12"/>
  <c r="AO45" i="4" s="1"/>
  <c r="AO44" i="4" s="1"/>
  <c r="AO43" i="4" s="1"/>
  <c r="M46" i="4"/>
  <c r="J95" i="12"/>
  <c r="M45" i="4" s="1"/>
  <c r="M44" i="4" s="1"/>
  <c r="M43" i="4" s="1"/>
  <c r="AB46" i="4"/>
  <c r="Y95" i="12"/>
  <c r="AB45" i="4" s="1"/>
  <c r="AB44" i="4" s="1"/>
  <c r="AB43" i="4" s="1"/>
  <c r="L46" i="4"/>
  <c r="I95" i="12"/>
  <c r="L45" i="4" s="1"/>
  <c r="L44" i="4" s="1"/>
  <c r="L43" i="4" s="1"/>
  <c r="AD46" i="4"/>
  <c r="AA95" i="12"/>
  <c r="AD45" i="4" s="1"/>
  <c r="AD44" i="4" s="1"/>
  <c r="AD43" i="4" s="1"/>
  <c r="N46" i="4"/>
  <c r="K95" i="12"/>
  <c r="N45" i="4" s="1"/>
  <c r="N44" i="4" s="1"/>
  <c r="N43" i="4" s="1"/>
  <c r="Y46" i="4"/>
  <c r="V95" i="12"/>
  <c r="Y45" i="4" s="1"/>
  <c r="Y44" i="4" s="1"/>
  <c r="Y43" i="4" s="1"/>
  <c r="AM44" i="4"/>
  <c r="AM43" i="4" s="1"/>
  <c r="K34" i="4"/>
  <c r="H17" i="17" s="1"/>
  <c r="H71" i="12"/>
  <c r="K33" i="4" s="1"/>
  <c r="K32" i="4" s="1"/>
  <c r="M71" i="12"/>
  <c r="P33" i="4" s="1"/>
  <c r="P34" i="4"/>
  <c r="K71" i="12"/>
  <c r="N33" i="4" s="1"/>
  <c r="N34" i="4"/>
  <c r="B71" i="12"/>
  <c r="E33" i="4" s="1"/>
  <c r="E34" i="4"/>
  <c r="X17" i="17"/>
  <c r="W34" i="4"/>
  <c r="T71" i="12"/>
  <c r="W33" i="4" s="1"/>
  <c r="D71" i="12"/>
  <c r="G33" i="4" s="1"/>
  <c r="G34" i="4"/>
  <c r="D17" i="17" s="1"/>
  <c r="E71" i="12"/>
  <c r="H33" i="4" s="1"/>
  <c r="H32" i="4" s="1"/>
  <c r="H34" i="4"/>
  <c r="G71" i="12"/>
  <c r="J33" i="4" s="1"/>
  <c r="J34" i="4"/>
  <c r="V71" i="12"/>
  <c r="Y33" i="4" s="1"/>
  <c r="Y32" i="4" s="1"/>
  <c r="Y34" i="4"/>
  <c r="I71" i="12"/>
  <c r="L33" i="4" s="1"/>
  <c r="L34" i="4"/>
  <c r="AF71" i="12"/>
  <c r="AI33" i="4" s="1"/>
  <c r="AI34" i="4"/>
  <c r="AF17" i="17" s="1"/>
  <c r="P71" i="12"/>
  <c r="S33" i="4" s="1"/>
  <c r="S34" i="4"/>
  <c r="AH71" i="12"/>
  <c r="AK33" i="4" s="1"/>
  <c r="AK34" i="4"/>
  <c r="AC71" i="12"/>
  <c r="AF33" i="4" s="1"/>
  <c r="AF34" i="4"/>
  <c r="AL34" i="4"/>
  <c r="AI71" i="12"/>
  <c r="AL33" i="4" s="1"/>
  <c r="AL32" i="4" s="1"/>
  <c r="S71" i="12"/>
  <c r="V33" i="4" s="1"/>
  <c r="V34" i="4"/>
  <c r="C71" i="12"/>
  <c r="F33" i="4" s="1"/>
  <c r="F34" i="4"/>
  <c r="C17" i="17" s="1"/>
  <c r="R71" i="12"/>
  <c r="U33" i="4" s="1"/>
  <c r="U34" i="4"/>
  <c r="AG71" i="12"/>
  <c r="AJ33" i="4" s="1"/>
  <c r="AJ34" i="4"/>
  <c r="X71" i="12"/>
  <c r="AA33" i="4" s="1"/>
  <c r="AA34" i="4"/>
  <c r="N71" i="12"/>
  <c r="Q33" i="4" s="1"/>
  <c r="Q34" i="4"/>
  <c r="AD34" i="4"/>
  <c r="AA71" i="12"/>
  <c r="AD33" i="4" s="1"/>
  <c r="AD32" i="4" s="1"/>
  <c r="AD71" i="12"/>
  <c r="AG33" i="4" s="1"/>
  <c r="AG34" i="4"/>
  <c r="Q71" i="12"/>
  <c r="T33" i="4" s="1"/>
  <c r="T34" i="4"/>
  <c r="F71" i="12"/>
  <c r="I33" i="4" s="1"/>
  <c r="I32" i="4" s="1"/>
  <c r="I34" i="4"/>
  <c r="W71" i="12"/>
  <c r="Z33" i="4" s="1"/>
  <c r="Z34" i="4"/>
  <c r="AK71" i="12"/>
  <c r="AN33" i="4" s="1"/>
  <c r="AN32" i="4" s="1"/>
  <c r="AN34" i="4"/>
  <c r="AE34" i="4"/>
  <c r="AB17" i="17" s="1"/>
  <c r="AB71" i="12"/>
  <c r="AE33" i="4" s="1"/>
  <c r="L71" i="12"/>
  <c r="O33" i="4" s="1"/>
  <c r="O34" i="4"/>
  <c r="Z71" i="12"/>
  <c r="AC33" i="4" s="1"/>
  <c r="AC32" i="4" s="1"/>
  <c r="AC34" i="4"/>
  <c r="U71" i="12"/>
  <c r="X33" i="4" s="1"/>
  <c r="X34" i="4"/>
  <c r="AE71" i="12"/>
  <c r="AH33" i="4" s="1"/>
  <c r="AH32" i="4" s="1"/>
  <c r="AH34" i="4"/>
  <c r="O71" i="12"/>
  <c r="R33" i="4" s="1"/>
  <c r="R34" i="4"/>
  <c r="AL71" i="12"/>
  <c r="AO33" i="4" s="1"/>
  <c r="AO32" i="4" s="1"/>
  <c r="AO34" i="4"/>
  <c r="J71" i="12"/>
  <c r="M33" i="4" s="1"/>
  <c r="M34" i="4"/>
  <c r="Y71" i="12"/>
  <c r="AB33" i="4" s="1"/>
  <c r="AB32" i="4" s="1"/>
  <c r="AB34" i="4"/>
  <c r="AA17" i="17"/>
  <c r="V30" i="4"/>
  <c r="S60" i="12"/>
  <c r="V29" i="4" s="1"/>
  <c r="V28" i="4" s="1"/>
  <c r="F30" i="4"/>
  <c r="C60" i="12"/>
  <c r="F29" i="4" s="1"/>
  <c r="F28" i="4" s="1"/>
  <c r="Y60" i="12"/>
  <c r="AB29" i="4" s="1"/>
  <c r="AB30" i="4"/>
  <c r="I60" i="12"/>
  <c r="L29" i="4" s="1"/>
  <c r="L30" i="4"/>
  <c r="G17" i="17"/>
  <c r="AH30" i="4"/>
  <c r="AE60" i="12"/>
  <c r="AH29" i="4" s="1"/>
  <c r="AH28" i="4" s="1"/>
  <c r="R30" i="4"/>
  <c r="O17" i="17" s="1"/>
  <c r="O60" i="12"/>
  <c r="R29" i="4" s="1"/>
  <c r="R28" i="4" s="1"/>
  <c r="AK60" i="12"/>
  <c r="AN29" i="4" s="1"/>
  <c r="AN30" i="4"/>
  <c r="U60" i="12"/>
  <c r="X29" i="4" s="1"/>
  <c r="X30" i="4"/>
  <c r="E60" i="12"/>
  <c r="H29" i="4" s="1"/>
  <c r="H30" i="4"/>
  <c r="AD30" i="4"/>
  <c r="AA60" i="12"/>
  <c r="AD29" i="4" s="1"/>
  <c r="AD28" i="4" s="1"/>
  <c r="N30" i="4"/>
  <c r="K60" i="12"/>
  <c r="N29" i="4" s="1"/>
  <c r="N28" i="4" s="1"/>
  <c r="AG60" i="12"/>
  <c r="AJ29" i="4" s="1"/>
  <c r="AJ30" i="4"/>
  <c r="Q60" i="12"/>
  <c r="T29" i="4" s="1"/>
  <c r="T30" i="4"/>
  <c r="AL28" i="4"/>
  <c r="Z30" i="4"/>
  <c r="W60" i="12"/>
  <c r="Z29" i="4" s="1"/>
  <c r="J30" i="4"/>
  <c r="G60" i="12"/>
  <c r="J29" i="4" s="1"/>
  <c r="J28" i="4" s="1"/>
  <c r="AC60" i="12"/>
  <c r="AF29" i="4" s="1"/>
  <c r="AF28" i="4" s="1"/>
  <c r="AF30" i="4"/>
  <c r="M60" i="12"/>
  <c r="P29" i="4" s="1"/>
  <c r="P30" i="4"/>
  <c r="P9" i="17"/>
  <c r="S23" i="4"/>
  <c r="V23" i="4"/>
  <c r="U25" i="4"/>
  <c r="R17" i="17" s="1"/>
  <c r="R48" i="12"/>
  <c r="U24" i="4" s="1"/>
  <c r="AM9" i="17"/>
  <c r="AM33" i="17" s="1"/>
  <c r="AM69" i="17" s="1"/>
  <c r="AP23" i="4"/>
  <c r="AP22" i="4" s="1"/>
  <c r="AP4" i="4" s="1"/>
  <c r="X48" i="12"/>
  <c r="AA24" i="4" s="1"/>
  <c r="K23" i="4"/>
  <c r="AD23" i="4"/>
  <c r="AD22" i="4" s="1"/>
  <c r="K48" i="12"/>
  <c r="N24" i="4" s="1"/>
  <c r="E48" i="12"/>
  <c r="H24" i="4" s="1"/>
  <c r="H25" i="4"/>
  <c r="U48" i="12"/>
  <c r="X24" i="4" s="1"/>
  <c r="X25" i="4"/>
  <c r="AK48" i="12"/>
  <c r="AN24" i="4" s="1"/>
  <c r="AN25" i="4"/>
  <c r="M25" i="4"/>
  <c r="J48" i="12"/>
  <c r="M24" i="4" s="1"/>
  <c r="AC25" i="4"/>
  <c r="Z17" i="17" s="1"/>
  <c r="Z48" i="12"/>
  <c r="AC24" i="4" s="1"/>
  <c r="AJ9" i="17"/>
  <c r="AM23" i="4"/>
  <c r="AM22" i="4" s="1"/>
  <c r="T9" i="17"/>
  <c r="W23" i="4"/>
  <c r="D9" i="17"/>
  <c r="G23" i="4"/>
  <c r="W9" i="17"/>
  <c r="Z23" i="4"/>
  <c r="G48" i="12"/>
  <c r="J24" i="4" s="1"/>
  <c r="I48" i="12"/>
  <c r="L24" i="4" s="1"/>
  <c r="L25" i="4"/>
  <c r="I17" i="17" s="1"/>
  <c r="Y48" i="12"/>
  <c r="AB24" i="4" s="1"/>
  <c r="AB25" i="4"/>
  <c r="Y17" i="17" s="1"/>
  <c r="N48" i="12"/>
  <c r="Q24" i="4" s="1"/>
  <c r="Q25" i="4"/>
  <c r="AD48" i="12"/>
  <c r="AG24" i="4" s="1"/>
  <c r="AG25" i="4"/>
  <c r="AI23" i="4"/>
  <c r="AI9" i="17"/>
  <c r="AL23" i="4"/>
  <c r="F23" i="4"/>
  <c r="M48" i="12"/>
  <c r="P24" i="4" s="1"/>
  <c r="P25" i="4"/>
  <c r="M17" i="17" s="1"/>
  <c r="AC48" i="12"/>
  <c r="AF24" i="4" s="1"/>
  <c r="AF25" i="4"/>
  <c r="AC17" i="17" s="1"/>
  <c r="E25" i="4"/>
  <c r="B48" i="12"/>
  <c r="E24" i="4" s="1"/>
  <c r="AK25" i="4"/>
  <c r="AH48" i="12"/>
  <c r="AK24" i="4" s="1"/>
  <c r="AB9" i="17"/>
  <c r="AE23" i="4"/>
  <c r="L48" i="12"/>
  <c r="O24" i="4" s="1"/>
  <c r="AE48" i="12"/>
  <c r="AH24" i="4" s="1"/>
  <c r="R23" i="4"/>
  <c r="T25" i="4"/>
  <c r="Q48" i="12"/>
  <c r="T24" i="4" s="1"/>
  <c r="AG48" i="12"/>
  <c r="AJ24" i="4" s="1"/>
  <c r="AJ25" i="4"/>
  <c r="F48" i="12"/>
  <c r="I24" i="4" s="1"/>
  <c r="I25" i="4"/>
  <c r="V48" i="12"/>
  <c r="Y24" i="4" s="1"/>
  <c r="Y25" i="4"/>
  <c r="V17" i="17" s="1"/>
  <c r="AL48" i="12"/>
  <c r="AO24" i="4" s="1"/>
  <c r="AO25" i="4"/>
  <c r="AL17" i="17" s="1"/>
  <c r="AL33" i="12"/>
  <c r="AH33" i="12"/>
  <c r="AD33" i="12"/>
  <c r="Z33" i="12"/>
  <c r="V33" i="12"/>
  <c r="R33" i="12"/>
  <c r="N33" i="12"/>
  <c r="J33" i="12"/>
  <c r="F33" i="12"/>
  <c r="B33" i="12"/>
  <c r="AJ33" i="12"/>
  <c r="AF33" i="12"/>
  <c r="AB33" i="12"/>
  <c r="T33" i="12"/>
  <c r="P33" i="12"/>
  <c r="L33" i="12"/>
  <c r="H33" i="12"/>
  <c r="D33" i="12"/>
  <c r="AK33" i="12"/>
  <c r="AG33" i="12"/>
  <c r="AC33" i="12"/>
  <c r="Y33" i="12"/>
  <c r="U33" i="12"/>
  <c r="Q33" i="12"/>
  <c r="M33" i="12"/>
  <c r="I33" i="12"/>
  <c r="E33" i="12"/>
  <c r="X33" i="12"/>
  <c r="W33" i="12"/>
  <c r="G33" i="12"/>
  <c r="AE33" i="12"/>
  <c r="AA33" i="12"/>
  <c r="K33" i="12"/>
  <c r="AI33" i="12"/>
  <c r="S33" i="12"/>
  <c r="C33" i="12"/>
  <c r="O33" i="12"/>
  <c r="AM7" i="17"/>
  <c r="AM31" i="17" s="1"/>
  <c r="AM67" i="17" s="1"/>
  <c r="AP17" i="4"/>
  <c r="AL20" i="12"/>
  <c r="AH20" i="12"/>
  <c r="AD20" i="12"/>
  <c r="Z20" i="12"/>
  <c r="V20" i="12"/>
  <c r="R20" i="12"/>
  <c r="N20" i="12"/>
  <c r="J20" i="12"/>
  <c r="F20" i="12"/>
  <c r="B20" i="12"/>
  <c r="AF20" i="12"/>
  <c r="X20" i="12"/>
  <c r="P20" i="12"/>
  <c r="H20" i="12"/>
  <c r="AI20" i="12"/>
  <c r="AE20" i="12"/>
  <c r="AA20" i="12"/>
  <c r="W20" i="12"/>
  <c r="S20" i="12"/>
  <c r="K20" i="12"/>
  <c r="G20" i="12"/>
  <c r="AK20" i="12"/>
  <c r="AG20" i="12"/>
  <c r="AC20" i="12"/>
  <c r="Y20" i="12"/>
  <c r="U20" i="12"/>
  <c r="Q20" i="12"/>
  <c r="M20" i="12"/>
  <c r="I20" i="12"/>
  <c r="E20" i="12"/>
  <c r="AJ20" i="12"/>
  <c r="AB20" i="12"/>
  <c r="T20" i="12"/>
  <c r="L20" i="12"/>
  <c r="D20" i="12"/>
  <c r="O20" i="12"/>
  <c r="C20" i="12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B16" i="12"/>
  <c r="AM6" i="17"/>
  <c r="AM30" i="17" s="1"/>
  <c r="AM66" i="17" s="1"/>
  <c r="AP8" i="4"/>
  <c r="AP7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B5" i="12"/>
  <c r="AL9" i="12"/>
  <c r="AH9" i="12"/>
  <c r="AD9" i="12"/>
  <c r="Z9" i="12"/>
  <c r="V9" i="12"/>
  <c r="R9" i="12"/>
  <c r="N9" i="12"/>
  <c r="J9" i="12"/>
  <c r="F9" i="12"/>
  <c r="B9" i="12"/>
  <c r="AF9" i="12"/>
  <c r="X9" i="12"/>
  <c r="P9" i="12"/>
  <c r="H9" i="12"/>
  <c r="AK9" i="12"/>
  <c r="AG9" i="12"/>
  <c r="AC9" i="12"/>
  <c r="Y9" i="12"/>
  <c r="U9" i="12"/>
  <c r="Q9" i="12"/>
  <c r="M9" i="12"/>
  <c r="I9" i="12"/>
  <c r="E9" i="12"/>
  <c r="AJ9" i="12"/>
  <c r="AB9" i="12"/>
  <c r="T9" i="12"/>
  <c r="L9" i="12"/>
  <c r="D9" i="12"/>
  <c r="AI9" i="12"/>
  <c r="S9" i="12"/>
  <c r="C9" i="12"/>
  <c r="W9" i="12"/>
  <c r="G9" i="12"/>
  <c r="AE9" i="12"/>
  <c r="O9" i="12"/>
  <c r="AA9" i="12"/>
  <c r="K9" i="12"/>
  <c r="AM39" i="17"/>
  <c r="AM34" i="17"/>
  <c r="AM43" i="17"/>
  <c r="AM106" i="17"/>
  <c r="AM42" i="17"/>
  <c r="AN51" i="4"/>
  <c r="AK16" i="17" s="1"/>
  <c r="H108" i="12"/>
  <c r="K50" i="4" s="1"/>
  <c r="K51" i="4"/>
  <c r="H16" i="17" s="1"/>
  <c r="P108" i="12"/>
  <c r="S50" i="4" s="1"/>
  <c r="S51" i="4"/>
  <c r="P16" i="17" s="1"/>
  <c r="T108" i="12"/>
  <c r="W50" i="4" s="1"/>
  <c r="W51" i="4"/>
  <c r="T16" i="17" s="1"/>
  <c r="L108" i="12"/>
  <c r="O50" i="4" s="1"/>
  <c r="O51" i="4"/>
  <c r="L16" i="17" s="1"/>
  <c r="D108" i="12"/>
  <c r="G50" i="4" s="1"/>
  <c r="G51" i="4"/>
  <c r="D16" i="17" s="1"/>
  <c r="AD51" i="4"/>
  <c r="AA16" i="17" s="1"/>
  <c r="AA108" i="12"/>
  <c r="AD50" i="4" s="1"/>
  <c r="M51" i="4"/>
  <c r="J16" i="17" s="1"/>
  <c r="J108" i="12"/>
  <c r="M50" i="4" s="1"/>
  <c r="AK51" i="4"/>
  <c r="AH16" i="17" s="1"/>
  <c r="AH108" i="12"/>
  <c r="AK50" i="4" s="1"/>
  <c r="E108" i="12"/>
  <c r="H50" i="4" s="1"/>
  <c r="H51" i="4"/>
  <c r="E16" i="17" s="1"/>
  <c r="AB108" i="12"/>
  <c r="AE50" i="4" s="1"/>
  <c r="AE51" i="4"/>
  <c r="AB16" i="17" s="1"/>
  <c r="N51" i="4"/>
  <c r="K16" i="17" s="1"/>
  <c r="K108" i="12"/>
  <c r="N50" i="4" s="1"/>
  <c r="Q108" i="12"/>
  <c r="T50" i="4" s="1"/>
  <c r="T51" i="4"/>
  <c r="Q16" i="17" s="1"/>
  <c r="Z51" i="4"/>
  <c r="W16" i="17" s="1"/>
  <c r="W108" i="12"/>
  <c r="Z50" i="4" s="1"/>
  <c r="I51" i="4"/>
  <c r="F16" i="17" s="1"/>
  <c r="F108" i="12"/>
  <c r="I50" i="4" s="1"/>
  <c r="AC51" i="4"/>
  <c r="Z16" i="17" s="1"/>
  <c r="Z108" i="12"/>
  <c r="AC50" i="4" s="1"/>
  <c r="V8" i="17"/>
  <c r="Y49" i="4"/>
  <c r="X108" i="12"/>
  <c r="AA50" i="4" s="1"/>
  <c r="AA51" i="4"/>
  <c r="X16" i="17" s="1"/>
  <c r="J51" i="4"/>
  <c r="G16" i="17" s="1"/>
  <c r="G108" i="12"/>
  <c r="J50" i="4" s="1"/>
  <c r="I108" i="12"/>
  <c r="L50" i="4" s="1"/>
  <c r="L51" i="4"/>
  <c r="I16" i="17" s="1"/>
  <c r="AG8" i="17"/>
  <c r="AJ49" i="4"/>
  <c r="Y8" i="17"/>
  <c r="AB49" i="4"/>
  <c r="AL51" i="4"/>
  <c r="AI16" i="17" s="1"/>
  <c r="AI108" i="12"/>
  <c r="AL50" i="4" s="1"/>
  <c r="U51" i="4"/>
  <c r="R16" i="17" s="1"/>
  <c r="R108" i="12"/>
  <c r="U50" i="4" s="1"/>
  <c r="E51" i="4"/>
  <c r="B16" i="17" s="1"/>
  <c r="B108" i="12"/>
  <c r="E50" i="4" s="1"/>
  <c r="U108" i="12"/>
  <c r="X50" i="4" s="1"/>
  <c r="X51" i="4"/>
  <c r="U16" i="17" s="1"/>
  <c r="AJ108" i="12"/>
  <c r="AM50" i="4" s="1"/>
  <c r="AM51" i="4"/>
  <c r="AJ16" i="17" s="1"/>
  <c r="V51" i="4"/>
  <c r="S16" i="17" s="1"/>
  <c r="S108" i="12"/>
  <c r="V50" i="4" s="1"/>
  <c r="F51" i="4"/>
  <c r="C16" i="17" s="1"/>
  <c r="C108" i="12"/>
  <c r="F50" i="4" s="1"/>
  <c r="AH51" i="4"/>
  <c r="AE16" i="17" s="1"/>
  <c r="AE108" i="12"/>
  <c r="AH50" i="4" s="1"/>
  <c r="Q51" i="4"/>
  <c r="N16" i="17" s="1"/>
  <c r="N108" i="12"/>
  <c r="Q50" i="4" s="1"/>
  <c r="AO51" i="4"/>
  <c r="AL16" i="17" s="1"/>
  <c r="AL108" i="12"/>
  <c r="AO50" i="4" s="1"/>
  <c r="M108" i="12"/>
  <c r="P50" i="4" s="1"/>
  <c r="P51" i="4"/>
  <c r="M16" i="17" s="1"/>
  <c r="AF108" i="12"/>
  <c r="AI50" i="4" s="1"/>
  <c r="AI51" i="4"/>
  <c r="AF16" i="17" s="1"/>
  <c r="R51" i="4"/>
  <c r="O16" i="17" s="1"/>
  <c r="O108" i="12"/>
  <c r="R50" i="4" s="1"/>
  <c r="AG51" i="4"/>
  <c r="AD16" i="17" s="1"/>
  <c r="AD108" i="12"/>
  <c r="AG50" i="4" s="1"/>
  <c r="AC8" i="17"/>
  <c r="AF49" i="4"/>
  <c r="AK8" i="17"/>
  <c r="Z106" i="17"/>
  <c r="Y106" i="17"/>
  <c r="AD106" i="17"/>
  <c r="X106" i="17"/>
  <c r="R106" i="17"/>
  <c r="AA106" i="17"/>
  <c r="T106" i="17"/>
  <c r="U106" i="17"/>
  <c r="B106" i="17"/>
  <c r="C40" i="3"/>
  <c r="AP5" i="1"/>
  <c r="E9" i="1"/>
  <c r="E4" i="1" s="1"/>
  <c r="AP17" i="1"/>
  <c r="AP16" i="1"/>
  <c r="T16" i="1"/>
  <c r="G11" i="1"/>
  <c r="F13" i="1"/>
  <c r="T18" i="1"/>
  <c r="AP18" i="1"/>
  <c r="T17" i="1"/>
  <c r="AC106" i="17"/>
  <c r="AB106" i="17"/>
  <c r="B17" i="17" l="1"/>
  <c r="S17" i="17"/>
  <c r="L17" i="17"/>
  <c r="F17" i="17"/>
  <c r="AK17" i="17"/>
  <c r="E17" i="17"/>
  <c r="AA9" i="17"/>
  <c r="P17" i="17"/>
  <c r="T17" i="17"/>
  <c r="K17" i="17"/>
  <c r="AK44" i="4"/>
  <c r="AK43" i="4" s="1"/>
  <c r="AH44" i="4"/>
  <c r="AH43" i="4" s="1"/>
  <c r="AJ44" i="4"/>
  <c r="AJ43" i="4" s="1"/>
  <c r="G44" i="4"/>
  <c r="G43" i="4" s="1"/>
  <c r="E44" i="4"/>
  <c r="E43" i="4" s="1"/>
  <c r="V44" i="4"/>
  <c r="V43" i="4" s="1"/>
  <c r="T44" i="4"/>
  <c r="T43" i="4" s="1"/>
  <c r="AC44" i="4"/>
  <c r="AC43" i="4" s="1"/>
  <c r="AA44" i="4"/>
  <c r="AA43" i="4" s="1"/>
  <c r="J44" i="4"/>
  <c r="J43" i="4" s="1"/>
  <c r="H44" i="4"/>
  <c r="H43" i="4" s="1"/>
  <c r="I44" i="4"/>
  <c r="I43" i="4" s="1"/>
  <c r="O44" i="4"/>
  <c r="O43" i="4" s="1"/>
  <c r="K22" i="4"/>
  <c r="S22" i="4"/>
  <c r="Q32" i="4"/>
  <c r="AJ32" i="4"/>
  <c r="AI32" i="4"/>
  <c r="AF9" i="17"/>
  <c r="G22" i="4"/>
  <c r="H9" i="17"/>
  <c r="W17" i="17"/>
  <c r="M32" i="4"/>
  <c r="R32" i="4"/>
  <c r="R22" i="4" s="1"/>
  <c r="X32" i="4"/>
  <c r="O32" i="4"/>
  <c r="Z32" i="4"/>
  <c r="L32" i="4"/>
  <c r="J32" i="4"/>
  <c r="G32" i="4"/>
  <c r="AG17" i="17"/>
  <c r="AI22" i="4"/>
  <c r="N17" i="17"/>
  <c r="AG32" i="4"/>
  <c r="F32" i="4"/>
  <c r="F22" i="4" s="1"/>
  <c r="AK32" i="4"/>
  <c r="N32" i="4"/>
  <c r="AH17" i="17"/>
  <c r="AL22" i="4"/>
  <c r="AD17" i="17"/>
  <c r="J17" i="17"/>
  <c r="AE32" i="4"/>
  <c r="AE22" i="4" s="1"/>
  <c r="T32" i="4"/>
  <c r="AA32" i="4"/>
  <c r="U32" i="4"/>
  <c r="V32" i="4"/>
  <c r="AF32" i="4"/>
  <c r="S32" i="4"/>
  <c r="W32" i="4"/>
  <c r="W22" i="4" s="1"/>
  <c r="E32" i="4"/>
  <c r="P32" i="4"/>
  <c r="O9" i="17"/>
  <c r="Z22" i="4"/>
  <c r="V22" i="4"/>
  <c r="T28" i="4"/>
  <c r="X28" i="4"/>
  <c r="AB28" i="4"/>
  <c r="S9" i="17"/>
  <c r="P28" i="4"/>
  <c r="Q17" i="17"/>
  <c r="C9" i="17"/>
  <c r="U17" i="17"/>
  <c r="Z28" i="4"/>
  <c r="AJ28" i="4"/>
  <c r="H28" i="4"/>
  <c r="AN28" i="4"/>
  <c r="L28" i="4"/>
  <c r="L9" i="17"/>
  <c r="O23" i="4"/>
  <c r="O22" i="4" s="1"/>
  <c r="AC9" i="17"/>
  <c r="AF23" i="4"/>
  <c r="AF22" i="4" s="1"/>
  <c r="I9" i="17"/>
  <c r="L23" i="4"/>
  <c r="R9" i="17"/>
  <c r="U23" i="4"/>
  <c r="U22" i="4" s="1"/>
  <c r="V9" i="17"/>
  <c r="Y23" i="4"/>
  <c r="Y22" i="4" s="1"/>
  <c r="AG9" i="17"/>
  <c r="AJ23" i="4"/>
  <c r="AJ22" i="4" s="1"/>
  <c r="M9" i="17"/>
  <c r="P23" i="4"/>
  <c r="AD9" i="17"/>
  <c r="AG23" i="4"/>
  <c r="AG22" i="4" s="1"/>
  <c r="Y9" i="17"/>
  <c r="AB23" i="4"/>
  <c r="AB22" i="4" s="1"/>
  <c r="Z9" i="17"/>
  <c r="AC23" i="4"/>
  <c r="AC22" i="4" s="1"/>
  <c r="Q9" i="17"/>
  <c r="T23" i="4"/>
  <c r="AE9" i="17"/>
  <c r="AH23" i="4"/>
  <c r="AH22" i="4" s="1"/>
  <c r="AH9" i="17"/>
  <c r="AK23" i="4"/>
  <c r="AK22" i="4" s="1"/>
  <c r="AK9" i="17"/>
  <c r="AN23" i="4"/>
  <c r="AN22" i="4" s="1"/>
  <c r="E9" i="17"/>
  <c r="H23" i="4"/>
  <c r="H22" i="4" s="1"/>
  <c r="AL9" i="17"/>
  <c r="AO23" i="4"/>
  <c r="AO22" i="4" s="1"/>
  <c r="F9" i="17"/>
  <c r="I23" i="4"/>
  <c r="I22" i="4" s="1"/>
  <c r="N9" i="17"/>
  <c r="Q23" i="4"/>
  <c r="Q22" i="4" s="1"/>
  <c r="J9" i="17"/>
  <c r="M23" i="4"/>
  <c r="M22" i="4" s="1"/>
  <c r="K9" i="17"/>
  <c r="N23" i="4"/>
  <c r="N22" i="4" s="1"/>
  <c r="B9" i="17"/>
  <c r="E23" i="4"/>
  <c r="E22" i="4" s="1"/>
  <c r="G9" i="17"/>
  <c r="J23" i="4"/>
  <c r="J22" i="4" s="1"/>
  <c r="U9" i="17"/>
  <c r="X23" i="4"/>
  <c r="X22" i="4" s="1"/>
  <c r="X9" i="17"/>
  <c r="AA23" i="4"/>
  <c r="AA22" i="4" s="1"/>
  <c r="AI34" i="12"/>
  <c r="AL18" i="4" s="1"/>
  <c r="AL19" i="4"/>
  <c r="AI15" i="17" s="1"/>
  <c r="D34" i="12"/>
  <c r="G18" i="4" s="1"/>
  <c r="G19" i="4"/>
  <c r="D15" i="17" s="1"/>
  <c r="R19" i="4"/>
  <c r="O15" i="17" s="1"/>
  <c r="O34" i="12"/>
  <c r="R18" i="4" s="1"/>
  <c r="K34" i="12"/>
  <c r="N18" i="4" s="1"/>
  <c r="N19" i="4"/>
  <c r="K15" i="17" s="1"/>
  <c r="Z19" i="4"/>
  <c r="W15" i="17" s="1"/>
  <c r="W34" i="12"/>
  <c r="Z18" i="4" s="1"/>
  <c r="P19" i="4"/>
  <c r="M15" i="17" s="1"/>
  <c r="M34" i="12"/>
  <c r="P18" i="4" s="1"/>
  <c r="AF19" i="4"/>
  <c r="AC15" i="17" s="1"/>
  <c r="AC34" i="12"/>
  <c r="AF18" i="4" s="1"/>
  <c r="H34" i="12"/>
  <c r="K18" i="4" s="1"/>
  <c r="K19" i="4"/>
  <c r="H15" i="17" s="1"/>
  <c r="AB34" i="12"/>
  <c r="AE18" i="4" s="1"/>
  <c r="AE19" i="4"/>
  <c r="AB15" i="17" s="1"/>
  <c r="F34" i="12"/>
  <c r="I18" i="4" s="1"/>
  <c r="I19" i="4"/>
  <c r="F15" i="17" s="1"/>
  <c r="V34" i="12"/>
  <c r="Y18" i="4" s="1"/>
  <c r="Y19" i="4"/>
  <c r="V15" i="17" s="1"/>
  <c r="AL34" i="12"/>
  <c r="AO18" i="4" s="1"/>
  <c r="AO19" i="4"/>
  <c r="AL15" i="17" s="1"/>
  <c r="C34" i="12"/>
  <c r="F18" i="4" s="1"/>
  <c r="F19" i="4"/>
  <c r="C15" i="17" s="1"/>
  <c r="AA34" i="12"/>
  <c r="AD18" i="4" s="1"/>
  <c r="AD19" i="4"/>
  <c r="AA15" i="17" s="1"/>
  <c r="X34" i="12"/>
  <c r="AA18" i="4" s="1"/>
  <c r="AA19" i="4"/>
  <c r="X15" i="17" s="1"/>
  <c r="T19" i="4"/>
  <c r="Q15" i="17" s="1"/>
  <c r="Q34" i="12"/>
  <c r="T18" i="4" s="1"/>
  <c r="AJ19" i="4"/>
  <c r="AG15" i="17" s="1"/>
  <c r="AG34" i="12"/>
  <c r="AJ18" i="4" s="1"/>
  <c r="L34" i="12"/>
  <c r="O18" i="4" s="1"/>
  <c r="O19" i="4"/>
  <c r="L15" i="17" s="1"/>
  <c r="AF34" i="12"/>
  <c r="AI18" i="4" s="1"/>
  <c r="AI19" i="4"/>
  <c r="AF15" i="17" s="1"/>
  <c r="J34" i="12"/>
  <c r="M18" i="4" s="1"/>
  <c r="M19" i="4"/>
  <c r="J15" i="17" s="1"/>
  <c r="Z34" i="12"/>
  <c r="AC18" i="4" s="1"/>
  <c r="AC19" i="4"/>
  <c r="Z15" i="17" s="1"/>
  <c r="S34" i="12"/>
  <c r="V18" i="4" s="1"/>
  <c r="V19" i="4"/>
  <c r="S15" i="17" s="1"/>
  <c r="AH19" i="4"/>
  <c r="AE15" i="17" s="1"/>
  <c r="AE34" i="12"/>
  <c r="AH18" i="4" s="1"/>
  <c r="H19" i="4"/>
  <c r="E15" i="17" s="1"/>
  <c r="E34" i="12"/>
  <c r="H18" i="4" s="1"/>
  <c r="X19" i="4"/>
  <c r="U15" i="17" s="1"/>
  <c r="U34" i="12"/>
  <c r="X18" i="4" s="1"/>
  <c r="AN19" i="4"/>
  <c r="AK15" i="17" s="1"/>
  <c r="AK34" i="12"/>
  <c r="AN18" i="4" s="1"/>
  <c r="P34" i="12"/>
  <c r="S18" i="4" s="1"/>
  <c r="S19" i="4"/>
  <c r="P15" i="17" s="1"/>
  <c r="AJ34" i="12"/>
  <c r="AM18" i="4" s="1"/>
  <c r="AM19" i="4"/>
  <c r="AJ15" i="17" s="1"/>
  <c r="N34" i="12"/>
  <c r="Q18" i="4" s="1"/>
  <c r="Q19" i="4"/>
  <c r="N15" i="17" s="1"/>
  <c r="AD34" i="12"/>
  <c r="AG18" i="4" s="1"/>
  <c r="AG19" i="4"/>
  <c r="AD15" i="17" s="1"/>
  <c r="J19" i="4"/>
  <c r="G15" i="17" s="1"/>
  <c r="G34" i="12"/>
  <c r="J18" i="4" s="1"/>
  <c r="L19" i="4"/>
  <c r="I15" i="17" s="1"/>
  <c r="I34" i="12"/>
  <c r="L18" i="4" s="1"/>
  <c r="AB19" i="4"/>
  <c r="Y15" i="17" s="1"/>
  <c r="Y34" i="12"/>
  <c r="AB18" i="4" s="1"/>
  <c r="T34" i="12"/>
  <c r="W18" i="4" s="1"/>
  <c r="W19" i="4"/>
  <c r="T15" i="17" s="1"/>
  <c r="B34" i="12"/>
  <c r="E18" i="4" s="1"/>
  <c r="E19" i="4"/>
  <c r="B15" i="17" s="1"/>
  <c r="R34" i="12"/>
  <c r="U18" i="4" s="1"/>
  <c r="U19" i="4"/>
  <c r="R15" i="17" s="1"/>
  <c r="AH34" i="12"/>
  <c r="AK18" i="4" s="1"/>
  <c r="AK19" i="4"/>
  <c r="AH15" i="17" s="1"/>
  <c r="C21" i="12"/>
  <c r="F13" i="4" s="1"/>
  <c r="F12" i="4" s="1"/>
  <c r="F14" i="4"/>
  <c r="T21" i="12"/>
  <c r="W13" i="4" s="1"/>
  <c r="W14" i="4"/>
  <c r="L14" i="4"/>
  <c r="I21" i="12"/>
  <c r="L13" i="4" s="1"/>
  <c r="AB14" i="4"/>
  <c r="Y21" i="12"/>
  <c r="AB13" i="4" s="1"/>
  <c r="AB12" i="4" s="1"/>
  <c r="G21" i="12"/>
  <c r="J13" i="4" s="1"/>
  <c r="J12" i="4" s="1"/>
  <c r="J14" i="4"/>
  <c r="AA21" i="12"/>
  <c r="AD13" i="4" s="1"/>
  <c r="AD14" i="4"/>
  <c r="P21" i="12"/>
  <c r="S13" i="4" s="1"/>
  <c r="S12" i="4" s="1"/>
  <c r="S14" i="4"/>
  <c r="I14" i="4"/>
  <c r="F21" i="12"/>
  <c r="I13" i="4" s="1"/>
  <c r="I12" i="4" s="1"/>
  <c r="Y14" i="4"/>
  <c r="V21" i="12"/>
  <c r="Y13" i="4" s="1"/>
  <c r="AO14" i="4"/>
  <c r="AL21" i="12"/>
  <c r="AO13" i="4" s="1"/>
  <c r="AO12" i="4" s="1"/>
  <c r="O21" i="12"/>
  <c r="R13" i="4" s="1"/>
  <c r="R12" i="4" s="1"/>
  <c r="R14" i="4"/>
  <c r="AB21" i="12"/>
  <c r="AE13" i="4" s="1"/>
  <c r="AE14" i="4"/>
  <c r="M21" i="12"/>
  <c r="P13" i="4" s="1"/>
  <c r="P12" i="4" s="1"/>
  <c r="P14" i="4"/>
  <c r="AC21" i="12"/>
  <c r="AF13" i="4" s="1"/>
  <c r="AF14" i="4"/>
  <c r="K21" i="12"/>
  <c r="N13" i="4" s="1"/>
  <c r="N12" i="4" s="1"/>
  <c r="N14" i="4"/>
  <c r="AE21" i="12"/>
  <c r="AH13" i="4" s="1"/>
  <c r="AH14" i="4"/>
  <c r="X21" i="12"/>
  <c r="AA13" i="4" s="1"/>
  <c r="AA12" i="4" s="1"/>
  <c r="AA14" i="4"/>
  <c r="M14" i="4"/>
  <c r="J21" i="12"/>
  <c r="M13" i="4" s="1"/>
  <c r="M12" i="4" s="1"/>
  <c r="AC14" i="4"/>
  <c r="Z21" i="12"/>
  <c r="AC13" i="4" s="1"/>
  <c r="D21" i="12"/>
  <c r="G13" i="4" s="1"/>
  <c r="G14" i="4"/>
  <c r="AJ21" i="12"/>
  <c r="AM13" i="4" s="1"/>
  <c r="AM12" i="4" s="1"/>
  <c r="AM14" i="4"/>
  <c r="T14" i="4"/>
  <c r="Q21" i="12"/>
  <c r="T13" i="4" s="1"/>
  <c r="T12" i="4" s="1"/>
  <c r="AJ14" i="4"/>
  <c r="AG21" i="12"/>
  <c r="AJ13" i="4" s="1"/>
  <c r="S21" i="12"/>
  <c r="V13" i="4" s="1"/>
  <c r="V14" i="4"/>
  <c r="AI21" i="12"/>
  <c r="AL13" i="4" s="1"/>
  <c r="AL12" i="4" s="1"/>
  <c r="AL14" i="4"/>
  <c r="AF21" i="12"/>
  <c r="AI13" i="4" s="1"/>
  <c r="AI14" i="4"/>
  <c r="Q14" i="4"/>
  <c r="N21" i="12"/>
  <c r="Q13" i="4" s="1"/>
  <c r="AG14" i="4"/>
  <c r="AD21" i="12"/>
  <c r="AG13" i="4" s="1"/>
  <c r="AG12" i="4" s="1"/>
  <c r="L21" i="12"/>
  <c r="O13" i="4" s="1"/>
  <c r="O12" i="4" s="1"/>
  <c r="O14" i="4"/>
  <c r="E21" i="12"/>
  <c r="H13" i="4" s="1"/>
  <c r="H14" i="4"/>
  <c r="U21" i="12"/>
  <c r="X13" i="4" s="1"/>
  <c r="X12" i="4" s="1"/>
  <c r="X14" i="4"/>
  <c r="AK21" i="12"/>
  <c r="AN13" i="4" s="1"/>
  <c r="AN14" i="4"/>
  <c r="W21" i="12"/>
  <c r="Z13" i="4" s="1"/>
  <c r="Z12" i="4" s="1"/>
  <c r="Z14" i="4"/>
  <c r="H21" i="12"/>
  <c r="K13" i="4" s="1"/>
  <c r="K14" i="4"/>
  <c r="E14" i="4"/>
  <c r="B21" i="12"/>
  <c r="E13" i="4" s="1"/>
  <c r="U14" i="4"/>
  <c r="R21" i="12"/>
  <c r="U13" i="4" s="1"/>
  <c r="U12" i="4" s="1"/>
  <c r="AK14" i="4"/>
  <c r="AH21" i="12"/>
  <c r="AK13" i="4" s="1"/>
  <c r="R10" i="4"/>
  <c r="O14" i="17" s="1"/>
  <c r="O10" i="12"/>
  <c r="R9" i="4" s="1"/>
  <c r="C10" i="12"/>
  <c r="F9" i="4" s="1"/>
  <c r="F10" i="4"/>
  <c r="C14" i="17" s="1"/>
  <c r="L10" i="12"/>
  <c r="O9" i="4" s="1"/>
  <c r="O10" i="4"/>
  <c r="L14" i="17" s="1"/>
  <c r="H10" i="4"/>
  <c r="E10" i="12"/>
  <c r="H9" i="4" s="1"/>
  <c r="X10" i="4"/>
  <c r="U14" i="17" s="1"/>
  <c r="U10" i="12"/>
  <c r="X9" i="4" s="1"/>
  <c r="AN10" i="4"/>
  <c r="AK10" i="12"/>
  <c r="AN9" i="4" s="1"/>
  <c r="AF10" i="12"/>
  <c r="AI9" i="4" s="1"/>
  <c r="AI10" i="4"/>
  <c r="AF14" i="17" s="1"/>
  <c r="N10" i="12"/>
  <c r="Q9" i="4" s="1"/>
  <c r="Q10" i="4"/>
  <c r="AD10" i="12"/>
  <c r="AG9" i="4" s="1"/>
  <c r="AG10" i="4"/>
  <c r="AD14" i="17" s="1"/>
  <c r="AH10" i="4"/>
  <c r="AE10" i="12"/>
  <c r="AH9" i="4" s="1"/>
  <c r="S10" i="12"/>
  <c r="V9" i="4" s="1"/>
  <c r="V10" i="4"/>
  <c r="S14" i="17" s="1"/>
  <c r="T10" i="12"/>
  <c r="W9" i="4" s="1"/>
  <c r="W10" i="4"/>
  <c r="L10" i="4"/>
  <c r="I10" i="12"/>
  <c r="L9" i="4" s="1"/>
  <c r="AB10" i="4"/>
  <c r="Y14" i="17" s="1"/>
  <c r="Y10" i="12"/>
  <c r="AB9" i="4" s="1"/>
  <c r="H10" i="12"/>
  <c r="K9" i="4" s="1"/>
  <c r="K10" i="4"/>
  <c r="H14" i="17" s="1"/>
  <c r="B10" i="12"/>
  <c r="E9" i="4" s="1"/>
  <c r="E10" i="4"/>
  <c r="R10" i="12"/>
  <c r="U9" i="4" s="1"/>
  <c r="U10" i="4"/>
  <c r="R14" i="17" s="1"/>
  <c r="AH10" i="12"/>
  <c r="AK9" i="4" s="1"/>
  <c r="AK10" i="4"/>
  <c r="K10" i="12"/>
  <c r="N9" i="4" s="1"/>
  <c r="N10" i="4"/>
  <c r="K14" i="17" s="1"/>
  <c r="J10" i="4"/>
  <c r="G14" i="17" s="1"/>
  <c r="G10" i="12"/>
  <c r="J9" i="4" s="1"/>
  <c r="AL10" i="4"/>
  <c r="AI14" i="17" s="1"/>
  <c r="AI10" i="12"/>
  <c r="AL9" i="4" s="1"/>
  <c r="AB10" i="12"/>
  <c r="AE9" i="4" s="1"/>
  <c r="AE10" i="4"/>
  <c r="P10" i="4"/>
  <c r="M14" i="17" s="1"/>
  <c r="M10" i="12"/>
  <c r="P9" i="4" s="1"/>
  <c r="AF10" i="4"/>
  <c r="AC10" i="12"/>
  <c r="AF9" i="4" s="1"/>
  <c r="P10" i="12"/>
  <c r="S9" i="4" s="1"/>
  <c r="S10" i="4"/>
  <c r="P14" i="17" s="1"/>
  <c r="F10" i="12"/>
  <c r="I9" i="4" s="1"/>
  <c r="I10" i="4"/>
  <c r="F14" i="17" s="1"/>
  <c r="V10" i="12"/>
  <c r="Y9" i="4" s="1"/>
  <c r="Y10" i="4"/>
  <c r="V14" i="17" s="1"/>
  <c r="AL10" i="12"/>
  <c r="AO9" i="4" s="1"/>
  <c r="AO10" i="4"/>
  <c r="AL14" i="17" s="1"/>
  <c r="AA10" i="12"/>
  <c r="AD9" i="4" s="1"/>
  <c r="AD10" i="4"/>
  <c r="AA14" i="17" s="1"/>
  <c r="Z10" i="4"/>
  <c r="W14" i="17" s="1"/>
  <c r="W10" i="12"/>
  <c r="Z9" i="4" s="1"/>
  <c r="D10" i="12"/>
  <c r="G9" i="4" s="1"/>
  <c r="G10" i="4"/>
  <c r="D14" i="17" s="1"/>
  <c r="AJ10" i="12"/>
  <c r="AM9" i="4" s="1"/>
  <c r="AM10" i="4"/>
  <c r="AJ14" i="17" s="1"/>
  <c r="T10" i="4"/>
  <c r="Q14" i="17" s="1"/>
  <c r="Q10" i="12"/>
  <c r="T9" i="4" s="1"/>
  <c r="AJ10" i="4"/>
  <c r="AG10" i="12"/>
  <c r="AJ9" i="4" s="1"/>
  <c r="X10" i="12"/>
  <c r="AA9" i="4" s="1"/>
  <c r="AA10" i="4"/>
  <c r="X14" i="17" s="1"/>
  <c r="J10" i="12"/>
  <c r="M9" i="4" s="1"/>
  <c r="M10" i="4"/>
  <c r="J14" i="17" s="1"/>
  <c r="Z10" i="12"/>
  <c r="AC9" i="4" s="1"/>
  <c r="AC10" i="4"/>
  <c r="Z14" i="17" s="1"/>
  <c r="AM47" i="17"/>
  <c r="AN49" i="4"/>
  <c r="L8" i="17"/>
  <c r="O49" i="4"/>
  <c r="P8" i="17"/>
  <c r="S49" i="4"/>
  <c r="D8" i="17"/>
  <c r="G49" i="4"/>
  <c r="T8" i="17"/>
  <c r="W49" i="4"/>
  <c r="H8" i="17"/>
  <c r="K49" i="4"/>
  <c r="AD8" i="17"/>
  <c r="AG49" i="4"/>
  <c r="AL8" i="17"/>
  <c r="AO49" i="4"/>
  <c r="AE8" i="17"/>
  <c r="AH49" i="4"/>
  <c r="S8" i="17"/>
  <c r="V49" i="4"/>
  <c r="R8" i="17"/>
  <c r="U49" i="4"/>
  <c r="Z8" i="17"/>
  <c r="AC49" i="4"/>
  <c r="W8" i="17"/>
  <c r="Z49" i="4"/>
  <c r="K8" i="17"/>
  <c r="N49" i="4"/>
  <c r="J8" i="17"/>
  <c r="M49" i="4"/>
  <c r="AF8" i="17"/>
  <c r="AI49" i="4"/>
  <c r="U8" i="17"/>
  <c r="X49" i="4"/>
  <c r="I8" i="17"/>
  <c r="L49" i="4"/>
  <c r="X8" i="17"/>
  <c r="AA49" i="4"/>
  <c r="E8" i="17"/>
  <c r="H49" i="4"/>
  <c r="O8" i="17"/>
  <c r="R49" i="4"/>
  <c r="N8" i="17"/>
  <c r="Q49" i="4"/>
  <c r="C8" i="17"/>
  <c r="F49" i="4"/>
  <c r="B8" i="17"/>
  <c r="E49" i="4"/>
  <c r="AI8" i="17"/>
  <c r="AL49" i="4"/>
  <c r="G8" i="17"/>
  <c r="J49" i="4"/>
  <c r="F8" i="17"/>
  <c r="I49" i="4"/>
  <c r="AH8" i="17"/>
  <c r="AK49" i="4"/>
  <c r="AA8" i="17"/>
  <c r="AD49" i="4"/>
  <c r="M8" i="17"/>
  <c r="P49" i="4"/>
  <c r="AJ8" i="17"/>
  <c r="AM49" i="4"/>
  <c r="Q8" i="17"/>
  <c r="T49" i="4"/>
  <c r="AB8" i="17"/>
  <c r="AE49" i="4"/>
  <c r="H11" i="1"/>
  <c r="G13" i="1"/>
  <c r="S18" i="17" l="1"/>
  <c r="T22" i="4"/>
  <c r="P22" i="4"/>
  <c r="L22" i="4"/>
  <c r="B7" i="17"/>
  <c r="E17" i="4"/>
  <c r="P7" i="17"/>
  <c r="S17" i="4"/>
  <c r="AF7" i="17"/>
  <c r="AI17" i="4"/>
  <c r="X7" i="17"/>
  <c r="AA17" i="4"/>
  <c r="V7" i="17"/>
  <c r="Y17" i="4"/>
  <c r="AB7" i="17"/>
  <c r="AE17" i="4"/>
  <c r="I7" i="17"/>
  <c r="L17" i="4"/>
  <c r="AK7" i="17"/>
  <c r="AN17" i="4"/>
  <c r="E7" i="17"/>
  <c r="H17" i="4"/>
  <c r="Q7" i="17"/>
  <c r="T17" i="4"/>
  <c r="M7" i="17"/>
  <c r="P17" i="4"/>
  <c r="R7" i="17"/>
  <c r="U17" i="4"/>
  <c r="T7" i="17"/>
  <c r="W17" i="4"/>
  <c r="AD7" i="17"/>
  <c r="AG17" i="4"/>
  <c r="AG4" i="4" s="1"/>
  <c r="AJ7" i="17"/>
  <c r="AM17" i="4"/>
  <c r="S7" i="17"/>
  <c r="V17" i="4"/>
  <c r="J7" i="17"/>
  <c r="M17" i="4"/>
  <c r="L7" i="17"/>
  <c r="O17" i="4"/>
  <c r="AA7" i="17"/>
  <c r="AD17" i="4"/>
  <c r="AL7" i="17"/>
  <c r="AO17" i="4"/>
  <c r="F7" i="17"/>
  <c r="I17" i="4"/>
  <c r="H7" i="17"/>
  <c r="K17" i="4"/>
  <c r="K7" i="17"/>
  <c r="N17" i="4"/>
  <c r="D7" i="17"/>
  <c r="G17" i="4"/>
  <c r="AH7" i="17"/>
  <c r="AK17" i="4"/>
  <c r="N7" i="17"/>
  <c r="Q17" i="4"/>
  <c r="Z7" i="17"/>
  <c r="AC17" i="4"/>
  <c r="C7" i="17"/>
  <c r="F17" i="4"/>
  <c r="AI7" i="17"/>
  <c r="AL17" i="4"/>
  <c r="Y7" i="17"/>
  <c r="AB17" i="4"/>
  <c r="G7" i="17"/>
  <c r="J17" i="4"/>
  <c r="U7" i="17"/>
  <c r="X17" i="4"/>
  <c r="AE7" i="17"/>
  <c r="AH17" i="4"/>
  <c r="AG7" i="17"/>
  <c r="AJ17" i="4"/>
  <c r="AC7" i="17"/>
  <c r="AF17" i="4"/>
  <c r="W7" i="17"/>
  <c r="Z17" i="4"/>
  <c r="O7" i="17"/>
  <c r="R17" i="4"/>
  <c r="I14" i="17"/>
  <c r="T14" i="17"/>
  <c r="K12" i="4"/>
  <c r="AN12" i="4"/>
  <c r="H12" i="4"/>
  <c r="AI12" i="4"/>
  <c r="V12" i="4"/>
  <c r="G12" i="4"/>
  <c r="AH12" i="4"/>
  <c r="AF12" i="4"/>
  <c r="AE12" i="4"/>
  <c r="AD12" i="4"/>
  <c r="W12" i="4"/>
  <c r="AB14" i="17"/>
  <c r="AH14" i="17"/>
  <c r="B14" i="17"/>
  <c r="B18" i="17" s="1"/>
  <c r="N14" i="17"/>
  <c r="AG14" i="17"/>
  <c r="AC14" i="17"/>
  <c r="AE14" i="17"/>
  <c r="AK14" i="17"/>
  <c r="E14" i="17"/>
  <c r="AK12" i="4"/>
  <c r="E12" i="4"/>
  <c r="Q12" i="4"/>
  <c r="AJ12" i="4"/>
  <c r="AC12" i="4"/>
  <c r="Y12" i="4"/>
  <c r="L12" i="4"/>
  <c r="J6" i="17"/>
  <c r="M8" i="4"/>
  <c r="M7" i="4" s="1"/>
  <c r="AJ6" i="17"/>
  <c r="AM8" i="4"/>
  <c r="AM7" i="4" s="1"/>
  <c r="AL6" i="17"/>
  <c r="AO8" i="4"/>
  <c r="AO7" i="4" s="1"/>
  <c r="AO4" i="4" s="1"/>
  <c r="F6" i="17"/>
  <c r="I8" i="4"/>
  <c r="I7" i="4" s="1"/>
  <c r="AB6" i="17"/>
  <c r="AE8" i="4"/>
  <c r="AE7" i="4" s="1"/>
  <c r="AE4" i="4" s="1"/>
  <c r="I6" i="17"/>
  <c r="L8" i="4"/>
  <c r="N6" i="17"/>
  <c r="Q8" i="4"/>
  <c r="Q7" i="4" s="1"/>
  <c r="Q4" i="4" s="1"/>
  <c r="C6" i="17"/>
  <c r="F8" i="4"/>
  <c r="F7" i="4" s="1"/>
  <c r="J4" i="4"/>
  <c r="Q6" i="17"/>
  <c r="T8" i="4"/>
  <c r="T7" i="4" s="1"/>
  <c r="T4" i="4" s="1"/>
  <c r="M6" i="17"/>
  <c r="P8" i="4"/>
  <c r="P7" i="4" s="1"/>
  <c r="P4" i="4" s="1"/>
  <c r="AI6" i="17"/>
  <c r="AL8" i="4"/>
  <c r="AL7" i="4" s="1"/>
  <c r="AL4" i="4" s="1"/>
  <c r="Z6" i="17"/>
  <c r="AC8" i="4"/>
  <c r="AC7" i="4" s="1"/>
  <c r="AC4" i="4" s="1"/>
  <c r="X6" i="17"/>
  <c r="AA8" i="4"/>
  <c r="AA7" i="4" s="1"/>
  <c r="AA4" i="4" s="1"/>
  <c r="D6" i="17"/>
  <c r="G8" i="4"/>
  <c r="G7" i="4" s="1"/>
  <c r="G4" i="4" s="1"/>
  <c r="AA6" i="17"/>
  <c r="AD8" i="4"/>
  <c r="V6" i="17"/>
  <c r="Y8" i="4"/>
  <c r="Y7" i="4" s="1"/>
  <c r="Y4" i="4" s="1"/>
  <c r="P6" i="17"/>
  <c r="S8" i="4"/>
  <c r="S7" i="4" s="1"/>
  <c r="S4" i="4" s="1"/>
  <c r="K6" i="17"/>
  <c r="N8" i="4"/>
  <c r="N7" i="4" s="1"/>
  <c r="N4" i="4" s="1"/>
  <c r="Y6" i="17"/>
  <c r="AB8" i="4"/>
  <c r="AB7" i="4" s="1"/>
  <c r="AB4" i="4" s="1"/>
  <c r="AE6" i="17"/>
  <c r="AH8" i="4"/>
  <c r="AD6" i="17"/>
  <c r="AG8" i="4"/>
  <c r="AG7" i="4" s="1"/>
  <c r="AF6" i="17"/>
  <c r="AI8" i="4"/>
  <c r="AI7" i="4" s="1"/>
  <c r="AI4" i="4" s="1"/>
  <c r="L6" i="17"/>
  <c r="O8" i="4"/>
  <c r="O7" i="4" s="1"/>
  <c r="O4" i="4" s="1"/>
  <c r="R6" i="17"/>
  <c r="U8" i="4"/>
  <c r="U7" i="4" s="1"/>
  <c r="U4" i="4" s="1"/>
  <c r="H6" i="17"/>
  <c r="K8" i="4"/>
  <c r="K7" i="4" s="1"/>
  <c r="K4" i="4" s="1"/>
  <c r="S6" i="17"/>
  <c r="S10" i="17" s="1"/>
  <c r="V8" i="4"/>
  <c r="V7" i="4" s="1"/>
  <c r="V4" i="4" s="1"/>
  <c r="U6" i="17"/>
  <c r="X8" i="4"/>
  <c r="X7" i="4" s="1"/>
  <c r="O6" i="17"/>
  <c r="R8" i="4"/>
  <c r="R7" i="4" s="1"/>
  <c r="R4" i="4" s="1"/>
  <c r="X4" i="4"/>
  <c r="M4" i="4"/>
  <c r="AG6" i="17"/>
  <c r="AJ8" i="4"/>
  <c r="AJ7" i="4" s="1"/>
  <c r="AJ4" i="4" s="1"/>
  <c r="W6" i="17"/>
  <c r="Z8" i="4"/>
  <c r="Z7" i="4" s="1"/>
  <c r="AC6" i="17"/>
  <c r="AF8" i="4"/>
  <c r="AF7" i="4" s="1"/>
  <c r="AF4" i="4" s="1"/>
  <c r="G6" i="17"/>
  <c r="J8" i="4"/>
  <c r="J7" i="4" s="1"/>
  <c r="AH6" i="17"/>
  <c r="AK8" i="4"/>
  <c r="AK7" i="4" s="1"/>
  <c r="AK4" i="4" s="1"/>
  <c r="B6" i="17"/>
  <c r="E8" i="4"/>
  <c r="T6" i="17"/>
  <c r="W8" i="4"/>
  <c r="W7" i="4" s="1"/>
  <c r="W4" i="4" s="1"/>
  <c r="AK6" i="17"/>
  <c r="AN8" i="4"/>
  <c r="E6" i="17"/>
  <c r="H8" i="4"/>
  <c r="H7" i="4" s="1"/>
  <c r="H4" i="4" s="1"/>
  <c r="H13" i="1"/>
  <c r="I11" i="1"/>
  <c r="S20" i="17" l="1"/>
  <c r="Z4" i="4"/>
  <c r="F4" i="4"/>
  <c r="I4" i="4"/>
  <c r="AM4" i="4"/>
  <c r="B10" i="17"/>
  <c r="B20" i="17" s="1"/>
  <c r="AN7" i="4"/>
  <c r="AN4" i="4" s="1"/>
  <c r="L7" i="4"/>
  <c r="L4" i="4" s="1"/>
  <c r="AH7" i="4"/>
  <c r="AH4" i="4" s="1"/>
  <c r="E7" i="4"/>
  <c r="E4" i="4" s="1"/>
  <c r="AD7" i="4"/>
  <c r="AD4" i="4" s="1"/>
  <c r="S21" i="17"/>
  <c r="J11" i="1"/>
  <c r="I13" i="1"/>
  <c r="B21" i="17" l="1"/>
  <c r="J13" i="1"/>
  <c r="K11" i="1"/>
  <c r="L11" i="1" l="1"/>
  <c r="K13" i="1"/>
  <c r="L13" i="1" l="1"/>
  <c r="M11" i="1"/>
  <c r="N11" i="1" l="1"/>
  <c r="M13" i="1"/>
  <c r="O11" i="1" l="1"/>
  <c r="N13" i="1"/>
  <c r="P11" i="1" l="1"/>
  <c r="O13" i="1"/>
  <c r="P13" i="1" l="1"/>
  <c r="Q11" i="1"/>
  <c r="R11" i="1" l="1"/>
  <c r="Q13" i="1"/>
  <c r="R13" i="1" l="1"/>
  <c r="S11" i="1"/>
  <c r="T11" i="1" l="1"/>
  <c r="S13" i="1"/>
  <c r="T13" i="1" l="1"/>
  <c r="U11" i="1"/>
  <c r="V11" i="1" l="1"/>
  <c r="U13" i="1"/>
  <c r="W11" i="1" l="1"/>
  <c r="V13" i="1"/>
  <c r="X11" i="1" l="1"/>
  <c r="W13" i="1"/>
  <c r="X13" i="1" l="1"/>
  <c r="Y11" i="1"/>
  <c r="Z11" i="1" l="1"/>
  <c r="Y13" i="1"/>
  <c r="Z13" i="1" l="1"/>
  <c r="AA11" i="1"/>
  <c r="AB11" i="1" l="1"/>
  <c r="AA13" i="1"/>
  <c r="AB13" i="1" l="1"/>
  <c r="AC11" i="1"/>
  <c r="AD11" i="1" l="1"/>
  <c r="AC13" i="1"/>
  <c r="AE11" i="1" l="1"/>
  <c r="AD13" i="1"/>
  <c r="AF11" i="1" l="1"/>
  <c r="AE13" i="1"/>
  <c r="AF13" i="1" l="1"/>
  <c r="AG11" i="1"/>
  <c r="AH11" i="1" l="1"/>
  <c r="AG13" i="1"/>
  <c r="AI11" i="1" l="1"/>
  <c r="AH13" i="1"/>
  <c r="AJ11" i="1" l="1"/>
  <c r="AI13" i="1"/>
  <c r="AJ13" i="1" l="1"/>
  <c r="AK11" i="1"/>
  <c r="AL11" i="1" l="1"/>
  <c r="AK13" i="1"/>
  <c r="AL13" i="1" l="1"/>
  <c r="AM11" i="1"/>
  <c r="AN11" i="1" l="1"/>
  <c r="AM13" i="1"/>
  <c r="AN13" i="1" l="1"/>
  <c r="AO11" i="1"/>
  <c r="AP11" i="1" l="1"/>
  <c r="AP13" i="1" s="1"/>
  <c r="AO13" i="1"/>
  <c r="AM65" i="7" l="1"/>
  <c r="AE96" i="17"/>
  <c r="AE100" i="17" s="1"/>
  <c r="AF96" i="17"/>
  <c r="AF101" i="17" s="1"/>
  <c r="AG96" i="17"/>
  <c r="AH96" i="17"/>
  <c r="AI96" i="17"/>
  <c r="AI100" i="17" s="1"/>
  <c r="AJ96" i="17"/>
  <c r="AJ103" i="17" s="1"/>
  <c r="AK96" i="17"/>
  <c r="AL96" i="17"/>
  <c r="AL102" i="17" s="1"/>
  <c r="AE101" i="17"/>
  <c r="AI101" i="17"/>
  <c r="AE102" i="17"/>
  <c r="AH102" i="17"/>
  <c r="AI102" i="17"/>
  <c r="AE103" i="17"/>
  <c r="AH103" i="17"/>
  <c r="AI103" i="17"/>
  <c r="AL103" i="17"/>
  <c r="AJ104" i="17"/>
  <c r="AE105" i="17"/>
  <c r="AE111" i="17"/>
  <c r="AE117" i="17" s="1"/>
  <c r="AF111" i="17"/>
  <c r="AF117" i="17" s="1"/>
  <c r="AG111" i="17"/>
  <c r="AG117" i="17" s="1"/>
  <c r="AH111" i="17"/>
  <c r="AH117" i="17" s="1"/>
  <c r="AI111" i="17"/>
  <c r="AI117" i="17" s="1"/>
  <c r="AJ111" i="17"/>
  <c r="AK111" i="17"/>
  <c r="AL111" i="17"/>
  <c r="AL117" i="17" s="1"/>
  <c r="AJ117" i="17"/>
  <c r="AK117" i="17"/>
  <c r="AJ105" i="17" l="1"/>
  <c r="AF104" i="17"/>
  <c r="AJ100" i="17"/>
  <c r="AI105" i="17"/>
  <c r="AJ102" i="17"/>
  <c r="AJ101" i="17"/>
  <c r="AF105" i="17"/>
  <c r="AF103" i="17"/>
  <c r="AF100" i="17"/>
  <c r="AF102" i="17"/>
  <c r="AG101" i="17"/>
  <c r="AG105" i="17"/>
  <c r="AG102" i="17"/>
  <c r="AG100" i="17"/>
  <c r="AG104" i="17"/>
  <c r="AG103" i="17"/>
  <c r="AK101" i="17"/>
  <c r="AK105" i="17"/>
  <c r="AK102" i="17"/>
  <c r="AK100" i="17"/>
  <c r="AK104" i="17"/>
  <c r="AK103" i="17"/>
  <c r="AJ106" i="17"/>
  <c r="AL100" i="17"/>
  <c r="AL104" i="17"/>
  <c r="AL101" i="17"/>
  <c r="AL105" i="17"/>
  <c r="AH100" i="17"/>
  <c r="AH104" i="17"/>
  <c r="AH101" i="17"/>
  <c r="AH105" i="17"/>
  <c r="AI104" i="17"/>
  <c r="AI106" i="17" s="1"/>
  <c r="AE104" i="17"/>
  <c r="AE106" i="17" s="1"/>
  <c r="AG106" i="17" l="1"/>
  <c r="AF106" i="17"/>
  <c r="AL106" i="17"/>
  <c r="AH106" i="17"/>
  <c r="AK106" i="17"/>
  <c r="C96" i="17"/>
  <c r="D96" i="17"/>
  <c r="D100" i="17" s="1"/>
  <c r="E96" i="17"/>
  <c r="E102" i="17" s="1"/>
  <c r="F96" i="17"/>
  <c r="F100" i="17" s="1"/>
  <c r="L96" i="17"/>
  <c r="M96" i="17"/>
  <c r="M102" i="17" s="1"/>
  <c r="N96" i="17"/>
  <c r="O96" i="17"/>
  <c r="O102" i="17" s="1"/>
  <c r="P96" i="17"/>
  <c r="Q96" i="17"/>
  <c r="Q102" i="17" s="1"/>
  <c r="E100" i="17"/>
  <c r="M100" i="17"/>
  <c r="N100" i="17"/>
  <c r="E101" i="17"/>
  <c r="F101" i="17"/>
  <c r="N101" i="17"/>
  <c r="N106" i="17" s="1"/>
  <c r="C102" i="17"/>
  <c r="N102" i="17"/>
  <c r="D103" i="17"/>
  <c r="E103" i="17"/>
  <c r="F103" i="17"/>
  <c r="N103" i="17"/>
  <c r="D104" i="17"/>
  <c r="E104" i="17"/>
  <c r="F104" i="17"/>
  <c r="L104" i="17"/>
  <c r="M104" i="17"/>
  <c r="N104" i="17"/>
  <c r="P104" i="17"/>
  <c r="E105" i="17"/>
  <c r="M105" i="17"/>
  <c r="N105" i="17"/>
  <c r="Q105" i="17"/>
  <c r="C111" i="17"/>
  <c r="C117" i="17" s="1"/>
  <c r="D111" i="17"/>
  <c r="E111" i="17"/>
  <c r="E117" i="17" s="1"/>
  <c r="F111" i="17"/>
  <c r="G111" i="17"/>
  <c r="H111" i="17"/>
  <c r="I111" i="17"/>
  <c r="J111" i="17"/>
  <c r="K111" i="17"/>
  <c r="L111" i="17"/>
  <c r="M111" i="17"/>
  <c r="N111" i="17"/>
  <c r="O111" i="17"/>
  <c r="O117" i="17" s="1"/>
  <c r="P111" i="17"/>
  <c r="Q111" i="17"/>
  <c r="Q117" i="17" s="1"/>
  <c r="D117" i="17"/>
  <c r="F117" i="17"/>
  <c r="L117" i="17"/>
  <c r="M117" i="17"/>
  <c r="N117" i="17"/>
  <c r="P117" i="17"/>
  <c r="Q100" i="17" l="1"/>
  <c r="Q104" i="17"/>
  <c r="Q103" i="17"/>
  <c r="F102" i="17"/>
  <c r="M101" i="17"/>
  <c r="F105" i="17"/>
  <c r="F106" i="17" s="1"/>
  <c r="M103" i="17"/>
  <c r="Q101" i="17"/>
  <c r="P102" i="17"/>
  <c r="P101" i="17"/>
  <c r="P105" i="17"/>
  <c r="P100" i="17"/>
  <c r="L102" i="17"/>
  <c r="L101" i="17"/>
  <c r="L105" i="17"/>
  <c r="P103" i="17"/>
  <c r="L103" i="17"/>
  <c r="M106" i="17"/>
  <c r="E106" i="17"/>
  <c r="O101" i="17"/>
  <c r="O105" i="17"/>
  <c r="O100" i="17"/>
  <c r="O104" i="17"/>
  <c r="O103" i="17"/>
  <c r="L100" i="17"/>
  <c r="C101" i="17"/>
  <c r="C105" i="17"/>
  <c r="C100" i="17"/>
  <c r="C104" i="17"/>
  <c r="C103" i="17"/>
  <c r="D102" i="17"/>
  <c r="D101" i="17"/>
  <c r="D105" i="17"/>
  <c r="D106" i="17" l="1"/>
  <c r="Q106" i="17"/>
  <c r="L106" i="17"/>
  <c r="O106" i="17"/>
  <c r="C106" i="17"/>
  <c r="P106" i="1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P52" i="7"/>
  <c r="P50" i="7" l="1"/>
  <c r="S42" i="1" s="1"/>
  <c r="O52" i="7"/>
  <c r="O50" i="7" l="1"/>
  <c r="R42" i="1" s="1"/>
  <c r="N52" i="7"/>
  <c r="P51" i="7"/>
  <c r="S41" i="1" s="1"/>
  <c r="S40" i="1" s="1"/>
  <c r="N50" i="7" l="1"/>
  <c r="Q42" i="1" s="1"/>
  <c r="N51" i="7"/>
  <c r="Q41" i="1" s="1"/>
  <c r="Q40" i="1" s="1"/>
  <c r="M52" i="7"/>
  <c r="O51" i="7"/>
  <c r="R41" i="1" s="1"/>
  <c r="R40" i="1" s="1"/>
  <c r="L52" i="7" l="1"/>
  <c r="M50" i="7"/>
  <c r="P42" i="1" s="1"/>
  <c r="M51" i="7" l="1"/>
  <c r="P41" i="1" s="1"/>
  <c r="P40" i="1" s="1"/>
  <c r="K52" i="7"/>
  <c r="L50" i="7"/>
  <c r="O42" i="1" s="1"/>
  <c r="L51" i="7" l="1"/>
  <c r="O41" i="1" s="1"/>
  <c r="O40" i="1" s="1"/>
  <c r="K50" i="7"/>
  <c r="N42" i="1" s="1"/>
  <c r="J52" i="7"/>
  <c r="J50" i="7" l="1"/>
  <c r="M42" i="1" s="1"/>
  <c r="I52" i="7"/>
  <c r="K51" i="7"/>
  <c r="N41" i="1" s="1"/>
  <c r="N40" i="1" s="1"/>
  <c r="H52" i="7" l="1"/>
  <c r="I50" i="7"/>
  <c r="L42" i="1" s="1"/>
  <c r="J51" i="7"/>
  <c r="M41" i="1" s="1"/>
  <c r="M40" i="1" s="1"/>
  <c r="I51" i="7" l="1"/>
  <c r="L41" i="1" s="1"/>
  <c r="L40" i="1" s="1"/>
  <c r="G52" i="7"/>
  <c r="H50" i="7"/>
  <c r="K42" i="1" s="1"/>
  <c r="H51" i="7"/>
  <c r="K41" i="1" s="1"/>
  <c r="K40" i="1" s="1"/>
  <c r="F52" i="7" l="1"/>
  <c r="G50" i="7"/>
  <c r="J42" i="1" s="1"/>
  <c r="F50" i="7" l="1"/>
  <c r="I42" i="1" s="1"/>
  <c r="E52" i="7"/>
  <c r="G51" i="7"/>
  <c r="J41" i="1" s="1"/>
  <c r="J40" i="1" s="1"/>
  <c r="D52" i="7" l="1"/>
  <c r="E50" i="7"/>
  <c r="H42" i="1" s="1"/>
  <c r="F51" i="7"/>
  <c r="I41" i="1" s="1"/>
  <c r="I40" i="1" s="1"/>
  <c r="E51" i="7" l="1"/>
  <c r="H41" i="1" s="1"/>
  <c r="H40" i="1" s="1"/>
  <c r="D50" i="7"/>
  <c r="G42" i="1" s="1"/>
  <c r="D51" i="7"/>
  <c r="G41" i="1" s="1"/>
  <c r="G40" i="1" s="1"/>
  <c r="C52" i="7"/>
  <c r="B52" i="7" l="1"/>
  <c r="C50" i="7"/>
  <c r="F42" i="1" s="1"/>
  <c r="B50" i="7" l="1"/>
  <c r="E42" i="1" s="1"/>
  <c r="B26" i="17" s="1"/>
  <c r="C51" i="7"/>
  <c r="F41" i="1" s="1"/>
  <c r="F40" i="1" s="1"/>
  <c r="B51" i="7" l="1"/>
  <c r="E41" i="1" s="1"/>
  <c r="E40" i="1" s="1"/>
  <c r="E30" i="1" s="1"/>
  <c r="E6" i="1" s="1"/>
  <c r="B39" i="17"/>
  <c r="B43" i="17"/>
  <c r="B40" i="17"/>
  <c r="B42" i="17"/>
  <c r="B38" i="17"/>
  <c r="B41" i="17"/>
  <c r="B44" i="17" l="1"/>
  <c r="K44" i="1" l="1"/>
  <c r="S44" i="1"/>
  <c r="F46" i="1"/>
  <c r="F44" i="1" s="1"/>
  <c r="G46" i="1"/>
  <c r="G44" i="1" s="1"/>
  <c r="H46" i="1"/>
  <c r="H44" i="1" s="1"/>
  <c r="I46" i="1"/>
  <c r="I44" i="1" s="1"/>
  <c r="J46" i="1"/>
  <c r="J44" i="1" s="1"/>
  <c r="K46" i="1"/>
  <c r="L46" i="1"/>
  <c r="L44" i="1" s="1"/>
  <c r="M46" i="1"/>
  <c r="M44" i="1" s="1"/>
  <c r="N46" i="1"/>
  <c r="N44" i="1" s="1"/>
  <c r="O46" i="1"/>
  <c r="O44" i="1" s="1"/>
  <c r="P46" i="1"/>
  <c r="P44" i="1" s="1"/>
  <c r="Q46" i="1"/>
  <c r="Q44" i="1" s="1"/>
  <c r="R46" i="1"/>
  <c r="R44" i="1" s="1"/>
  <c r="S46" i="1"/>
  <c r="T46" i="1"/>
  <c r="T44" i="1" s="1"/>
  <c r="U46" i="1"/>
  <c r="U44" i="1" s="1"/>
  <c r="R5" i="1"/>
  <c r="S5" i="1"/>
  <c r="D20" i="1"/>
  <c r="E20" i="1"/>
  <c r="E5" i="1" s="1"/>
  <c r="H20" i="1"/>
  <c r="H5" i="1" s="1"/>
  <c r="I20" i="1"/>
  <c r="I5" i="1" s="1"/>
  <c r="L20" i="1"/>
  <c r="L5" i="1" s="1"/>
  <c r="M20" i="1"/>
  <c r="M5" i="1" s="1"/>
  <c r="P20" i="1"/>
  <c r="P5" i="1" s="1"/>
  <c r="Q20" i="1"/>
  <c r="Q5" i="1" s="1"/>
  <c r="T20" i="1"/>
  <c r="T5" i="1" s="1"/>
  <c r="U20" i="1"/>
  <c r="U5" i="1" s="1"/>
  <c r="C26" i="1"/>
  <c r="C20" i="1" s="1"/>
  <c r="D26" i="1"/>
  <c r="E26" i="1"/>
  <c r="F26" i="1"/>
  <c r="F20" i="1" s="1"/>
  <c r="F5" i="1" s="1"/>
  <c r="G26" i="1"/>
  <c r="G20" i="1" s="1"/>
  <c r="G5" i="1" s="1"/>
  <c r="H26" i="1"/>
  <c r="I26" i="1"/>
  <c r="J26" i="1"/>
  <c r="J20" i="1" s="1"/>
  <c r="J5" i="1" s="1"/>
  <c r="K26" i="1"/>
  <c r="K20" i="1" s="1"/>
  <c r="K5" i="1" s="1"/>
  <c r="L26" i="1"/>
  <c r="M26" i="1"/>
  <c r="N26" i="1"/>
  <c r="N20" i="1" s="1"/>
  <c r="N5" i="1" s="1"/>
  <c r="O26" i="1"/>
  <c r="O20" i="1" s="1"/>
  <c r="O5" i="1" s="1"/>
  <c r="P26" i="1"/>
  <c r="Q26" i="1"/>
  <c r="R26" i="1"/>
  <c r="R20" i="1" s="1"/>
  <c r="S26" i="1"/>
  <c r="S20" i="1" s="1"/>
  <c r="T26" i="1"/>
  <c r="U26" i="1"/>
  <c r="B25" i="17"/>
  <c r="Q25" i="17"/>
  <c r="B29" i="17"/>
  <c r="B30" i="17"/>
  <c r="B31" i="17"/>
  <c r="B32" i="17"/>
  <c r="B33" i="17"/>
  <c r="B69" i="17" s="1"/>
  <c r="Q33" i="17"/>
  <c r="B34" i="17"/>
  <c r="Q34" i="17"/>
  <c r="B47" i="17"/>
  <c r="B67" i="17"/>
  <c r="B68" i="17"/>
  <c r="B35" i="17" l="1"/>
  <c r="B46" i="17" s="1"/>
  <c r="B48" i="17" s="1"/>
  <c r="B66" i="17"/>
  <c r="Q31" i="17"/>
  <c r="Q32" i="17"/>
  <c r="Q30" i="17"/>
  <c r="AB5" i="1"/>
  <c r="AK5" i="1"/>
  <c r="Y20" i="1"/>
  <c r="Y5" i="1" s="1"/>
  <c r="AC20" i="1"/>
  <c r="AC5" i="1" s="1"/>
  <c r="AD20" i="1"/>
  <c r="AD5" i="1" s="1"/>
  <c r="AG20" i="1"/>
  <c r="AG5" i="1" s="1"/>
  <c r="AK20" i="1"/>
  <c r="AL20" i="1"/>
  <c r="AL5" i="1" s="1"/>
  <c r="AO20" i="1"/>
  <c r="AO5" i="1" s="1"/>
  <c r="W26" i="1"/>
  <c r="W20" i="1" s="1"/>
  <c r="W5" i="1" s="1"/>
  <c r="X26" i="1"/>
  <c r="X20" i="1" s="1"/>
  <c r="X5" i="1" s="1"/>
  <c r="Y26" i="1"/>
  <c r="Z26" i="1"/>
  <c r="Z20" i="1" s="1"/>
  <c r="Z5" i="1" s="1"/>
  <c r="AA26" i="1"/>
  <c r="AA20" i="1" s="1"/>
  <c r="AA5" i="1" s="1"/>
  <c r="AB26" i="1"/>
  <c r="AB20" i="1" s="1"/>
  <c r="AC26" i="1"/>
  <c r="AD26" i="1"/>
  <c r="AE26" i="1"/>
  <c r="AE20" i="1" s="1"/>
  <c r="AE5" i="1" s="1"/>
  <c r="AF26" i="1"/>
  <c r="AF20" i="1" s="1"/>
  <c r="AF5" i="1" s="1"/>
  <c r="AG26" i="1"/>
  <c r="AH26" i="1"/>
  <c r="AH20" i="1" s="1"/>
  <c r="AH5" i="1" s="1"/>
  <c r="AI26" i="1"/>
  <c r="AI20" i="1" s="1"/>
  <c r="AI5" i="1" s="1"/>
  <c r="AJ26" i="1"/>
  <c r="AJ20" i="1" s="1"/>
  <c r="AJ5" i="1" s="1"/>
  <c r="AK26" i="1"/>
  <c r="AL26" i="1"/>
  <c r="AM26" i="1"/>
  <c r="AM20" i="1" s="1"/>
  <c r="AM5" i="1" s="1"/>
  <c r="AN26" i="1"/>
  <c r="AN20" i="1" s="1"/>
  <c r="AN5" i="1" s="1"/>
  <c r="AO26" i="1"/>
  <c r="C25" i="17"/>
  <c r="C33" i="17" s="1"/>
  <c r="C30" i="17"/>
  <c r="C34" i="17"/>
  <c r="C32" i="17" l="1"/>
  <c r="C31" i="17"/>
  <c r="F4" i="1"/>
  <c r="F9" i="1"/>
  <c r="F15" i="1"/>
  <c r="I4" i="1"/>
  <c r="L4" i="1"/>
  <c r="Q4" i="1"/>
  <c r="I9" i="1"/>
  <c r="J9" i="1"/>
  <c r="J4" i="1" s="1"/>
  <c r="M9" i="1"/>
  <c r="M4" i="1" s="1"/>
  <c r="N9" i="1"/>
  <c r="N4" i="1" s="1"/>
  <c r="Q9" i="1"/>
  <c r="R9" i="1"/>
  <c r="R4" i="1" s="1"/>
  <c r="G15" i="1"/>
  <c r="G9" i="1" s="1"/>
  <c r="G4" i="1" s="1"/>
  <c r="H15" i="1"/>
  <c r="H9" i="1" s="1"/>
  <c r="H4" i="1" s="1"/>
  <c r="I15" i="1"/>
  <c r="J15" i="1"/>
  <c r="K15" i="1"/>
  <c r="K9" i="1" s="1"/>
  <c r="K4" i="1" s="1"/>
  <c r="L15" i="1"/>
  <c r="L9" i="1" s="1"/>
  <c r="M15" i="1"/>
  <c r="N15" i="1"/>
  <c r="O15" i="1"/>
  <c r="O9" i="1" s="1"/>
  <c r="O4" i="1" s="1"/>
  <c r="P15" i="1"/>
  <c r="P9" i="1" s="1"/>
  <c r="P4" i="1" s="1"/>
  <c r="Q15" i="1"/>
  <c r="R15" i="1"/>
  <c r="S15" i="1"/>
  <c r="S9" i="1" s="1"/>
  <c r="S4" i="1" s="1"/>
  <c r="D25" i="17"/>
  <c r="D34" i="17" s="1"/>
  <c r="E25" i="17"/>
  <c r="F25" i="17"/>
  <c r="G25" i="17"/>
  <c r="H25" i="17"/>
  <c r="I25" i="17"/>
  <c r="J25" i="17"/>
  <c r="K25" i="17"/>
  <c r="L25" i="17"/>
  <c r="M25" i="17"/>
  <c r="N25" i="17"/>
  <c r="N30" i="17" s="1"/>
  <c r="O25" i="17"/>
  <c r="P25" i="17"/>
  <c r="D30" i="17"/>
  <c r="E30" i="17"/>
  <c r="F30" i="17"/>
  <c r="L30" i="17"/>
  <c r="M30" i="17"/>
  <c r="O30" i="17"/>
  <c r="E31" i="17"/>
  <c r="F31" i="17"/>
  <c r="M31" i="17"/>
  <c r="N31" i="17"/>
  <c r="O31" i="17"/>
  <c r="D32" i="17"/>
  <c r="E32" i="17"/>
  <c r="F32" i="17"/>
  <c r="L32" i="17"/>
  <c r="M32" i="17"/>
  <c r="O32" i="17"/>
  <c r="E33" i="17"/>
  <c r="F33" i="17"/>
  <c r="M33" i="17"/>
  <c r="N33" i="17"/>
  <c r="O33" i="17"/>
  <c r="E34" i="17"/>
  <c r="F34" i="17"/>
  <c r="L34" i="17"/>
  <c r="M34" i="17"/>
  <c r="O34" i="17"/>
  <c r="P31" i="17" l="1"/>
  <c r="P33" i="17"/>
  <c r="P30" i="17"/>
  <c r="P32" i="17"/>
  <c r="P34" i="17"/>
  <c r="L31" i="17"/>
  <c r="L33" i="17"/>
  <c r="D31" i="17"/>
  <c r="D33" i="17"/>
  <c r="N34" i="17"/>
  <c r="N32" i="17"/>
  <c r="R25" i="17"/>
  <c r="R30" i="17"/>
  <c r="R31" i="17"/>
  <c r="R32" i="17"/>
  <c r="R33" i="17"/>
  <c r="R34" i="17"/>
  <c r="U4" i="1"/>
  <c r="U15" i="1"/>
  <c r="U9" i="1" s="1"/>
  <c r="AC4" i="1"/>
  <c r="AK4" i="1"/>
  <c r="AB9" i="1"/>
  <c r="AB4" i="1" s="1"/>
  <c r="AI9" i="1"/>
  <c r="AI4" i="1" s="1"/>
  <c r="AJ9" i="1"/>
  <c r="AJ4" i="1" s="1"/>
  <c r="V15" i="1"/>
  <c r="V9" i="1" s="1"/>
  <c r="V4" i="1" s="1"/>
  <c r="W15" i="1"/>
  <c r="W9" i="1" s="1"/>
  <c r="W4" i="1" s="1"/>
  <c r="X15" i="1"/>
  <c r="X9" i="1" s="1"/>
  <c r="X4" i="1" s="1"/>
  <c r="Y15" i="1"/>
  <c r="Y9" i="1" s="1"/>
  <c r="Y4" i="1" s="1"/>
  <c r="Z15" i="1"/>
  <c r="Z9" i="1" s="1"/>
  <c r="Z4" i="1" s="1"/>
  <c r="AA15" i="1"/>
  <c r="AA9" i="1" s="1"/>
  <c r="AA4" i="1" s="1"/>
  <c r="AB15" i="1"/>
  <c r="AC15" i="1"/>
  <c r="AC9" i="1" s="1"/>
  <c r="AD15" i="1"/>
  <c r="AD9" i="1" s="1"/>
  <c r="AD4" i="1" s="1"/>
  <c r="AE15" i="1"/>
  <c r="AE9" i="1" s="1"/>
  <c r="AE4" i="1" s="1"/>
  <c r="AF15" i="1"/>
  <c r="AF9" i="1" s="1"/>
  <c r="AF4" i="1" s="1"/>
  <c r="AG15" i="1"/>
  <c r="AG9" i="1" s="1"/>
  <c r="AG4" i="1" s="1"/>
  <c r="AH15" i="1"/>
  <c r="AH9" i="1" s="1"/>
  <c r="AH4" i="1" s="1"/>
  <c r="AI15" i="1"/>
  <c r="AJ15" i="1"/>
  <c r="AK15" i="1"/>
  <c r="AK9" i="1" s="1"/>
  <c r="AL15" i="1"/>
  <c r="AL9" i="1" s="1"/>
  <c r="AL4" i="1" s="1"/>
  <c r="AM15" i="1"/>
  <c r="AM9" i="1" s="1"/>
  <c r="AM4" i="1" s="1"/>
  <c r="AN15" i="1"/>
  <c r="AN9" i="1" s="1"/>
  <c r="AN4" i="1" s="1"/>
  <c r="AO15" i="1"/>
  <c r="AO9" i="1" s="1"/>
  <c r="AO4" i="1" s="1"/>
  <c r="S25" i="17"/>
  <c r="T25" i="17"/>
  <c r="U25" i="17"/>
  <c r="U32" i="17" s="1"/>
  <c r="V25" i="17"/>
  <c r="W25" i="17"/>
  <c r="X25" i="17"/>
  <c r="Y25" i="17"/>
  <c r="Y32" i="17" s="1"/>
  <c r="Z25" i="17"/>
  <c r="AA25" i="17"/>
  <c r="AB25" i="17"/>
  <c r="AC25" i="17"/>
  <c r="AC32" i="17" s="1"/>
  <c r="AD25" i="17"/>
  <c r="AE25" i="17"/>
  <c r="AF25" i="17"/>
  <c r="AG25" i="17"/>
  <c r="AG32" i="17" s="1"/>
  <c r="AH25" i="17"/>
  <c r="AI25" i="17"/>
  <c r="AJ25" i="17"/>
  <c r="AK25" i="17"/>
  <c r="AK32" i="17" s="1"/>
  <c r="AL25" i="17"/>
  <c r="S29" i="17"/>
  <c r="T30" i="17"/>
  <c r="U30" i="17"/>
  <c r="V30" i="17"/>
  <c r="X30" i="17"/>
  <c r="Y30" i="17"/>
  <c r="Z30" i="17"/>
  <c r="AB30" i="17"/>
  <c r="AC30" i="17"/>
  <c r="AD30" i="17"/>
  <c r="AF30" i="17"/>
  <c r="AG30" i="17"/>
  <c r="AH30" i="17"/>
  <c r="AJ30" i="17"/>
  <c r="AK30" i="17"/>
  <c r="AL30" i="17"/>
  <c r="T31" i="17"/>
  <c r="U31" i="17"/>
  <c r="V31" i="17"/>
  <c r="X31" i="17"/>
  <c r="Y31" i="17"/>
  <c r="Z31" i="17"/>
  <c r="AB31" i="17"/>
  <c r="AC31" i="17"/>
  <c r="AD31" i="17"/>
  <c r="AF31" i="17"/>
  <c r="AG31" i="17"/>
  <c r="AH31" i="17"/>
  <c r="AJ31" i="17"/>
  <c r="AK31" i="17"/>
  <c r="AL31" i="17"/>
  <c r="T32" i="17"/>
  <c r="V32" i="17"/>
  <c r="X32" i="17"/>
  <c r="Z32" i="17"/>
  <c r="AB32" i="17"/>
  <c r="AD32" i="17"/>
  <c r="AF32" i="17"/>
  <c r="AH32" i="17"/>
  <c r="AI32" i="17"/>
  <c r="AJ32" i="17"/>
  <c r="AL32" i="17"/>
  <c r="T33" i="17"/>
  <c r="U33" i="17"/>
  <c r="V33" i="17"/>
  <c r="X33" i="17"/>
  <c r="Y33" i="17"/>
  <c r="Z33" i="17"/>
  <c r="AB33" i="17"/>
  <c r="AC33" i="17"/>
  <c r="AD33" i="17"/>
  <c r="AF33" i="17"/>
  <c r="AG33" i="17"/>
  <c r="AH33" i="17"/>
  <c r="AJ33" i="17"/>
  <c r="AK33" i="17"/>
  <c r="AL33" i="17"/>
  <c r="T34" i="17"/>
  <c r="U34" i="17"/>
  <c r="V34" i="17"/>
  <c r="X34" i="17"/>
  <c r="Y34" i="17"/>
  <c r="Z34" i="17"/>
  <c r="AB34" i="17"/>
  <c r="AC34" i="17"/>
  <c r="AD34" i="17"/>
  <c r="AF34" i="17"/>
  <c r="AG34" i="17"/>
  <c r="AH34" i="17"/>
  <c r="AJ34" i="17"/>
  <c r="AK34" i="17"/>
  <c r="AL34" i="17"/>
  <c r="AI31" i="17" l="1"/>
  <c r="AI30" i="17"/>
  <c r="AI34" i="17"/>
  <c r="AI33" i="17"/>
  <c r="AE31" i="17"/>
  <c r="AE30" i="17"/>
  <c r="AE34" i="17"/>
  <c r="AE32" i="17"/>
  <c r="AE33" i="17"/>
  <c r="AA31" i="17"/>
  <c r="AA30" i="17"/>
  <c r="AA34" i="17"/>
  <c r="AA32" i="17"/>
  <c r="AA33" i="17"/>
  <c r="W31" i="17"/>
  <c r="W30" i="17"/>
  <c r="W34" i="17"/>
  <c r="W33" i="17"/>
  <c r="W32" i="17"/>
  <c r="S31" i="17"/>
  <c r="S30" i="17"/>
  <c r="S34" i="17"/>
  <c r="S33" i="17"/>
  <c r="S32" i="17"/>
  <c r="S35" i="17" l="1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V33" i="1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S18" i="7"/>
  <c r="S19" i="7"/>
  <c r="V31" i="1" l="1"/>
  <c r="V30" i="1" s="1"/>
  <c r="V6" i="1" s="1"/>
  <c r="S26" i="17"/>
  <c r="S38" i="17" l="1"/>
  <c r="S40" i="17"/>
  <c r="S67" i="17" s="1"/>
  <c r="S42" i="17"/>
  <c r="S69" i="17" s="1"/>
  <c r="S43" i="17"/>
  <c r="S47" i="17" s="1"/>
  <c r="S39" i="17"/>
  <c r="S66" i="17" s="1"/>
  <c r="S41" i="17"/>
  <c r="S68" i="17" s="1"/>
  <c r="S44" i="17" l="1"/>
  <c r="S46" i="17" s="1"/>
  <c r="S48" i="17" s="1"/>
  <c r="C30" i="7"/>
  <c r="D30" i="7"/>
  <c r="E30" i="7"/>
  <c r="E31" i="7" s="1"/>
  <c r="F30" i="7"/>
  <c r="G30" i="7"/>
  <c r="H30" i="7"/>
  <c r="I30" i="7"/>
  <c r="I31" i="7" s="1"/>
  <c r="J30" i="7"/>
  <c r="K30" i="7"/>
  <c r="L30" i="7"/>
  <c r="M30" i="7"/>
  <c r="M31" i="7" s="1"/>
  <c r="N30" i="7"/>
  <c r="O30" i="7"/>
  <c r="P30" i="7"/>
  <c r="Q30" i="7"/>
  <c r="Q31" i="7" s="1"/>
  <c r="R30" i="7"/>
  <c r="R31" i="7" s="1"/>
  <c r="C31" i="7"/>
  <c r="D31" i="7"/>
  <c r="F31" i="7"/>
  <c r="G31" i="7"/>
  <c r="H31" i="7"/>
  <c r="J31" i="7"/>
  <c r="K31" i="7"/>
  <c r="L31" i="7"/>
  <c r="N31" i="7"/>
  <c r="O31" i="7"/>
  <c r="P31" i="7"/>
  <c r="M33" i="1"/>
  <c r="M31" i="1" s="1"/>
  <c r="Q33" i="1"/>
  <c r="C18" i="7"/>
  <c r="F33" i="1" s="1"/>
  <c r="F31" i="1" s="1"/>
  <c r="D18" i="7"/>
  <c r="E18" i="7"/>
  <c r="F18" i="7"/>
  <c r="I33" i="1" s="1"/>
  <c r="I31" i="1" s="1"/>
  <c r="G18" i="7"/>
  <c r="J33" i="1" s="1"/>
  <c r="J31" i="1" s="1"/>
  <c r="H18" i="7"/>
  <c r="I18" i="7"/>
  <c r="L33" i="1" s="1"/>
  <c r="J18" i="7"/>
  <c r="K18" i="7"/>
  <c r="N33" i="1" s="1"/>
  <c r="N31" i="1" s="1"/>
  <c r="L18" i="7"/>
  <c r="M18" i="7"/>
  <c r="N18" i="7"/>
  <c r="O18" i="7"/>
  <c r="R33" i="1" s="1"/>
  <c r="R31" i="1" s="1"/>
  <c r="P18" i="7"/>
  <c r="Q18" i="7"/>
  <c r="R18" i="7"/>
  <c r="U33" i="1" s="1"/>
  <c r="U31" i="1" s="1"/>
  <c r="C19" i="7"/>
  <c r="F19" i="7"/>
  <c r="G19" i="7"/>
  <c r="I19" i="7"/>
  <c r="J19" i="7"/>
  <c r="K19" i="7"/>
  <c r="N19" i="7"/>
  <c r="O19" i="7"/>
  <c r="R19" i="7"/>
  <c r="C26" i="17"/>
  <c r="F26" i="17"/>
  <c r="G26" i="17"/>
  <c r="J26" i="17"/>
  <c r="K26" i="17"/>
  <c r="O26" i="17"/>
  <c r="R26" i="17"/>
  <c r="C39" i="17"/>
  <c r="C66" i="17" s="1"/>
  <c r="F39" i="17"/>
  <c r="F66" i="17" s="1"/>
  <c r="O39" i="17"/>
  <c r="O66" i="17" s="1"/>
  <c r="R39" i="17"/>
  <c r="C40" i="17"/>
  <c r="C67" i="17" s="1"/>
  <c r="F40" i="17"/>
  <c r="O40" i="17"/>
  <c r="R40" i="17"/>
  <c r="C41" i="17"/>
  <c r="F41" i="17"/>
  <c r="F68" i="17" s="1"/>
  <c r="O41" i="17"/>
  <c r="R41" i="17"/>
  <c r="R68" i="17" s="1"/>
  <c r="C42" i="17"/>
  <c r="C69" i="17" s="1"/>
  <c r="F42" i="17"/>
  <c r="F69" i="17" s="1"/>
  <c r="O42" i="17"/>
  <c r="O69" i="17" s="1"/>
  <c r="R42" i="17"/>
  <c r="R69" i="17" s="1"/>
  <c r="C43" i="17"/>
  <c r="C47" i="17" s="1"/>
  <c r="F43" i="17"/>
  <c r="F47" i="17" s="1"/>
  <c r="O43" i="17"/>
  <c r="O47" i="17" s="1"/>
  <c r="R43" i="17"/>
  <c r="R47" i="17" s="1"/>
  <c r="R66" i="17"/>
  <c r="F67" i="17"/>
  <c r="O67" i="17"/>
  <c r="R67" i="17"/>
  <c r="C68" i="17"/>
  <c r="O68" i="17"/>
  <c r="Q31" i="1" l="1"/>
  <c r="N26" i="17"/>
  <c r="T33" i="1"/>
  <c r="Q19" i="7"/>
  <c r="P33" i="1"/>
  <c r="M19" i="7"/>
  <c r="L31" i="1"/>
  <c r="I26" i="17"/>
  <c r="H33" i="1"/>
  <c r="E19" i="7"/>
  <c r="S33" i="1"/>
  <c r="P19" i="7"/>
  <c r="O33" i="1"/>
  <c r="L19" i="7"/>
  <c r="K33" i="1"/>
  <c r="H19" i="7"/>
  <c r="G33" i="1"/>
  <c r="D19" i="7"/>
  <c r="T31" i="1" l="1"/>
  <c r="Q26" i="17"/>
  <c r="K31" i="1"/>
  <c r="H26" i="17"/>
  <c r="S31" i="1"/>
  <c r="P26" i="17"/>
  <c r="N41" i="17"/>
  <c r="N68" i="17" s="1"/>
  <c r="N40" i="17"/>
  <c r="N67" i="17" s="1"/>
  <c r="N43" i="17"/>
  <c r="N47" i="17" s="1"/>
  <c r="N39" i="17"/>
  <c r="N66" i="17" s="1"/>
  <c r="N42" i="17"/>
  <c r="N69" i="17" s="1"/>
  <c r="E26" i="17"/>
  <c r="H31" i="1"/>
  <c r="P31" i="1"/>
  <c r="M26" i="17"/>
  <c r="G31" i="1"/>
  <c r="D26" i="17"/>
  <c r="O31" i="1"/>
  <c r="L26" i="17"/>
  <c r="L39" i="17" l="1"/>
  <c r="L66" i="17" s="1"/>
  <c r="L43" i="17"/>
  <c r="L47" i="17" s="1"/>
  <c r="L42" i="17"/>
  <c r="L69" i="17" s="1"/>
  <c r="L40" i="17"/>
  <c r="L67" i="17" s="1"/>
  <c r="L41" i="17"/>
  <c r="L68" i="17" s="1"/>
  <c r="E40" i="17"/>
  <c r="E67" i="17" s="1"/>
  <c r="E39" i="17"/>
  <c r="E66" i="17" s="1"/>
  <c r="E43" i="17"/>
  <c r="E47" i="17" s="1"/>
  <c r="E42" i="17"/>
  <c r="E69" i="17" s="1"/>
  <c r="E41" i="17"/>
  <c r="E68" i="17" s="1"/>
  <c r="M40" i="17"/>
  <c r="M67" i="17" s="1"/>
  <c r="M39" i="17"/>
  <c r="M66" i="17" s="1"/>
  <c r="M43" i="17"/>
  <c r="M47" i="17" s="1"/>
  <c r="M41" i="17"/>
  <c r="M68" i="17" s="1"/>
  <c r="M42" i="17"/>
  <c r="M69" i="17" s="1"/>
  <c r="D39" i="17"/>
  <c r="D66" i="17" s="1"/>
  <c r="D43" i="17"/>
  <c r="D47" i="17" s="1"/>
  <c r="D42" i="17"/>
  <c r="D69" i="17" s="1"/>
  <c r="D40" i="17"/>
  <c r="D67" i="17" s="1"/>
  <c r="D41" i="17"/>
  <c r="D68" i="17" s="1"/>
  <c r="P39" i="17"/>
  <c r="P66" i="17" s="1"/>
  <c r="P43" i="17"/>
  <c r="P47" i="17" s="1"/>
  <c r="P42" i="17"/>
  <c r="P69" i="17" s="1"/>
  <c r="P40" i="17"/>
  <c r="P67" i="17" s="1"/>
  <c r="P41" i="17"/>
  <c r="P68" i="17" s="1"/>
  <c r="Q40" i="17"/>
  <c r="Q67" i="17" s="1"/>
  <c r="Q39" i="17"/>
  <c r="Q66" i="17" s="1"/>
  <c r="Q43" i="17"/>
  <c r="Q47" i="17" s="1"/>
  <c r="Q41" i="17"/>
  <c r="Q68" i="17" s="1"/>
  <c r="Q42" i="17"/>
  <c r="Q69" i="17" s="1"/>
  <c r="W31" i="1"/>
  <c r="AE31" i="1"/>
  <c r="AM31" i="1"/>
  <c r="AB33" i="1"/>
  <c r="AB31" i="1" s="1"/>
  <c r="T18" i="7"/>
  <c r="W33" i="1" s="1"/>
  <c r="U18" i="7"/>
  <c r="V18" i="7"/>
  <c r="W18" i="7"/>
  <c r="Z33" i="1" s="1"/>
  <c r="Z31" i="1" s="1"/>
  <c r="X18" i="7"/>
  <c r="AA33" i="1" s="1"/>
  <c r="AA31" i="1" s="1"/>
  <c r="Y18" i="7"/>
  <c r="Y19" i="7" s="1"/>
  <c r="Z18" i="7"/>
  <c r="AC33" i="1" s="1"/>
  <c r="AA18" i="7"/>
  <c r="AD33" i="1" s="1"/>
  <c r="AD31" i="1" s="1"/>
  <c r="AB18" i="7"/>
  <c r="AE33" i="1" s="1"/>
  <c r="AC18" i="7"/>
  <c r="AD18" i="7"/>
  <c r="AE18" i="7"/>
  <c r="AH33" i="1" s="1"/>
  <c r="AH31" i="1" s="1"/>
  <c r="AF18" i="7"/>
  <c r="AI33" i="1" s="1"/>
  <c r="AI31" i="1" s="1"/>
  <c r="AG18" i="7"/>
  <c r="AG19" i="7" s="1"/>
  <c r="AH18" i="7"/>
  <c r="AI18" i="7"/>
  <c r="AJ18" i="7"/>
  <c r="AM33" i="1" s="1"/>
  <c r="AK18" i="7"/>
  <c r="AN33" i="1" s="1"/>
  <c r="AN31" i="1" s="1"/>
  <c r="AL18" i="7"/>
  <c r="T19" i="7"/>
  <c r="W19" i="7"/>
  <c r="X19" i="7"/>
  <c r="Z19" i="7"/>
  <c r="AA19" i="7"/>
  <c r="AB19" i="7"/>
  <c r="AE19" i="7"/>
  <c r="AF19" i="7"/>
  <c r="AJ19" i="7"/>
  <c r="AK19" i="7"/>
  <c r="T26" i="17"/>
  <c r="W26" i="17"/>
  <c r="X26" i="17"/>
  <c r="Y26" i="17"/>
  <c r="AA26" i="17"/>
  <c r="AB26" i="17"/>
  <c r="AE26" i="17"/>
  <c r="AF26" i="17"/>
  <c r="AJ26" i="17"/>
  <c r="AK26" i="17"/>
  <c r="T39" i="17"/>
  <c r="W39" i="17"/>
  <c r="X39" i="17"/>
  <c r="AA39" i="17"/>
  <c r="AB39" i="17"/>
  <c r="AE39" i="17"/>
  <c r="AF39" i="17"/>
  <c r="AJ39" i="17"/>
  <c r="T40" i="17"/>
  <c r="W40" i="17"/>
  <c r="X40" i="17"/>
  <c r="AA40" i="17"/>
  <c r="AB40" i="17"/>
  <c r="AE40" i="17"/>
  <c r="AF40" i="17"/>
  <c r="AJ40" i="17"/>
  <c r="T41" i="17"/>
  <c r="W41" i="17"/>
  <c r="X41" i="17"/>
  <c r="AA41" i="17"/>
  <c r="AB41" i="17"/>
  <c r="AE41" i="17"/>
  <c r="AF41" i="17"/>
  <c r="AJ41" i="17"/>
  <c r="T42" i="17"/>
  <c r="W42" i="17"/>
  <c r="X42" i="17"/>
  <c r="AA42" i="17"/>
  <c r="AB42" i="17"/>
  <c r="AE42" i="17"/>
  <c r="AF42" i="17"/>
  <c r="AJ42" i="17"/>
  <c r="T43" i="17"/>
  <c r="W43" i="17"/>
  <c r="X43" i="17"/>
  <c r="AA43" i="17"/>
  <c r="AB43" i="17"/>
  <c r="AE43" i="17"/>
  <c r="AF43" i="17"/>
  <c r="AJ43" i="17"/>
  <c r="T47" i="17"/>
  <c r="W47" i="17"/>
  <c r="X47" i="17"/>
  <c r="AA47" i="17"/>
  <c r="AB47" i="17"/>
  <c r="AE47" i="17"/>
  <c r="AF47" i="17"/>
  <c r="AJ47" i="17"/>
  <c r="T66" i="17"/>
  <c r="W66" i="17"/>
  <c r="X66" i="17"/>
  <c r="AA66" i="17"/>
  <c r="AB66" i="17"/>
  <c r="AE66" i="17"/>
  <c r="AF66" i="17"/>
  <c r="AJ66" i="17"/>
  <c r="T67" i="17"/>
  <c r="W67" i="17"/>
  <c r="X67" i="17"/>
  <c r="AA67" i="17"/>
  <c r="AB67" i="17"/>
  <c r="AE67" i="17"/>
  <c r="AF67" i="17"/>
  <c r="AJ67" i="17"/>
  <c r="T68" i="17"/>
  <c r="W68" i="17"/>
  <c r="X68" i="17"/>
  <c r="AA68" i="17"/>
  <c r="AB68" i="17"/>
  <c r="AE68" i="17"/>
  <c r="AF68" i="17"/>
  <c r="AJ68" i="17"/>
  <c r="T69" i="17"/>
  <c r="W69" i="17"/>
  <c r="X69" i="17"/>
  <c r="AA69" i="17"/>
  <c r="AB69" i="17"/>
  <c r="AE69" i="17"/>
  <c r="AF69" i="17"/>
  <c r="AJ69" i="17"/>
  <c r="AK39" i="17" l="1"/>
  <c r="AK66" i="17" s="1"/>
  <c r="AK40" i="17"/>
  <c r="AK67" i="17" s="1"/>
  <c r="AK41" i="17"/>
  <c r="AK68" i="17" s="1"/>
  <c r="AK42" i="17"/>
  <c r="AK69" i="17" s="1"/>
  <c r="AK43" i="17"/>
  <c r="AK47" i="17" s="1"/>
  <c r="AO33" i="1"/>
  <c r="AL19" i="7"/>
  <c r="AK33" i="1"/>
  <c r="AH19" i="7"/>
  <c r="AG33" i="1"/>
  <c r="AD19" i="7"/>
  <c r="AC31" i="1"/>
  <c r="Z26" i="17"/>
  <c r="Y33" i="1"/>
  <c r="V19" i="7"/>
  <c r="Y39" i="17"/>
  <c r="Y66" i="17" s="1"/>
  <c r="Y40" i="17"/>
  <c r="Y67" i="17" s="1"/>
  <c r="Y41" i="17"/>
  <c r="Y68" i="17" s="1"/>
  <c r="Y42" i="17"/>
  <c r="Y69" i="17" s="1"/>
  <c r="Y43" i="17"/>
  <c r="Y47" i="17" s="1"/>
  <c r="AL33" i="1"/>
  <c r="AI19" i="7"/>
  <c r="AF33" i="1"/>
  <c r="AC19" i="7"/>
  <c r="X33" i="1"/>
  <c r="U19" i="7"/>
  <c r="AJ33" i="1"/>
  <c r="AJ31" i="1" l="1"/>
  <c r="AG26" i="17"/>
  <c r="X31" i="1"/>
  <c r="U26" i="17"/>
  <c r="Y31" i="1"/>
  <c r="V26" i="17"/>
  <c r="AG31" i="1"/>
  <c r="AD26" i="17"/>
  <c r="AO31" i="1"/>
  <c r="AL26" i="17"/>
  <c r="AF31" i="1"/>
  <c r="AC26" i="17"/>
  <c r="AK31" i="1"/>
  <c r="AH26" i="17"/>
  <c r="AL31" i="1"/>
  <c r="AI26" i="17"/>
  <c r="Z40" i="17"/>
  <c r="Z67" i="17" s="1"/>
  <c r="Z42" i="17"/>
  <c r="Z69" i="17" s="1"/>
  <c r="Z39" i="17"/>
  <c r="Z66" i="17" s="1"/>
  <c r="Z43" i="17"/>
  <c r="Z47" i="17" s="1"/>
  <c r="Z41" i="17"/>
  <c r="Z68" i="17" s="1"/>
  <c r="AD39" i="17" l="1"/>
  <c r="AD66" i="17" s="1"/>
  <c r="AD41" i="17"/>
  <c r="AD68" i="17" s="1"/>
  <c r="AD43" i="17"/>
  <c r="AD47" i="17" s="1"/>
  <c r="AD42" i="17"/>
  <c r="AD69" i="17" s="1"/>
  <c r="AD40" i="17"/>
  <c r="AD67" i="17" s="1"/>
  <c r="AL39" i="17"/>
  <c r="AL66" i="17" s="1"/>
  <c r="AL40" i="17"/>
  <c r="AL67" i="17" s="1"/>
  <c r="AL41" i="17"/>
  <c r="AL68" i="17" s="1"/>
  <c r="AL42" i="17"/>
  <c r="AL69" i="17" s="1"/>
  <c r="AL43" i="17"/>
  <c r="AL47" i="17" s="1"/>
  <c r="V40" i="17"/>
  <c r="V67" i="17" s="1"/>
  <c r="V42" i="17"/>
  <c r="V69" i="17" s="1"/>
  <c r="V41" i="17"/>
  <c r="V68" i="17" s="1"/>
  <c r="V43" i="17"/>
  <c r="V47" i="17" s="1"/>
  <c r="V39" i="17"/>
  <c r="V66" i="17" s="1"/>
  <c r="AG39" i="17"/>
  <c r="AG66" i="17" s="1"/>
  <c r="AG40" i="17"/>
  <c r="AG67" i="17" s="1"/>
  <c r="AG41" i="17"/>
  <c r="AG68" i="17" s="1"/>
  <c r="AG42" i="17"/>
  <c r="AG69" i="17" s="1"/>
  <c r="AG43" i="17"/>
  <c r="AG47" i="17" s="1"/>
  <c r="AC39" i="17"/>
  <c r="AC66" i="17" s="1"/>
  <c r="AC40" i="17"/>
  <c r="AC67" i="17" s="1"/>
  <c r="AC41" i="17"/>
  <c r="AC68" i="17" s="1"/>
  <c r="AC42" i="17"/>
  <c r="AC69" i="17" s="1"/>
  <c r="AC43" i="17"/>
  <c r="AC47" i="17" s="1"/>
  <c r="U39" i="17"/>
  <c r="U66" i="17" s="1"/>
  <c r="U40" i="17"/>
  <c r="U67" i="17" s="1"/>
  <c r="U41" i="17"/>
  <c r="U68" i="17" s="1"/>
  <c r="U42" i="17"/>
  <c r="U69" i="17" s="1"/>
  <c r="U43" i="17"/>
  <c r="U47" i="17" s="1"/>
  <c r="AH39" i="17"/>
  <c r="AH66" i="17" s="1"/>
  <c r="AH41" i="17"/>
  <c r="AH68" i="17" s="1"/>
  <c r="AH43" i="17"/>
  <c r="AH47" i="17" s="1"/>
  <c r="AH40" i="17"/>
  <c r="AH67" i="17" s="1"/>
  <c r="AH42" i="17"/>
  <c r="AH69" i="17" s="1"/>
  <c r="AI39" i="17"/>
  <c r="AI66" i="17" s="1"/>
  <c r="AI40" i="17"/>
  <c r="AI67" i="17" s="1"/>
  <c r="AI41" i="17"/>
  <c r="AI68" i="17" s="1"/>
  <c r="AI42" i="17"/>
  <c r="AI69" i="17" s="1"/>
  <c r="AI43" i="17"/>
  <c r="AI47" i="17" s="1"/>
  <c r="T30" i="7"/>
  <c r="T31" i="7" s="1"/>
  <c r="U30" i="7"/>
  <c r="U31" i="7" s="1"/>
  <c r="V30" i="7"/>
  <c r="W30" i="7"/>
  <c r="X30" i="7"/>
  <c r="X31" i="7" s="1"/>
  <c r="Y30" i="7"/>
  <c r="Y31" i="7" s="1"/>
  <c r="Z30" i="7"/>
  <c r="AA30" i="7"/>
  <c r="AB30" i="7"/>
  <c r="AB31" i="7" s="1"/>
  <c r="AC30" i="7"/>
  <c r="AC31" i="7" s="1"/>
  <c r="AD30" i="7"/>
  <c r="AE30" i="7"/>
  <c r="AF30" i="7"/>
  <c r="AG30" i="7"/>
  <c r="AH30" i="7"/>
  <c r="AI30" i="7"/>
  <c r="AJ30" i="7"/>
  <c r="AK30" i="7"/>
  <c r="AL30" i="7"/>
  <c r="V31" i="7"/>
  <c r="W31" i="7"/>
  <c r="Z31" i="7"/>
  <c r="AA31" i="7"/>
  <c r="AD31" i="7"/>
  <c r="AE34" i="7"/>
  <c r="AE29" i="7" s="1"/>
  <c r="AE31" i="7" s="1"/>
  <c r="AF34" i="7"/>
  <c r="AG34" i="7"/>
  <c r="AH34" i="7"/>
  <c r="AI34" i="7"/>
  <c r="AJ34" i="7"/>
  <c r="AK34" i="7"/>
  <c r="AL34" i="7"/>
  <c r="AM34" i="7"/>
  <c r="AF35" i="7"/>
  <c r="AG35" i="7"/>
  <c r="AH35" i="7"/>
  <c r="AI35" i="7"/>
  <c r="AJ35" i="7"/>
  <c r="AK35" i="7"/>
  <c r="AL35" i="7"/>
  <c r="AM35" i="7"/>
  <c r="AG36" i="7"/>
  <c r="AH36" i="7"/>
  <c r="AI36" i="7"/>
  <c r="AJ36" i="7"/>
  <c r="AK36" i="7"/>
  <c r="AL36" i="7"/>
  <c r="AM36" i="7"/>
  <c r="AH37" i="7"/>
  <c r="AI37" i="7"/>
  <c r="AJ37" i="7"/>
  <c r="AK37" i="7"/>
  <c r="AL37" i="7"/>
  <c r="AM37" i="7"/>
  <c r="AI38" i="7"/>
  <c r="AJ38" i="7"/>
  <c r="AK38" i="7"/>
  <c r="AL38" i="7"/>
  <c r="AM38" i="7"/>
  <c r="AJ39" i="7"/>
  <c r="AK39" i="7"/>
  <c r="AL39" i="7"/>
  <c r="AM39" i="7"/>
  <c r="AK40" i="7"/>
  <c r="AL40" i="7"/>
  <c r="AM40" i="7"/>
  <c r="AL41" i="7"/>
  <c r="AM41" i="7"/>
  <c r="AJ29" i="7" l="1"/>
  <c r="AF29" i="7"/>
  <c r="AK29" i="7"/>
  <c r="AG29" i="7"/>
  <c r="AG31" i="7"/>
  <c r="AJ31" i="7"/>
  <c r="AM29" i="7"/>
  <c r="AI29" i="7"/>
  <c r="AL29" i="7"/>
  <c r="AH29" i="7"/>
  <c r="AI31" i="7" l="1"/>
  <c r="AH31" i="7"/>
  <c r="AM31" i="7"/>
  <c r="AP36" i="1"/>
  <c r="AK31" i="7"/>
  <c r="AL31" i="7"/>
  <c r="AF31" i="7"/>
  <c r="AP37" i="1" l="1"/>
  <c r="AM18" i="17" s="1"/>
  <c r="AM10" i="17" l="1"/>
  <c r="AM20" i="17" s="1"/>
  <c r="AM21" i="17" s="1"/>
  <c r="AM29" i="17"/>
  <c r="AP35" i="1"/>
  <c r="AP30" i="1" s="1"/>
  <c r="AP6" i="1" s="1"/>
  <c r="AM35" i="17" l="1"/>
  <c r="AM46" i="17" s="1"/>
  <c r="AM48" i="17" s="1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C57" i="7"/>
  <c r="C66" i="7" s="1"/>
  <c r="D57" i="7"/>
  <c r="E57" i="7"/>
  <c r="F57" i="7"/>
  <c r="F66" i="7" s="1"/>
  <c r="G57" i="7"/>
  <c r="G66" i="7" s="1"/>
  <c r="H57" i="7"/>
  <c r="I57" i="7"/>
  <c r="J57" i="7"/>
  <c r="J66" i="7" s="1"/>
  <c r="K57" i="7"/>
  <c r="K66" i="7" s="1"/>
  <c r="L57" i="7"/>
  <c r="M57" i="7"/>
  <c r="N57" i="7"/>
  <c r="N66" i="7" s="1"/>
  <c r="O57" i="7"/>
  <c r="O66" i="7" s="1"/>
  <c r="P57" i="7"/>
  <c r="Q57" i="7"/>
  <c r="R57" i="7"/>
  <c r="R66" i="7" s="1"/>
  <c r="N63" i="7"/>
  <c r="O63" i="7"/>
  <c r="D66" i="7"/>
  <c r="E66" i="7"/>
  <c r="H66" i="7"/>
  <c r="I66" i="7"/>
  <c r="L66" i="7"/>
  <c r="M66" i="7"/>
  <c r="P66" i="7"/>
  <c r="Q66" i="7"/>
  <c r="R63" i="7" l="1"/>
  <c r="R65" i="7" s="1"/>
  <c r="U36" i="1" s="1"/>
  <c r="N65" i="7"/>
  <c r="Q36" i="1" s="1"/>
  <c r="J65" i="7"/>
  <c r="M36" i="1" s="1"/>
  <c r="M37" i="1"/>
  <c r="J13" i="17" s="1"/>
  <c r="J63" i="7"/>
  <c r="F63" i="7"/>
  <c r="F65" i="7" s="1"/>
  <c r="I36" i="1" s="1"/>
  <c r="R37" i="1"/>
  <c r="O13" i="17" s="1"/>
  <c r="O65" i="7"/>
  <c r="R36" i="1" s="1"/>
  <c r="K63" i="7"/>
  <c r="K65" i="7" s="1"/>
  <c r="N36" i="1" s="1"/>
  <c r="G63" i="7"/>
  <c r="G65" i="7" s="1"/>
  <c r="J36" i="1" s="1"/>
  <c r="C63" i="7"/>
  <c r="C65" i="7" s="1"/>
  <c r="F36" i="1" s="1"/>
  <c r="P63" i="7"/>
  <c r="P65" i="7" s="1"/>
  <c r="S36" i="1" s="1"/>
  <c r="H63" i="7"/>
  <c r="H65" i="7"/>
  <c r="K36" i="1" s="1"/>
  <c r="Q63" i="7"/>
  <c r="Q65" i="7"/>
  <c r="T36" i="1" s="1"/>
  <c r="T37" i="1" s="1"/>
  <c r="Q13" i="17" s="1"/>
  <c r="I63" i="7"/>
  <c r="I65" i="7" s="1"/>
  <c r="L36" i="1" s="1"/>
  <c r="L63" i="7"/>
  <c r="L65" i="7" s="1"/>
  <c r="O36" i="1" s="1"/>
  <c r="O37" i="1" s="1"/>
  <c r="L13" i="17" s="1"/>
  <c r="G37" i="1"/>
  <c r="D13" i="17" s="1"/>
  <c r="D63" i="7"/>
  <c r="D65" i="7" s="1"/>
  <c r="G36" i="1" s="1"/>
  <c r="M63" i="7"/>
  <c r="M65" i="7" s="1"/>
  <c r="P36" i="1" s="1"/>
  <c r="E63" i="7"/>
  <c r="E65" i="7"/>
  <c r="H36" i="1" s="1"/>
  <c r="C5" i="17" l="1"/>
  <c r="F37" i="1"/>
  <c r="C13" i="17" s="1"/>
  <c r="J35" i="1"/>
  <c r="J30" i="1" s="1"/>
  <c r="J6" i="1" s="1"/>
  <c r="G5" i="17"/>
  <c r="J37" i="1"/>
  <c r="G13" i="17" s="1"/>
  <c r="Q18" i="17"/>
  <c r="Q38" i="17"/>
  <c r="Q44" i="17" s="1"/>
  <c r="P5" i="17"/>
  <c r="S37" i="1"/>
  <c r="P13" i="17" s="1"/>
  <c r="L18" i="17"/>
  <c r="L38" i="17"/>
  <c r="L44" i="17" s="1"/>
  <c r="F5" i="17"/>
  <c r="I37" i="1"/>
  <c r="F13" i="17" s="1"/>
  <c r="M5" i="17"/>
  <c r="P37" i="1"/>
  <c r="M13" i="17" s="1"/>
  <c r="L35" i="1"/>
  <c r="L30" i="1" s="1"/>
  <c r="L6" i="1" s="1"/>
  <c r="I5" i="17"/>
  <c r="L37" i="1"/>
  <c r="I13" i="17" s="1"/>
  <c r="U35" i="1"/>
  <c r="U30" i="1" s="1"/>
  <c r="U6" i="1" s="1"/>
  <c r="R5" i="17"/>
  <c r="U37" i="1"/>
  <c r="R13" i="17" s="1"/>
  <c r="E5" i="17"/>
  <c r="K35" i="1"/>
  <c r="K30" i="1" s="1"/>
  <c r="K6" i="1" s="1"/>
  <c r="H5" i="17"/>
  <c r="K5" i="17"/>
  <c r="D18" i="17"/>
  <c r="D38" i="17"/>
  <c r="D44" i="17" s="1"/>
  <c r="O38" i="17"/>
  <c r="O44" i="17" s="1"/>
  <c r="O18" i="17"/>
  <c r="Q35" i="1"/>
  <c r="Q30" i="1" s="1"/>
  <c r="Q6" i="1" s="1"/>
  <c r="N5" i="17"/>
  <c r="L5" i="17"/>
  <c r="O35" i="1"/>
  <c r="O30" i="1" s="1"/>
  <c r="O6" i="1" s="1"/>
  <c r="J18" i="17"/>
  <c r="T35" i="1"/>
  <c r="T30" i="1" s="1"/>
  <c r="T6" i="1" s="1"/>
  <c r="Q5" i="17"/>
  <c r="N37" i="1"/>
  <c r="K13" i="17" s="1"/>
  <c r="M35" i="1"/>
  <c r="M30" i="1" s="1"/>
  <c r="M6" i="1" s="1"/>
  <c r="J5" i="17"/>
  <c r="H37" i="1"/>
  <c r="E13" i="17" s="1"/>
  <c r="G35" i="1"/>
  <c r="G30" i="1" s="1"/>
  <c r="G6" i="1" s="1"/>
  <c r="D5" i="17"/>
  <c r="K37" i="1"/>
  <c r="H13" i="17" s="1"/>
  <c r="R35" i="1"/>
  <c r="R30" i="1" s="1"/>
  <c r="R6" i="1" s="1"/>
  <c r="O5" i="17"/>
  <c r="Q37" i="1"/>
  <c r="N13" i="17" s="1"/>
  <c r="O10" i="17" l="1"/>
  <c r="O29" i="17"/>
  <c r="O35" i="17" s="1"/>
  <c r="K18" i="17"/>
  <c r="E18" i="17"/>
  <c r="E38" i="17"/>
  <c r="E44" i="17" s="1"/>
  <c r="Q10" i="17"/>
  <c r="Q20" i="17" s="1"/>
  <c r="Q21" i="17" s="1"/>
  <c r="Q29" i="17"/>
  <c r="Q35" i="17" s="1"/>
  <c r="Q46" i="17" s="1"/>
  <c r="Q48" i="17" s="1"/>
  <c r="O20" i="17"/>
  <c r="O21" i="17" s="1"/>
  <c r="F10" i="17"/>
  <c r="F29" i="17"/>
  <c r="F35" i="17" s="1"/>
  <c r="H18" i="17"/>
  <c r="H20" i="17" s="1"/>
  <c r="H21" i="17" s="1"/>
  <c r="J10" i="17"/>
  <c r="J20" i="17" s="1"/>
  <c r="J21" i="17" s="1"/>
  <c r="L29" i="17"/>
  <c r="L35" i="17" s="1"/>
  <c r="L46" i="17" s="1"/>
  <c r="L48" i="17" s="1"/>
  <c r="L10" i="17"/>
  <c r="L20" i="17" s="1"/>
  <c r="L21" i="17" s="1"/>
  <c r="O46" i="17"/>
  <c r="O48" i="17" s="1"/>
  <c r="N35" i="1"/>
  <c r="N30" i="1" s="1"/>
  <c r="N6" i="1" s="1"/>
  <c r="H35" i="1"/>
  <c r="H30" i="1" s="1"/>
  <c r="H6" i="1" s="1"/>
  <c r="I18" i="17"/>
  <c r="P35" i="1"/>
  <c r="P30" i="1" s="1"/>
  <c r="P6" i="1" s="1"/>
  <c r="I35" i="1"/>
  <c r="I30" i="1" s="1"/>
  <c r="I6" i="1" s="1"/>
  <c r="P29" i="17"/>
  <c r="P35" i="17" s="1"/>
  <c r="P10" i="17"/>
  <c r="G18" i="17"/>
  <c r="C10" i="17"/>
  <c r="C29" i="17"/>
  <c r="C35" i="17" s="1"/>
  <c r="R10" i="17"/>
  <c r="R29" i="17"/>
  <c r="R35" i="17" s="1"/>
  <c r="F18" i="17"/>
  <c r="F20" i="17" s="1"/>
  <c r="F38" i="17"/>
  <c r="F44" i="17" s="1"/>
  <c r="F46" i="17" s="1"/>
  <c r="K10" i="17"/>
  <c r="E10" i="17"/>
  <c r="E29" i="17"/>
  <c r="E35" i="17" s="1"/>
  <c r="M18" i="17"/>
  <c r="M38" i="17"/>
  <c r="M44" i="17" s="1"/>
  <c r="P18" i="17"/>
  <c r="P38" i="17"/>
  <c r="P44" i="17" s="1"/>
  <c r="P46" i="17" s="1"/>
  <c r="P48" i="17" s="1"/>
  <c r="C18" i="17"/>
  <c r="C38" i="17"/>
  <c r="C44" i="17" s="1"/>
  <c r="C46" i="17" s="1"/>
  <c r="N38" i="17"/>
  <c r="N44" i="17" s="1"/>
  <c r="N18" i="17"/>
  <c r="D29" i="17"/>
  <c r="D35" i="17" s="1"/>
  <c r="D46" i="17" s="1"/>
  <c r="D48" i="17" s="1"/>
  <c r="D10" i="17"/>
  <c r="D20" i="17" s="1"/>
  <c r="D21" i="17" s="1"/>
  <c r="N10" i="17"/>
  <c r="N29" i="17"/>
  <c r="N35" i="17" s="1"/>
  <c r="H10" i="17"/>
  <c r="R18" i="17"/>
  <c r="R20" i="17" s="1"/>
  <c r="R21" i="17" s="1"/>
  <c r="R38" i="17"/>
  <c r="R44" i="17" s="1"/>
  <c r="I10" i="17"/>
  <c r="M10" i="17"/>
  <c r="M29" i="17"/>
  <c r="M35" i="17" s="1"/>
  <c r="S35" i="1"/>
  <c r="S30" i="1" s="1"/>
  <c r="S6" i="1" s="1"/>
  <c r="G10" i="17"/>
  <c r="F35" i="1"/>
  <c r="F30" i="1" s="1"/>
  <c r="F6" i="1" s="1"/>
  <c r="E20" i="17" l="1"/>
  <c r="C20" i="17"/>
  <c r="C21" i="17" s="1"/>
  <c r="N20" i="17"/>
  <c r="N21" i="17" s="1"/>
  <c r="M20" i="17"/>
  <c r="M21" i="17" s="1"/>
  <c r="R46" i="17"/>
  <c r="R48" i="17" s="1"/>
  <c r="P20" i="17"/>
  <c r="P21" i="17" s="1"/>
  <c r="K20" i="17"/>
  <c r="K21" i="17" s="1"/>
  <c r="N46" i="17"/>
  <c r="N48" i="17" s="1"/>
  <c r="F48" i="17"/>
  <c r="E21" i="17"/>
  <c r="G20" i="17"/>
  <c r="G21" i="17" s="1"/>
  <c r="C48" i="17"/>
  <c r="M46" i="17"/>
  <c r="M48" i="17" s="1"/>
  <c r="F21" i="17"/>
  <c r="I20" i="17"/>
  <c r="I21" i="17" s="1"/>
  <c r="E46" i="17"/>
  <c r="E48" i="17" s="1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A37" i="1"/>
  <c r="AE37" i="1"/>
  <c r="T57" i="7"/>
  <c r="T66" i="7" s="1"/>
  <c r="U57" i="7"/>
  <c r="V57" i="7"/>
  <c r="W57" i="7"/>
  <c r="W66" i="7" s="1"/>
  <c r="X57" i="7"/>
  <c r="X66" i="7" s="1"/>
  <c r="X63" i="7" s="1"/>
  <c r="Y57" i="7"/>
  <c r="Z57" i="7"/>
  <c r="AA57" i="7"/>
  <c r="AA66" i="7" s="1"/>
  <c r="AB57" i="7"/>
  <c r="AB66" i="7" s="1"/>
  <c r="AC57" i="7"/>
  <c r="AD57" i="7"/>
  <c r="AE57" i="7"/>
  <c r="AE66" i="7" s="1"/>
  <c r="AF57" i="7"/>
  <c r="AF66" i="7" s="1"/>
  <c r="AF63" i="7" s="1"/>
  <c r="AG57" i="7"/>
  <c r="AH57" i="7"/>
  <c r="AI57" i="7"/>
  <c r="AI66" i="7" s="1"/>
  <c r="AJ57" i="7"/>
  <c r="AJ66" i="7" s="1"/>
  <c r="AK57" i="7"/>
  <c r="AL57" i="7"/>
  <c r="T63" i="7"/>
  <c r="AA63" i="7"/>
  <c r="AB63" i="7"/>
  <c r="AJ63" i="7"/>
  <c r="T65" i="7"/>
  <c r="W36" i="1" s="1"/>
  <c r="X65" i="7"/>
  <c r="AA36" i="1" s="1"/>
  <c r="AB65" i="7"/>
  <c r="AE36" i="1" s="1"/>
  <c r="AF65" i="7"/>
  <c r="AI36" i="1" s="1"/>
  <c r="AJ65" i="7"/>
  <c r="AM36" i="1" s="1"/>
  <c r="U66" i="7"/>
  <c r="V66" i="7"/>
  <c r="Y66" i="7"/>
  <c r="Z66" i="7"/>
  <c r="AC66" i="7"/>
  <c r="AD66" i="7"/>
  <c r="AG66" i="7"/>
  <c r="AH66" i="7"/>
  <c r="AK66" i="7"/>
  <c r="AL66" i="7"/>
  <c r="X5" i="17"/>
  <c r="AB5" i="17"/>
  <c r="AF5" i="17"/>
  <c r="X10" i="17"/>
  <c r="X13" i="17"/>
  <c r="AB13" i="17"/>
  <c r="X29" i="17"/>
  <c r="X35" i="17"/>
  <c r="AB18" i="17" l="1"/>
  <c r="AB38" i="17"/>
  <c r="AB44" i="17" s="1"/>
  <c r="AF10" i="17"/>
  <c r="AF29" i="17"/>
  <c r="AF35" i="17" s="1"/>
  <c r="X38" i="17"/>
  <c r="X44" i="17" s="1"/>
  <c r="X46" i="17" s="1"/>
  <c r="X48" i="17" s="1"/>
  <c r="X18" i="17"/>
  <c r="X20" i="17" s="1"/>
  <c r="AM35" i="1"/>
  <c r="AM30" i="1" s="1"/>
  <c r="AM6" i="1" s="1"/>
  <c r="AM37" i="1"/>
  <c r="AJ13" i="17" s="1"/>
  <c r="AJ5" i="17"/>
  <c r="W37" i="1"/>
  <c r="T13" i="17" s="1"/>
  <c r="T5" i="17"/>
  <c r="AG63" i="7"/>
  <c r="AG65" i="7" s="1"/>
  <c r="AJ36" i="1" s="1"/>
  <c r="Y63" i="7"/>
  <c r="AB37" i="1"/>
  <c r="Y13" i="17" s="1"/>
  <c r="Y65" i="7"/>
  <c r="AB36" i="1" s="1"/>
  <c r="AI35" i="1"/>
  <c r="AI30" i="1" s="1"/>
  <c r="AI6" i="1" s="1"/>
  <c r="AI37" i="1"/>
  <c r="AF13" i="17" s="1"/>
  <c r="AB10" i="17"/>
  <c r="AB29" i="17"/>
  <c r="AB35" i="17" s="1"/>
  <c r="AI63" i="7"/>
  <c r="AI65" i="7" s="1"/>
  <c r="AL36" i="1" s="1"/>
  <c r="AE65" i="7"/>
  <c r="AH36" i="1" s="1"/>
  <c r="AE63" i="7"/>
  <c r="AD37" i="1"/>
  <c r="AA13" i="17" s="1"/>
  <c r="AA65" i="7"/>
  <c r="AD36" i="1" s="1"/>
  <c r="W63" i="7"/>
  <c r="W65" i="7" s="1"/>
  <c r="Z36" i="1" s="1"/>
  <c r="AE35" i="1"/>
  <c r="AE30" i="1" s="1"/>
  <c r="AE6" i="1" s="1"/>
  <c r="AK63" i="7"/>
  <c r="AK65" i="7" s="1"/>
  <c r="AN36" i="1" s="1"/>
  <c r="AC63" i="7"/>
  <c r="AC65" i="7"/>
  <c r="AF36" i="1" s="1"/>
  <c r="AF37" i="1" s="1"/>
  <c r="AC13" i="17" s="1"/>
  <c r="U63" i="7"/>
  <c r="U65" i="7" s="1"/>
  <c r="X36" i="1" s="1"/>
  <c r="AA35" i="1"/>
  <c r="AA30" i="1" s="1"/>
  <c r="AA6" i="1" s="1"/>
  <c r="AL63" i="7"/>
  <c r="AL65" i="7" s="1"/>
  <c r="AO36" i="1" s="1"/>
  <c r="AD65" i="7"/>
  <c r="AG36" i="1" s="1"/>
  <c r="AD63" i="7"/>
  <c r="V63" i="7"/>
  <c r="V65" i="7" s="1"/>
  <c r="Y36" i="1" s="1"/>
  <c r="AH65" i="7"/>
  <c r="AK36" i="1" s="1"/>
  <c r="AH63" i="7"/>
  <c r="Z63" i="7"/>
  <c r="Z65" i="7" s="1"/>
  <c r="AC36" i="1" s="1"/>
  <c r="Z5" i="17" l="1"/>
  <c r="AC37" i="1"/>
  <c r="Z13" i="17" s="1"/>
  <c r="Z35" i="1"/>
  <c r="Z30" i="1" s="1"/>
  <c r="Z6" i="1" s="1"/>
  <c r="W5" i="17"/>
  <c r="Z37" i="1"/>
  <c r="W13" i="17" s="1"/>
  <c r="AO35" i="1"/>
  <c r="AO30" i="1" s="1"/>
  <c r="AO6" i="1" s="1"/>
  <c r="AL5" i="17"/>
  <c r="AO37" i="1"/>
  <c r="AL13" i="17" s="1"/>
  <c r="AG5" i="17"/>
  <c r="AJ37" i="1"/>
  <c r="AG13" i="17" s="1"/>
  <c r="U5" i="17"/>
  <c r="X37" i="1"/>
  <c r="U13" i="17" s="1"/>
  <c r="AC18" i="17"/>
  <c r="AC38" i="17"/>
  <c r="AC44" i="17" s="1"/>
  <c r="AI5" i="17"/>
  <c r="AL37" i="1"/>
  <c r="AI13" i="17" s="1"/>
  <c r="V5" i="17"/>
  <c r="Y37" i="1"/>
  <c r="V13" i="17" s="1"/>
  <c r="AN35" i="1"/>
  <c r="AN30" i="1" s="1"/>
  <c r="AN6" i="1" s="1"/>
  <c r="AK5" i="17"/>
  <c r="AN37" i="1"/>
  <c r="AK13" i="17" s="1"/>
  <c r="AD5" i="17"/>
  <c r="AA18" i="17"/>
  <c r="AA38" i="17"/>
  <c r="AA44" i="17" s="1"/>
  <c r="Y38" i="17"/>
  <c r="Y44" i="17" s="1"/>
  <c r="Y18" i="17"/>
  <c r="AJ10" i="17"/>
  <c r="AJ29" i="17"/>
  <c r="AJ35" i="17" s="1"/>
  <c r="AB20" i="17"/>
  <c r="AB21" i="17" s="1"/>
  <c r="AG37" i="1"/>
  <c r="AD13" i="17" s="1"/>
  <c r="AF38" i="17"/>
  <c r="AF44" i="17" s="1"/>
  <c r="AF46" i="17" s="1"/>
  <c r="AF48" i="17" s="1"/>
  <c r="AF18" i="17"/>
  <c r="AF20" i="17" s="1"/>
  <c r="AF21" i="17" s="1"/>
  <c r="T10" i="17"/>
  <c r="T29" i="17"/>
  <c r="T35" i="17" s="1"/>
  <c r="AJ18" i="17"/>
  <c r="AJ20" i="17" s="1"/>
  <c r="AJ21" i="17" s="1"/>
  <c r="AJ38" i="17"/>
  <c r="AJ44" i="17" s="1"/>
  <c r="AJ46" i="17" s="1"/>
  <c r="AJ48" i="17" s="1"/>
  <c r="AH5" i="17"/>
  <c r="AF35" i="1"/>
  <c r="AF30" i="1" s="1"/>
  <c r="AF6" i="1" s="1"/>
  <c r="AC5" i="17"/>
  <c r="AH35" i="1"/>
  <c r="AH30" i="1" s="1"/>
  <c r="AH6" i="1" s="1"/>
  <c r="AE5" i="17"/>
  <c r="T18" i="17"/>
  <c r="T38" i="17"/>
  <c r="T44" i="17" s="1"/>
  <c r="T46" i="17" s="1"/>
  <c r="AK37" i="1"/>
  <c r="AH13" i="17" s="1"/>
  <c r="AD35" i="1"/>
  <c r="AD30" i="1" s="1"/>
  <c r="AD6" i="1" s="1"/>
  <c r="AA5" i="17"/>
  <c r="AH37" i="1"/>
  <c r="AE13" i="17" s="1"/>
  <c r="AB35" i="1"/>
  <c r="AB30" i="1" s="1"/>
  <c r="AB6" i="1" s="1"/>
  <c r="Y5" i="17"/>
  <c r="W35" i="1"/>
  <c r="W30" i="1" s="1"/>
  <c r="W6" i="1" s="1"/>
  <c r="X21" i="17"/>
  <c r="AB46" i="17"/>
  <c r="AB48" i="17" s="1"/>
  <c r="T20" i="17" l="1"/>
  <c r="T21" i="17" s="1"/>
  <c r="AA29" i="17"/>
  <c r="AA35" i="17" s="1"/>
  <c r="AA46" i="17" s="1"/>
  <c r="AA48" i="17" s="1"/>
  <c r="AA10" i="17"/>
  <c r="AA20" i="17" s="1"/>
  <c r="AA21" i="17" s="1"/>
  <c r="AK10" i="17"/>
  <c r="AK29" i="17"/>
  <c r="AK35" i="17" s="1"/>
  <c r="V29" i="17"/>
  <c r="V35" i="17" s="1"/>
  <c r="V10" i="17"/>
  <c r="X35" i="1"/>
  <c r="X30" i="1" s="1"/>
  <c r="X6" i="1" s="1"/>
  <c r="AL18" i="17"/>
  <c r="AL38" i="17"/>
  <c r="AL44" i="17" s="1"/>
  <c r="W10" i="17"/>
  <c r="W29" i="17"/>
  <c r="W35" i="17" s="1"/>
  <c r="Z10" i="17"/>
  <c r="Z29" i="17"/>
  <c r="Z35" i="17" s="1"/>
  <c r="Y10" i="17"/>
  <c r="Y20" i="17" s="1"/>
  <c r="Y21" i="17" s="1"/>
  <c r="Y29" i="17"/>
  <c r="Y35" i="17" s="1"/>
  <c r="Y46" i="17" s="1"/>
  <c r="Y48" i="17" s="1"/>
  <c r="AE29" i="17"/>
  <c r="AE35" i="17" s="1"/>
  <c r="AE10" i="17"/>
  <c r="AK35" i="1"/>
  <c r="AK30" i="1" s="1"/>
  <c r="AK6" i="1" s="1"/>
  <c r="AD18" i="17"/>
  <c r="AD38" i="17"/>
  <c r="AD44" i="17" s="1"/>
  <c r="AG35" i="1"/>
  <c r="AG30" i="1" s="1"/>
  <c r="AG6" i="1" s="1"/>
  <c r="AI18" i="17"/>
  <c r="AI38" i="17"/>
  <c r="AI44" i="17" s="1"/>
  <c r="AG38" i="17"/>
  <c r="AG44" i="17" s="1"/>
  <c r="AG18" i="17"/>
  <c r="AL10" i="17"/>
  <c r="AL29" i="17"/>
  <c r="AL35" i="17" s="1"/>
  <c r="AH18" i="17"/>
  <c r="AH38" i="17"/>
  <c r="AH44" i="17" s="1"/>
  <c r="AH10" i="17"/>
  <c r="AH29" i="17"/>
  <c r="AH35" i="17" s="1"/>
  <c r="AD10" i="17"/>
  <c r="AD29" i="17"/>
  <c r="AD35" i="17" s="1"/>
  <c r="V18" i="17"/>
  <c r="V20" i="17" s="1"/>
  <c r="V38" i="17"/>
  <c r="V44" i="17" s="1"/>
  <c r="V46" i="17" s="1"/>
  <c r="AI29" i="17"/>
  <c r="AI35" i="17" s="1"/>
  <c r="AI10" i="17"/>
  <c r="U18" i="17"/>
  <c r="U38" i="17"/>
  <c r="U44" i="17" s="1"/>
  <c r="AG10" i="17"/>
  <c r="AG29" i="17"/>
  <c r="AG35" i="17" s="1"/>
  <c r="Z18" i="17"/>
  <c r="Z20" i="17" s="1"/>
  <c r="Z38" i="17"/>
  <c r="Z44" i="17" s="1"/>
  <c r="Z46" i="17" s="1"/>
  <c r="AE18" i="17"/>
  <c r="AE38" i="17"/>
  <c r="AE44" i="17" s="1"/>
  <c r="AE46" i="17" s="1"/>
  <c r="AE48" i="17" s="1"/>
  <c r="T48" i="17"/>
  <c r="AC10" i="17"/>
  <c r="AC20" i="17" s="1"/>
  <c r="AC21" i="17" s="1"/>
  <c r="AC29" i="17"/>
  <c r="AC35" i="17" s="1"/>
  <c r="AC46" i="17" s="1"/>
  <c r="AC48" i="17" s="1"/>
  <c r="AK18" i="17"/>
  <c r="AK38" i="17"/>
  <c r="AK44" i="17" s="1"/>
  <c r="Y35" i="1"/>
  <c r="Y30" i="1" s="1"/>
  <c r="Y6" i="1" s="1"/>
  <c r="AL35" i="1"/>
  <c r="AL30" i="1" s="1"/>
  <c r="AL6" i="1" s="1"/>
  <c r="U10" i="17"/>
  <c r="U29" i="17"/>
  <c r="U35" i="17" s="1"/>
  <c r="AJ35" i="1"/>
  <c r="AJ30" i="1" s="1"/>
  <c r="AJ6" i="1" s="1"/>
  <c r="W18" i="17"/>
  <c r="W38" i="17"/>
  <c r="W44" i="17" s="1"/>
  <c r="AC35" i="1"/>
  <c r="AC30" i="1" s="1"/>
  <c r="AC6" i="1" s="1"/>
  <c r="AI20" i="17" l="1"/>
  <c r="AI21" i="17" s="1"/>
  <c r="AH46" i="17"/>
  <c r="AH48" i="17" s="1"/>
  <c r="AE20" i="17"/>
  <c r="AE21" i="17" s="1"/>
  <c r="AH20" i="17"/>
  <c r="AH21" i="17" s="1"/>
  <c r="AG46" i="17"/>
  <c r="AG20" i="17"/>
  <c r="AG21" i="17" s="1"/>
  <c r="Z48" i="17"/>
  <c r="U46" i="17"/>
  <c r="U48" i="17" s="1"/>
  <c r="W46" i="17"/>
  <c r="W48" i="17" s="1"/>
  <c r="Z21" i="17"/>
  <c r="U20" i="17"/>
  <c r="U21" i="17" s="1"/>
  <c r="V21" i="17"/>
  <c r="AL46" i="17"/>
  <c r="AL48" i="17" s="1"/>
  <c r="AD20" i="17"/>
  <c r="AD21" i="17" s="1"/>
  <c r="AK46" i="17"/>
  <c r="AK48" i="17" s="1"/>
  <c r="V48" i="17"/>
  <c r="AG48" i="17"/>
  <c r="AK20" i="17"/>
  <c r="AK21" i="17" s="1"/>
  <c r="W20" i="17"/>
  <c r="W21" i="17" s="1"/>
  <c r="AI46" i="17"/>
  <c r="AI48" i="17" s="1"/>
  <c r="AD46" i="17"/>
  <c r="AD48" i="17" s="1"/>
  <c r="AL20" i="17"/>
  <c r="AL21" i="17" s="1"/>
  <c r="G112" i="17"/>
  <c r="G117" i="17" s="1"/>
  <c r="G91" i="17"/>
  <c r="G17" i="12"/>
  <c r="G96" i="17" l="1"/>
  <c r="G104" i="17" l="1"/>
  <c r="G105" i="17"/>
  <c r="G100" i="17"/>
  <c r="G102" i="17"/>
  <c r="G103" i="17"/>
  <c r="G101" i="17"/>
  <c r="G29" i="17" l="1"/>
  <c r="G106" i="17"/>
  <c r="G38" i="17"/>
  <c r="G41" i="17"/>
  <c r="G32" i="17"/>
  <c r="G68" i="17" s="1"/>
  <c r="G33" i="17"/>
  <c r="G42" i="17"/>
  <c r="G40" i="17"/>
  <c r="G31" i="17"/>
  <c r="G67" i="17" s="1"/>
  <c r="G30" i="17"/>
  <c r="G39" i="17"/>
  <c r="G34" i="17"/>
  <c r="G43" i="17"/>
  <c r="G47" i="17" l="1"/>
  <c r="G44" i="17"/>
  <c r="G35" i="17"/>
  <c r="G66" i="17"/>
  <c r="G69" i="17"/>
  <c r="G46" i="17" l="1"/>
  <c r="G48" i="17" s="1"/>
  <c r="H91" i="17"/>
  <c r="K91" i="17"/>
  <c r="K112" i="17" s="1"/>
  <c r="K117" i="17" s="1"/>
  <c r="H17" i="12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AH17" i="12" s="1"/>
  <c r="AI17" i="12" s="1"/>
  <c r="AJ17" i="12" s="1"/>
  <c r="AK17" i="12" s="1"/>
  <c r="AL17" i="12" s="1"/>
  <c r="AM17" i="12" s="1"/>
  <c r="I91" i="17"/>
  <c r="I96" i="17"/>
  <c r="I102" i="17"/>
  <c r="J91" i="17"/>
  <c r="I31" i="17" l="1"/>
  <c r="I40" i="17"/>
  <c r="I104" i="17"/>
  <c r="I100" i="17"/>
  <c r="I103" i="17"/>
  <c r="I105" i="17"/>
  <c r="K101" i="17"/>
  <c r="J96" i="17"/>
  <c r="K96" i="17"/>
  <c r="J112" i="17"/>
  <c r="J117" i="17" s="1"/>
  <c r="I112" i="17"/>
  <c r="I117" i="17" s="1"/>
  <c r="I101" i="17"/>
  <c r="H112" i="17"/>
  <c r="H117" i="17" s="1"/>
  <c r="H96" i="17"/>
  <c r="H101" i="17"/>
  <c r="I30" i="17" l="1"/>
  <c r="I66" i="17" s="1"/>
  <c r="I39" i="17"/>
  <c r="I29" i="17"/>
  <c r="I38" i="17"/>
  <c r="I44" i="17" s="1"/>
  <c r="I106" i="17"/>
  <c r="I42" i="17"/>
  <c r="I33" i="17"/>
  <c r="I69" i="17" s="1"/>
  <c r="I34" i="17"/>
  <c r="I43" i="17"/>
  <c r="J105" i="17"/>
  <c r="J102" i="17"/>
  <c r="J104" i="17"/>
  <c r="J100" i="17"/>
  <c r="J103" i="17"/>
  <c r="J101" i="17"/>
  <c r="H39" i="17"/>
  <c r="H30" i="17"/>
  <c r="H66" i="17" s="1"/>
  <c r="K39" i="17"/>
  <c r="K30" i="17"/>
  <c r="K66" i="17" s="1"/>
  <c r="H103" i="17"/>
  <c r="H105" i="17"/>
  <c r="H104" i="17"/>
  <c r="H102" i="17"/>
  <c r="H100" i="17"/>
  <c r="K104" i="17"/>
  <c r="K100" i="17"/>
  <c r="K102" i="17"/>
  <c r="K103" i="17"/>
  <c r="K105" i="17"/>
  <c r="I32" i="17"/>
  <c r="I41" i="17"/>
  <c r="I67" i="17"/>
  <c r="K43" i="17" l="1"/>
  <c r="K34" i="17"/>
  <c r="K42" i="17"/>
  <c r="K33" i="17"/>
  <c r="K69" i="17" s="1"/>
  <c r="H43" i="17"/>
  <c r="H34" i="17"/>
  <c r="J38" i="17"/>
  <c r="J29" i="17"/>
  <c r="J106" i="17"/>
  <c r="K41" i="17"/>
  <c r="K32" i="17"/>
  <c r="K68" i="17" s="1"/>
  <c r="H41" i="17"/>
  <c r="H32" i="17"/>
  <c r="H68" i="17" s="1"/>
  <c r="K40" i="17"/>
  <c r="K31" i="17"/>
  <c r="K67" i="17" s="1"/>
  <c r="H40" i="17"/>
  <c r="H31" i="17"/>
  <c r="J39" i="17"/>
  <c r="J30" i="17"/>
  <c r="J66" i="17" s="1"/>
  <c r="J31" i="17"/>
  <c r="J67" i="17" s="1"/>
  <c r="J40" i="17"/>
  <c r="I35" i="17"/>
  <c r="I46" i="17" s="1"/>
  <c r="I48" i="17" s="1"/>
  <c r="H106" i="17"/>
  <c r="H29" i="17"/>
  <c r="H35" i="17" s="1"/>
  <c r="H38" i="17"/>
  <c r="J42" i="17"/>
  <c r="J33" i="17"/>
  <c r="I47" i="17"/>
  <c r="I68" i="17"/>
  <c r="K106" i="17"/>
  <c r="K29" i="17"/>
  <c r="K38" i="17"/>
  <c r="K44" i="17" s="1"/>
  <c r="H42" i="17"/>
  <c r="H33" i="17"/>
  <c r="H69" i="17" s="1"/>
  <c r="J32" i="17"/>
  <c r="J41" i="17"/>
  <c r="J43" i="17"/>
  <c r="J34" i="17"/>
  <c r="J47" i="17" s="1"/>
  <c r="K35" i="17" l="1"/>
  <c r="J69" i="17"/>
  <c r="K46" i="17"/>
  <c r="J68" i="17"/>
  <c r="J35" i="17"/>
  <c r="J44" i="17"/>
  <c r="J46" i="17" s="1"/>
  <c r="J48" i="17" s="1"/>
  <c r="H44" i="17"/>
  <c r="H46" i="17" s="1"/>
  <c r="H48" i="17" s="1"/>
  <c r="H67" i="17"/>
  <c r="H47" i="17"/>
  <c r="K47" i="17"/>
  <c r="AE59" i="7"/>
  <c r="AF90" i="7" s="1"/>
  <c r="K48" i="17" l="1"/>
  <c r="AI90" i="7"/>
  <c r="AE90" i="7"/>
  <c r="AL90" i="7"/>
  <c r="AH90" i="7"/>
  <c r="AG90" i="7"/>
  <c r="AK90" i="7"/>
  <c r="AM90" i="7"/>
  <c r="AJ90" i="7"/>
  <c r="AF91" i="7"/>
  <c r="AK91" i="7"/>
  <c r="AJ92" i="7"/>
  <c r="AM92" i="7"/>
  <c r="AK92" i="7"/>
  <c r="AL93" i="7"/>
  <c r="AM93" i="7"/>
  <c r="AM95" i="7"/>
  <c r="AJ95" i="7"/>
  <c r="AH59" i="7"/>
  <c r="AI93" i="7" s="1"/>
  <c r="AI59" i="7"/>
  <c r="AL94" i="7" s="1"/>
  <c r="AG59" i="7"/>
  <c r="AH92" i="7" s="1"/>
  <c r="AL96" i="7"/>
  <c r="AK96" i="7"/>
  <c r="AK59" i="7"/>
  <c r="AM96" i="7" s="1"/>
  <c r="AF59" i="7"/>
  <c r="AI91" i="7" s="1"/>
  <c r="AM97" i="7"/>
  <c r="AJ59" i="7"/>
  <c r="AL95" i="7" s="1"/>
  <c r="AL59" i="7"/>
  <c r="AL97" i="7" s="1"/>
  <c r="AM59" i="7"/>
  <c r="AM98" i="7" s="1"/>
  <c r="AK94" i="7" l="1"/>
  <c r="AJ93" i="7"/>
  <c r="AM91" i="7"/>
  <c r="AL91" i="7"/>
  <c r="AK95" i="7"/>
  <c r="AI94" i="7"/>
  <c r="AM94" i="7"/>
  <c r="AK93" i="7"/>
  <c r="AI92" i="7"/>
  <c r="AG92" i="7"/>
  <c r="AG91" i="7"/>
  <c r="AH91" i="7"/>
  <c r="AJ94" i="7"/>
  <c r="AH93" i="7"/>
  <c r="AL92" i="7"/>
  <c r="AJ91" i="7"/>
</calcChain>
</file>

<file path=xl/comments1.xml><?xml version="1.0" encoding="utf-8"?>
<comments xmlns="http://schemas.openxmlformats.org/spreadsheetml/2006/main">
  <authors>
    <author>Auteur</author>
  </authors>
  <commentList>
    <comment ref="A2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Part CAPEX des coûts systèmes (réseaux, stockage, flex demande - hors méthanation) sont attribués aux différentes filières EnR de production, en fonction de leur poids dans la production nette totale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Part OPEX des coûts systèmes (réseaux, stockage, flex demande - hors méthanation) sont attribués aux différentes filières EnR de production, en fonction de leur poids dans la production nette totale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Part des coûts du système (réseaux, stockage infra jour, STEP, flex Demande) attribuables aux sources non-EnR. Cela n'inclut pas les coûts de production de l'énergie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Coûts gardés constants en ligne avec hypothèses de l'étude 100% EnR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totaux du réseau distribution et transport?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2014 à 2019: montants prévisionnels qui seront imputés au compte régulé de lissage au titre du déploiement des compteurs linky par ErDF (délibaération CRE du 2 juil 2014. P.14.)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• 33,5 M€/an pour les recharges optimisées de véhicules. La trajectoire de pénétration des véhicules électrique est linéaire entre les points de passages suivants (tirés des Visions) : 2010=0% ; 2030=11% soit 3.7M pour un part total de 35M ; 2050=65% soit 14,3 pour parc total de 22 M.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B1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Quelle capex en €/MW/an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Quelle capex en €/MW/an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Les TACs d'équilibrage (pas encore au gaz de synthèse)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AM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TACs 100% gaz de synthèse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d'une progression linéaire entre les coûts 2010 et 2015 tels que localisés sur la courbe d'Artélys (livrable [coût])   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Supposés constants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LCOE supposé constant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15cts/kWh en 2013 à 9,5cts/kWh en 2030 à 8cts/kWh en 2050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d'une comparaison au posé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d'un prix triple de celui du offshore posé (45cts/kWh) en 2013 à un prix double en 2030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 LCOE de 14cts/kwh en 2013 et 10cts/kwh en 2030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18 et 14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Lu à l'œil nu du rapport [Coûts]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O1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Dont 200€ liés au raccordement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 d'arrivée en 2050 déduit du différentiel coût capacitaire EnR total - coûts toutes filières sauf hydro. Puis trajectoire calquée sur la trajectoire d'évolution du capex (€/kw)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N2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de chiffrages ETSAP/IEA avec un capex de 3077€/kW en 2013 et 2769€/kW en 2020</t>
        </r>
      </text>
    </comment>
    <comment ref="AQ2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Source: IRENA "Electricity storage and RE for Island Power" 2012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Données issues du rapport [Modèle]</t>
        </r>
      </text>
    </comment>
  </commentList>
</comments>
</file>

<file path=xl/sharedStrings.xml><?xml version="1.0" encoding="utf-8"?>
<sst xmlns="http://schemas.openxmlformats.org/spreadsheetml/2006/main" count="475" uniqueCount="245">
  <si>
    <t>Dont coût pour le secteur résidentiel</t>
  </si>
  <si>
    <t>Dont coût des recharges optimisées</t>
  </si>
  <si>
    <t>Dont coût des STEP supplémentaires</t>
  </si>
  <si>
    <t>Dont coût du stockage inter-saisonnier</t>
  </si>
  <si>
    <t>Dont coût du stockage infra-journalier</t>
  </si>
  <si>
    <t>Dont inter-régional</t>
  </si>
  <si>
    <t>CAPEX 2050 (€/kW)</t>
  </si>
  <si>
    <t>OPEX fixe 2050 (€/kW/an)</t>
  </si>
  <si>
    <t>Eolien terrestre NG</t>
  </si>
  <si>
    <t>Eolien terrestre AG</t>
  </si>
  <si>
    <t>Eolien en mer posé</t>
  </si>
  <si>
    <t>Eolien flottant</t>
  </si>
  <si>
    <t>PV au sol</t>
  </si>
  <si>
    <t>PV sur toiture</t>
  </si>
  <si>
    <t>Solaire thermodynamique</t>
  </si>
  <si>
    <t>Marémotrice</t>
  </si>
  <si>
    <t>STEP additionnelles (2,7 GW)</t>
  </si>
  <si>
    <t>STEP additionnelles (+2,3 GW)</t>
  </si>
  <si>
    <t>Géothermie</t>
  </si>
  <si>
    <t>Cogénération à bois</t>
  </si>
  <si>
    <t>OPEX var (c€/kWh)</t>
  </si>
  <si>
    <t>UIOM</t>
  </si>
  <si>
    <t>Méthanisation</t>
  </si>
  <si>
    <t>Production nette 2050 (MWh)</t>
  </si>
  <si>
    <t>Solaire (moyenne pondérée)</t>
  </si>
  <si>
    <t>Dont OPEX</t>
  </si>
  <si>
    <t>Dont CAPEX</t>
  </si>
  <si>
    <t>LCOE filières et sous-filières (PTI)</t>
  </si>
  <si>
    <t>Stockage infra-journalier</t>
  </si>
  <si>
    <t>Stockage inter-saisonnier</t>
  </si>
  <si>
    <t>Durée de vie</t>
  </si>
  <si>
    <t>CAPEX 2050 (€/kW/an)</t>
  </si>
  <si>
    <t>Dont distribution et infra-régional</t>
  </si>
  <si>
    <t>Dotations aux amortissements</t>
  </si>
  <si>
    <t>Charges financières nettes</t>
  </si>
  <si>
    <t>Autres achats (entretien et maintenance)</t>
  </si>
  <si>
    <t>Achats liés à l'équilibre du syst élec (hors pertes)</t>
  </si>
  <si>
    <t>Achats liés aux pertes</t>
  </si>
  <si>
    <t>Autres produits et charges opé</t>
  </si>
  <si>
    <t>Charges de personnel</t>
  </si>
  <si>
    <t>Impôts et taxes</t>
  </si>
  <si>
    <t>CAPEX</t>
  </si>
  <si>
    <t>OPEX</t>
  </si>
  <si>
    <t>Total (hors pertes)</t>
  </si>
  <si>
    <t>Charges nettes à tarifer</t>
  </si>
  <si>
    <t>RTE</t>
  </si>
  <si>
    <t>ERdF</t>
  </si>
  <si>
    <t>Structure des coûts 2013 de RTE et ERdF</t>
  </si>
  <si>
    <t>http://www.cre.fr/documents/consultations-publiques/quatriemes-tarifs-d-utilisation-des-reseaux-publics-d-electricite</t>
  </si>
  <si>
    <t>Part OPEX (hors pertes et services systèmes)</t>
  </si>
  <si>
    <t>Moins charges de pertes, services systèmes et raccordements (PSR)</t>
  </si>
  <si>
    <t>Charges nettes (hors PSR)</t>
  </si>
  <si>
    <t>Part CAPEX (hors raccordement)</t>
  </si>
  <si>
    <t>Part OPEX pour charge de personnel</t>
  </si>
  <si>
    <t>Dont OPEX (charges de personnel)</t>
  </si>
  <si>
    <t>Dont OPEX (hors charges de personnel)</t>
  </si>
  <si>
    <t>Cas de référence</t>
  </si>
  <si>
    <t>Cogénération Bois</t>
  </si>
  <si>
    <t>TAC au gaz de synthèse</t>
  </si>
  <si>
    <t>STEP</t>
  </si>
  <si>
    <t>PowertoHeat</t>
  </si>
  <si>
    <t>PV toiture</t>
  </si>
  <si>
    <t>PV sol</t>
  </si>
  <si>
    <t>Eolien Onshore surtoilé</t>
  </si>
  <si>
    <t>Eolien Onshore classique</t>
  </si>
  <si>
    <t>Eolien Offshore posé</t>
  </si>
  <si>
    <t>Houlomoteur</t>
  </si>
  <si>
    <t>Nucléaire</t>
  </si>
  <si>
    <t>Hydrolienne</t>
  </si>
  <si>
    <t>Hydraulique à réservoirs</t>
  </si>
  <si>
    <t>Fil de l'eau</t>
  </si>
  <si>
    <t>TAC</t>
  </si>
  <si>
    <t>Eolien Offshore flottant</t>
  </si>
  <si>
    <t>Méthanation</t>
  </si>
  <si>
    <t>CSP</t>
  </si>
  <si>
    <t>CCGT</t>
  </si>
  <si>
    <t>CAES</t>
  </si>
  <si>
    <t>Cogénération Méthanisation</t>
  </si>
  <si>
    <t>Chroniques de coûts annuels (M€ 2013)</t>
  </si>
  <si>
    <t>Part EnR en % de la production élec</t>
  </si>
  <si>
    <t>http://www.cre.fr/documents/deliberations/decision/comptage-evolue-erdf2</t>
  </si>
  <si>
    <t>Source: Délibération de la CRE sur le cadre de régulation du déploiement de Linky</t>
  </si>
  <si>
    <t>Coût total sur la période 2015-2021</t>
  </si>
  <si>
    <t>Mds €</t>
  </si>
  <si>
    <t>Année</t>
  </si>
  <si>
    <t>Nombre prévisionnel de compteur Linky installés (millions)</t>
  </si>
  <si>
    <t>Coût annuel moyen sur la période</t>
  </si>
  <si>
    <t>Coût unitaire</t>
  </si>
  <si>
    <t>Coût annuel prévisionnel sur la période</t>
  </si>
  <si>
    <t>CAPEX 2030 (€/kw)</t>
  </si>
  <si>
    <t>Capacité (MW)</t>
  </si>
  <si>
    <t>Total de compteur installés sur la période (millions)</t>
  </si>
  <si>
    <t>Durée de vie d'un compteur (année)</t>
  </si>
  <si>
    <t>Investissements 2015 annualisés</t>
  </si>
  <si>
    <t>" 2017 "</t>
  </si>
  <si>
    <t>" 2016 "</t>
  </si>
  <si>
    <t>"2018 "</t>
  </si>
  <si>
    <t>" 2019 "</t>
  </si>
  <si>
    <t>" 2020 "</t>
  </si>
  <si>
    <t>" 2021 "</t>
  </si>
  <si>
    <t>TOTAL</t>
  </si>
  <si>
    <t>TOTAL (M€)</t>
  </si>
  <si>
    <t>LINKY 2ème génération</t>
  </si>
  <si>
    <t>Stockage infra-jour (CAES)</t>
  </si>
  <si>
    <t>Capex (€/MW/an)</t>
  </si>
  <si>
    <t>Opex fixes (€/MW/an)</t>
  </si>
  <si>
    <t>Capex (€/MW)</t>
  </si>
  <si>
    <t>TOTAL Opex (M€)</t>
  </si>
  <si>
    <t>Cohortes Capex:</t>
  </si>
  <si>
    <t>CAPEX 2013 (€/kw)</t>
  </si>
  <si>
    <t>Installations annuelles</t>
  </si>
  <si>
    <t>TOTAL Capex (M€)</t>
  </si>
  <si>
    <t>Coûts totaux (M€)</t>
  </si>
  <si>
    <t>Coûts annualisés des capacités de stockage</t>
  </si>
  <si>
    <t>Coûts annualisés du pilotage de la demande</t>
  </si>
  <si>
    <t>Coûts annualisés de réseau</t>
  </si>
  <si>
    <t>Chiffrage Artelys (coûts 2050)</t>
  </si>
  <si>
    <t>Courbe d'investissement</t>
  </si>
  <si>
    <t>Capacité En MW</t>
  </si>
  <si>
    <t>Coûts annualisés de l'éolien</t>
  </si>
  <si>
    <t>Coûts annualisés du solaire</t>
  </si>
  <si>
    <t>EOLIEN</t>
  </si>
  <si>
    <t>SOLAIRE</t>
  </si>
  <si>
    <t>Coûts annualisés de la biomasse</t>
  </si>
  <si>
    <t>BIOMASSE</t>
  </si>
  <si>
    <t>Bois énergie</t>
  </si>
  <si>
    <t>Stockage</t>
  </si>
  <si>
    <t>Additions cumulées (MW)</t>
  </si>
  <si>
    <t>EmR</t>
  </si>
  <si>
    <t>Coûts annualisés des énergies marines</t>
  </si>
  <si>
    <t>Géoth</t>
  </si>
  <si>
    <t>Coûts annualisés de la géothermie</t>
  </si>
  <si>
    <t>Coût capacitaire des ENR</t>
  </si>
  <si>
    <t>Coût du combustible Bois</t>
  </si>
  <si>
    <t>Coût capacitaire de la valorisation du surplus</t>
  </si>
  <si>
    <t>Coût capacitaire du réseau (valeur 2013 : 1640 M€)</t>
  </si>
  <si>
    <t>Coût fixe du réseau</t>
  </si>
  <si>
    <t>Coût du stockage intersaisonnier</t>
  </si>
  <si>
    <t>Coût des STEP</t>
  </si>
  <si>
    <t>Coût du stockage infrajournalier</t>
  </si>
  <si>
    <t>Coût capacitaire du thermique</t>
  </si>
  <si>
    <t>Coût de la flexibilité de la consommation</t>
  </si>
  <si>
    <t>Production (MWh)</t>
  </si>
  <si>
    <t>Opex var (€/MWh)</t>
  </si>
  <si>
    <t>Dont OPEX variable</t>
  </si>
  <si>
    <t>Coûts associés (M€)</t>
  </si>
  <si>
    <t>Hydraulique</t>
  </si>
  <si>
    <t>PAC</t>
  </si>
  <si>
    <t>Gain variable  de la valorisation du surplus</t>
  </si>
  <si>
    <t>Coût des combustibles hors enr</t>
  </si>
  <si>
    <t>Coût du CO2</t>
  </si>
  <si>
    <t>Coût total M€/an</t>
  </si>
  <si>
    <t>Coût de l'énergie consommée €/MWh (Coût actuel ~91 €/MWh)</t>
  </si>
  <si>
    <t>Reconstruction</t>
  </si>
  <si>
    <t>Valorisation surplus</t>
  </si>
  <si>
    <t>Hydraulique (réservoir + fil de l'eau)</t>
  </si>
  <si>
    <t>Reconstitution des coûts capacitaire à partir des LCOE (M€)</t>
  </si>
  <si>
    <t>Production nette (TWh)</t>
  </si>
  <si>
    <t>Historique</t>
  </si>
  <si>
    <t>Mix 100%</t>
  </si>
  <si>
    <t>Eolien terrestre</t>
  </si>
  <si>
    <t>Eolien en mer</t>
  </si>
  <si>
    <t>PV</t>
  </si>
  <si>
    <t>Hydroélectricité</t>
  </si>
  <si>
    <t>Energies marines</t>
  </si>
  <si>
    <t>Chaleur fatale</t>
  </si>
  <si>
    <t>Gaz naturel</t>
  </si>
  <si>
    <t>Fioul</t>
  </si>
  <si>
    <t>Charbon</t>
  </si>
  <si>
    <t>Part EnR (%)</t>
  </si>
  <si>
    <t>Production nette (Mwh)</t>
  </si>
  <si>
    <t>Toutes technos</t>
  </si>
  <si>
    <t>Eolien en mer toutes technos</t>
  </si>
  <si>
    <t>Eolien terrestre AG et NG</t>
  </si>
  <si>
    <t>Hydro</t>
  </si>
  <si>
    <t>Eolien terrestre (moyennes pondérée)</t>
  </si>
  <si>
    <t>LCOE 2050 (€/MWh)</t>
  </si>
  <si>
    <t>Eolien en mer (moyennes pondérées)</t>
  </si>
  <si>
    <t>Thermiques non-EnR</t>
  </si>
  <si>
    <t>EnR</t>
  </si>
  <si>
    <t>Ration solaires de production</t>
  </si>
  <si>
    <t>Production</t>
  </si>
  <si>
    <t>Part</t>
  </si>
  <si>
    <t>Total</t>
  </si>
  <si>
    <t>LCOE (€/MWh)</t>
  </si>
  <si>
    <t>Coûts capacitaires (M€)</t>
  </si>
  <si>
    <t>Coûts total</t>
  </si>
  <si>
    <t>Part opex (en % du LCOE)</t>
  </si>
  <si>
    <t>Opex variable (M€)</t>
  </si>
  <si>
    <t>Coûts annualisés de l'hydraulique</t>
  </si>
  <si>
    <t>Coûts capacitaires totaux EnR (hors opex var)</t>
  </si>
  <si>
    <t>95%ENR</t>
  </si>
  <si>
    <t>80%ENR</t>
  </si>
  <si>
    <t>40%ENR</t>
  </si>
  <si>
    <t>TAC au gaz de synthèse (GtP)</t>
  </si>
  <si>
    <t>Production 2050 (MWh)</t>
  </si>
  <si>
    <t>Part opex (% du coût annuel)</t>
  </si>
  <si>
    <t>TOTAL Opex fixe (M€)</t>
  </si>
  <si>
    <t>Total opex var (M€)</t>
  </si>
  <si>
    <t>Coût du combustible bois</t>
  </si>
  <si>
    <t>Coût du réseau</t>
  </si>
  <si>
    <t>Coût du pilotage de la demande</t>
  </si>
  <si>
    <t>Coût du stockage</t>
  </si>
  <si>
    <t>cas 80%</t>
  </si>
  <si>
    <t xml:space="preserve">Durée de vie </t>
  </si>
  <si>
    <t>Méthanisation + gaz de synthèse</t>
  </si>
  <si>
    <t>COUTS DE LA PRODUCTION D'ENR et METHANATION</t>
  </si>
  <si>
    <t>CAPEX par filière (coûts de production EnR) M€</t>
  </si>
  <si>
    <t>Gaz de synthèse (méthanation)</t>
  </si>
  <si>
    <t>Eolien (terrestre, en mer posé, en mer flottant)</t>
  </si>
  <si>
    <t>Solaire (PV, CSP)</t>
  </si>
  <si>
    <t>Hydraulique et énergies marines</t>
  </si>
  <si>
    <t>Autres (géothermie et cogé biogaz et biomasse)</t>
  </si>
  <si>
    <t>TOTAL CAPEX</t>
  </si>
  <si>
    <t>OPEX par filière (coûts de production EnR) M€</t>
  </si>
  <si>
    <t>TOTAL OPEX</t>
  </si>
  <si>
    <t>TOTAL CAPEX+OPEX M€</t>
  </si>
  <si>
    <t>Check</t>
  </si>
  <si>
    <t>COUTS TOTAL DU SYSTÈME ELECTRIQUE (coûts de reseau, stockage infrajour et STEP et flex de la demande inclus)</t>
  </si>
  <si>
    <t>CAPEX RESEAU STOCKAGE CT et FLEX DEM M€</t>
  </si>
  <si>
    <t>OPEX RESEAU STOCKAGE CT ET FLEX DEM M€</t>
  </si>
  <si>
    <t>Gaz de synthèse (méthanation) capex</t>
  </si>
  <si>
    <t>Eolien (terrestre, en mer posé, en mer flottant) capex</t>
  </si>
  <si>
    <t>Solaire (PV, CSP) capex</t>
  </si>
  <si>
    <t>Hydraulique et énergies marines capex</t>
  </si>
  <si>
    <t>Autres (géothermie et cogé biogaz et biomasse) capex</t>
  </si>
  <si>
    <t>CAPEX système non-EnR</t>
  </si>
  <si>
    <t>Gaz de synthèse (méthanation) opex</t>
  </si>
  <si>
    <t>Eolien (terrestre, en mer posé, en mer flottant)opex</t>
  </si>
  <si>
    <t>Solaire (PV, CSP)opex</t>
  </si>
  <si>
    <t>Hydraulique et énergies marines opex</t>
  </si>
  <si>
    <t>Autres (géothermie et cogé biogaz et biomasse) opex</t>
  </si>
  <si>
    <t>OPEX système non-EnR</t>
  </si>
  <si>
    <t>TOTAL CAPEX+OPEX EnR M€</t>
  </si>
  <si>
    <t>CAPEX + OPEX systèmes non-EnR M€</t>
  </si>
  <si>
    <t>COUTS UNITAIRES DE PRODUCTION (CAPEX+OPEX) M€</t>
  </si>
  <si>
    <t>PRODUCTION MARCHANDE (PRODUCTION NETTE - PERTES RESEAUX, REPARTIE PAR PART DE L'ENERGIE FINALE)</t>
  </si>
  <si>
    <t>PRODUCTION en TWh (PERTE INCLUSES)</t>
  </si>
  <si>
    <t>Non-EnR</t>
  </si>
  <si>
    <t>TOTAL PRODUCTION MARCHANDE</t>
  </si>
  <si>
    <t>PRODUCTION en % du total</t>
  </si>
  <si>
    <t>PERTES DE RESEAU</t>
  </si>
  <si>
    <t>PRODUCTION en TWh (PERTE EXCLUES</t>
  </si>
  <si>
    <t>Dont coût des STEP Existantes</t>
  </si>
  <si>
    <t>Coûts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</si>
</sst>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#,##0\ &quot;€&quot;"/>
    <numFmt numFmtId="165" formatCode="0.0%"/>
    <numFmt numFmtId="166" formatCode="#,##0.00\ &quot;€&quot;"/>
    <numFmt numFmtId="167" formatCode="0.000"/>
    <numFmt numFmtId="168" formatCode="_-* #,##0\ _€_-;\-* #,##0\ _€_-;_-* &quot;-&quot;??\ _€_-;_-@_-"/>
    <numFmt numFmtId="169" formatCode="#,##0.0"/>
    <numFmt numFmtId="170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43" fontId="6" fillId="0" borderId="0" applyFont="0" applyFill="0" applyBorder="0" applyAlignment="0" applyProtection="0"/>
    <xf numFmtId="0" fontId="11" fillId="13" borderId="0" applyNumberFormat="0" applyBorder="0" applyAlignment="0" applyProtection="0"/>
    <xf numFmtId="0" fontId="14" fillId="0" borderId="0"/>
    <xf numFmtId="0" fontId="14" fillId="0" borderId="0"/>
  </cellStyleXfs>
  <cellXfs count="143">
    <xf numFmtId="0" fontId="0" fillId="0" borderId="0" xfId="0"/>
    <xf numFmtId="0" fontId="3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7" xfId="0" applyFont="1" applyBorder="1"/>
    <xf numFmtId="4" fontId="0" fillId="0" borderId="0" xfId="0" applyNumberFormat="1" applyBorder="1"/>
    <xf numFmtId="4" fontId="0" fillId="0" borderId="6" xfId="0" applyNumberForma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164" fontId="3" fillId="0" borderId="0" xfId="0" applyNumberFormat="1" applyFont="1" applyAlignment="1">
      <alignment horizontal="right"/>
    </xf>
    <xf numFmtId="0" fontId="0" fillId="0" borderId="0" xfId="0" applyFill="1"/>
    <xf numFmtId="0" fontId="0" fillId="0" borderId="1" xfId="0" applyBorder="1"/>
    <xf numFmtId="166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0" borderId="1" xfId="0" applyNumberFormat="1" applyFont="1" applyBorder="1" applyAlignment="1">
      <alignment horizontal="right"/>
    </xf>
    <xf numFmtId="164" fontId="3" fillId="0" borderId="0" xfId="0" applyNumberFormat="1" applyFont="1" applyFill="1"/>
    <xf numFmtId="0" fontId="10" fillId="4" borderId="0" xfId="0" applyFont="1" applyFill="1"/>
    <xf numFmtId="9" fontId="10" fillId="4" borderId="0" xfId="0" applyNumberFormat="1" applyFont="1" applyFill="1"/>
    <xf numFmtId="0" fontId="3" fillId="5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right"/>
    </xf>
    <xf numFmtId="167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164" fontId="0" fillId="0" borderId="0" xfId="0" applyNumberFormat="1" applyFill="1"/>
    <xf numFmtId="3" fontId="0" fillId="0" borderId="0" xfId="0" applyNumberFormat="1"/>
    <xf numFmtId="3" fontId="0" fillId="3" borderId="0" xfId="0" applyNumberFormat="1" applyFill="1"/>
    <xf numFmtId="164" fontId="0" fillId="7" borderId="0" xfId="0" applyNumberFormat="1" applyFill="1"/>
    <xf numFmtId="0" fontId="0" fillId="7" borderId="0" xfId="0" applyFill="1"/>
    <xf numFmtId="3" fontId="0" fillId="8" borderId="0" xfId="0" applyNumberForma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0" xfId="0" applyNumberFormat="1" applyFill="1"/>
    <xf numFmtId="0" fontId="0" fillId="8" borderId="0" xfId="0" applyFill="1"/>
    <xf numFmtId="0" fontId="3" fillId="0" borderId="0" xfId="0" applyFont="1" applyFill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12" fillId="3" borderId="0" xfId="0" applyNumberFormat="1" applyFont="1" applyFill="1"/>
    <xf numFmtId="164" fontId="0" fillId="0" borderId="1" xfId="0" applyNumberFormat="1" applyFill="1" applyBorder="1"/>
    <xf numFmtId="3" fontId="12" fillId="0" borderId="0" xfId="0" applyNumberFormat="1" applyFont="1" applyFill="1"/>
    <xf numFmtId="0" fontId="0" fillId="0" borderId="0" xfId="0" applyNumberFormat="1"/>
    <xf numFmtId="4" fontId="0" fillId="9" borderId="0" xfId="0" applyNumberFormat="1" applyFill="1" applyBorder="1"/>
    <xf numFmtId="3" fontId="0" fillId="0" borderId="0" xfId="0" applyNumberFormat="1" applyFill="1" applyAlignment="1">
      <alignment horizontal="center"/>
    </xf>
    <xf numFmtId="164" fontId="2" fillId="6" borderId="1" xfId="0" applyNumberFormat="1" applyFont="1" applyFill="1" applyBorder="1" applyAlignment="1">
      <alignment horizontal="right"/>
    </xf>
    <xf numFmtId="0" fontId="13" fillId="0" borderId="0" xfId="0" applyFont="1" applyAlignment="1">
      <alignment vertical="center"/>
    </xf>
    <xf numFmtId="0" fontId="0" fillId="9" borderId="0" xfId="0" applyFill="1"/>
    <xf numFmtId="1" fontId="0" fillId="0" borderId="0" xfId="0" applyNumberFormat="1" applyFill="1"/>
    <xf numFmtId="0" fontId="0" fillId="1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8" fontId="0" fillId="0" borderId="0" xfId="3" applyNumberFormat="1" applyFont="1"/>
    <xf numFmtId="9" fontId="0" fillId="0" borderId="0" xfId="1" applyFont="1"/>
    <xf numFmtId="1" fontId="0" fillId="0" borderId="0" xfId="1" applyNumberFormat="1" applyFont="1"/>
    <xf numFmtId="43" fontId="0" fillId="0" borderId="0" xfId="0" applyNumberFormat="1"/>
    <xf numFmtId="0" fontId="1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Fill="1" applyBorder="1"/>
    <xf numFmtId="1" fontId="0" fillId="0" borderId="0" xfId="0" applyNumberFormat="1"/>
    <xf numFmtId="0" fontId="6" fillId="11" borderId="0" xfId="5"/>
    <xf numFmtId="168" fontId="6" fillId="10" borderId="0" xfId="4" applyNumberFormat="1"/>
    <xf numFmtId="0" fontId="0" fillId="11" borderId="0" xfId="5" applyFont="1"/>
    <xf numFmtId="168" fontId="6" fillId="4" borderId="0" xfId="4" applyNumberFormat="1" applyFill="1"/>
    <xf numFmtId="0" fontId="11" fillId="13" borderId="0" xfId="7"/>
    <xf numFmtId="168" fontId="6" fillId="14" borderId="0" xfId="4" applyNumberFormat="1" applyFill="1"/>
    <xf numFmtId="164" fontId="0" fillId="0" borderId="0" xfId="1" applyNumberFormat="1" applyFont="1"/>
    <xf numFmtId="164" fontId="0" fillId="0" borderId="0" xfId="3" applyNumberFormat="1" applyFont="1"/>
    <xf numFmtId="0" fontId="2" fillId="0" borderId="8" xfId="0" applyFont="1" applyBorder="1"/>
    <xf numFmtId="0" fontId="0" fillId="0" borderId="0" xfId="0" applyBorder="1"/>
    <xf numFmtId="0" fontId="0" fillId="3" borderId="0" xfId="0" applyFill="1" applyBorder="1"/>
    <xf numFmtId="4" fontId="0" fillId="3" borderId="0" xfId="0" applyNumberFormat="1" applyFill="1" applyBorder="1"/>
    <xf numFmtId="170" fontId="0" fillId="0" borderId="0" xfId="0" applyNumberFormat="1" applyBorder="1"/>
    <xf numFmtId="1" fontId="0" fillId="3" borderId="0" xfId="0" applyNumberFormat="1" applyFill="1" applyBorder="1"/>
    <xf numFmtId="170" fontId="0" fillId="3" borderId="0" xfId="0" applyNumberFormat="1" applyFill="1" applyBorder="1"/>
    <xf numFmtId="168" fontId="0" fillId="15" borderId="0" xfId="3" applyNumberFormat="1" applyFont="1" applyFill="1"/>
    <xf numFmtId="0" fontId="2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2" fillId="0" borderId="14" xfId="0" applyNumberFormat="1" applyFont="1" applyBorder="1" applyAlignment="1">
      <alignment horizontal="center"/>
    </xf>
    <xf numFmtId="0" fontId="3" fillId="0" borderId="0" xfId="0" applyFont="1"/>
    <xf numFmtId="165" fontId="3" fillId="0" borderId="15" xfId="1" applyNumberFormat="1" applyFont="1" applyBorder="1" applyAlignment="1">
      <alignment horizontal="center"/>
    </xf>
    <xf numFmtId="0" fontId="0" fillId="15" borderId="0" xfId="0" applyFill="1"/>
    <xf numFmtId="170" fontId="0" fillId="15" borderId="13" xfId="0" applyNumberFormat="1" applyFill="1" applyBorder="1" applyAlignment="1">
      <alignment horizontal="center"/>
    </xf>
    <xf numFmtId="170" fontId="2" fillId="15" borderId="14" xfId="0" applyNumberFormat="1" applyFont="1" applyFill="1" applyBorder="1" applyAlignment="1">
      <alignment horizontal="center"/>
    </xf>
    <xf numFmtId="165" fontId="3" fillId="15" borderId="15" xfId="1" applyNumberFormat="1" applyFont="1" applyFill="1" applyBorder="1" applyAlignment="1">
      <alignment horizontal="center"/>
    </xf>
    <xf numFmtId="9" fontId="0" fillId="3" borderId="0" xfId="1" applyFont="1" applyFill="1"/>
    <xf numFmtId="3" fontId="0" fillId="12" borderId="0" xfId="0" applyNumberFormat="1" applyFill="1" applyAlignment="1">
      <alignment horizontal="center"/>
    </xf>
    <xf numFmtId="0" fontId="10" fillId="0" borderId="0" xfId="0" applyFont="1" applyFill="1"/>
    <xf numFmtId="9" fontId="10" fillId="0" borderId="0" xfId="0" applyNumberFormat="1" applyFont="1" applyFill="1"/>
    <xf numFmtId="164" fontId="10" fillId="0" borderId="0" xfId="0" applyNumberFormat="1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164" fontId="0" fillId="15" borderId="0" xfId="0" applyNumberFormat="1" applyFill="1"/>
    <xf numFmtId="9" fontId="12" fillId="3" borderId="0" xfId="1" applyFont="1" applyFill="1"/>
    <xf numFmtId="4" fontId="0" fillId="0" borderId="0" xfId="0" applyNumberFormat="1"/>
    <xf numFmtId="164" fontId="0" fillId="0" borderId="10" xfId="0" applyNumberFormat="1" applyFill="1" applyBorder="1"/>
    <xf numFmtId="166" fontId="3" fillId="0" borderId="0" xfId="0" applyNumberFormat="1" applyFont="1" applyFill="1" applyAlignment="1">
      <alignment horizontal="right"/>
    </xf>
    <xf numFmtId="0" fontId="1" fillId="2" borderId="6" xfId="0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16" xfId="0" applyNumberFormat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17" borderId="13" xfId="0" applyFill="1" applyBorder="1"/>
    <xf numFmtId="0" fontId="0" fillId="0" borderId="21" xfId="0" applyBorder="1"/>
    <xf numFmtId="0" fontId="0" fillId="3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0" fontId="2" fillId="0" borderId="13" xfId="0" applyFont="1" applyBorder="1"/>
    <xf numFmtId="0" fontId="2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0" xfId="0" applyFill="1"/>
    <xf numFmtId="9" fontId="0" fillId="0" borderId="0" xfId="0" applyNumberFormat="1"/>
    <xf numFmtId="164" fontId="0" fillId="0" borderId="3" xfId="0" applyNumberFormat="1" applyFill="1" applyBorder="1"/>
    <xf numFmtId="0" fontId="15" fillId="16" borderId="0" xfId="0" applyFont="1" applyFill="1"/>
    <xf numFmtId="164" fontId="0" fillId="3" borderId="0" xfId="0" applyNumberFormat="1" applyFill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</cellXfs>
  <cellStyles count="10">
    <cellStyle name="20 % - Accent1" xfId="4" builtinId="30"/>
    <cellStyle name="40 % - Accent1" xfId="5" builtinId="31"/>
    <cellStyle name="Accent1" xfId="7" builtinId="29"/>
    <cellStyle name="Lien hypertexte" xfId="2" builtinId="8"/>
    <cellStyle name="Milliers" xfId="3" builtinId="3"/>
    <cellStyle name="Milliers 2" xfId="6"/>
    <cellStyle name="Normal" xfId="0" builtinId="0"/>
    <cellStyle name="Normal 2 2" xfId="8"/>
    <cellStyle name="Normal 5" xfId="9"/>
    <cellStyle name="Pourcentage" xfId="1" builtinId="5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'Synthèse format 3ME'!$A$29</c:f>
              <c:strCache>
                <c:ptCount val="1"/>
                <c:pt idx="0">
                  <c:v>Gaz de synthèse (méthanation) capex</c:v>
                </c:pt>
              </c:strCache>
            </c:strRef>
          </c:tx>
          <c:invertIfNegative val="0"/>
          <c:val>
            <c:numRef>
              <c:f>'Synthèse format 3ME'!$B$29:$AM$29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1"/>
          <c:tx>
            <c:strRef>
              <c:f>'Synthèse format 3ME'!$A$30</c:f>
              <c:strCache>
                <c:ptCount val="1"/>
                <c:pt idx="0">
                  <c:v>Eolien (terrestre, en mer posé, en mer flottant) capex</c:v>
                </c:pt>
              </c:strCache>
            </c:strRef>
          </c:tx>
          <c:invertIfNegative val="0"/>
          <c:val>
            <c:numRef>
              <c:f>'Synthèse format 3ME'!$B$30:$AM$30</c:f>
              <c:numCache>
                <c:formatCode>General</c:formatCode>
                <c:ptCount val="38"/>
                <c:pt idx="0">
                  <c:v>1033.0159769900636</c:v>
                </c:pt>
                <c:pt idx="1">
                  <c:v>1326.2676327380398</c:v>
                </c:pt>
                <c:pt idx="2">
                  <c:v>1620.1604306455972</c:v>
                </c:pt>
                <c:pt idx="3">
                  <c:v>1913.050669873556</c:v>
                </c:pt>
                <c:pt idx="4">
                  <c:v>2205.3049316465708</c:v>
                </c:pt>
                <c:pt idx="5">
                  <c:v>2556.8132120171581</c:v>
                </c:pt>
                <c:pt idx="6">
                  <c:v>2906.3058569511863</c:v>
                </c:pt>
                <c:pt idx="7">
                  <c:v>3253.4851629143909</c:v>
                </c:pt>
                <c:pt idx="8">
                  <c:v>3596.1398414413261</c:v>
                </c:pt>
                <c:pt idx="9">
                  <c:v>3933.1527997798257</c:v>
                </c:pt>
                <c:pt idx="10">
                  <c:v>4267.0841571923129</c:v>
                </c:pt>
                <c:pt idx="11">
                  <c:v>4577.572207385203</c:v>
                </c:pt>
                <c:pt idx="12">
                  <c:v>4885.5376470435076</c:v>
                </c:pt>
                <c:pt idx="13">
                  <c:v>5190.9878679265857</c:v>
                </c:pt>
                <c:pt idx="14">
                  <c:v>5493.9304303758536</c:v>
                </c:pt>
                <c:pt idx="15">
                  <c:v>5794.3730681483539</c:v>
                </c:pt>
                <c:pt idx="16">
                  <c:v>6094.130070276</c:v>
                </c:pt>
                <c:pt idx="17">
                  <c:v>6391.6045051602086</c:v>
                </c:pt>
                <c:pt idx="18">
                  <c:v>6691.3807489609499</c:v>
                </c:pt>
                <c:pt idx="19">
                  <c:v>6991.0942529427293</c:v>
                </c:pt>
                <c:pt idx="20">
                  <c:v>7247.1342308054791</c:v>
                </c:pt>
                <c:pt idx="21">
                  <c:v>7510.5076961301556</c:v>
                </c:pt>
                <c:pt idx="22">
                  <c:v>7790.0068961467823</c:v>
                </c:pt>
                <c:pt idx="23">
                  <c:v>8068.6521552700624</c:v>
                </c:pt>
                <c:pt idx="24">
                  <c:v>8346.0022930575087</c:v>
                </c:pt>
                <c:pt idx="25">
                  <c:v>8600.5545297403387</c:v>
                </c:pt>
                <c:pt idx="26">
                  <c:v>8857.7875005362312</c:v>
                </c:pt>
                <c:pt idx="27">
                  <c:v>9118.8025171709141</c:v>
                </c:pt>
                <c:pt idx="28">
                  <c:v>9390.4660835392369</c:v>
                </c:pt>
                <c:pt idx="29">
                  <c:v>9654.1050762571158</c:v>
                </c:pt>
                <c:pt idx="30">
                  <c:v>9920.3699197986534</c:v>
                </c:pt>
                <c:pt idx="31">
                  <c:v>10194.109093033783</c:v>
                </c:pt>
                <c:pt idx="32">
                  <c:v>10470.122944893175</c:v>
                </c:pt>
                <c:pt idx="33">
                  <c:v>10748.437249371058</c:v>
                </c:pt>
                <c:pt idx="34">
                  <c:v>11029.078443942093</c:v>
                </c:pt>
                <c:pt idx="35">
                  <c:v>11312.07365104899</c:v>
                </c:pt>
                <c:pt idx="36">
                  <c:v>11597.264225159144</c:v>
                </c:pt>
                <c:pt idx="37">
                  <c:v>11884.863642398466</c:v>
                </c:pt>
              </c:numCache>
            </c:numRef>
          </c:val>
        </c:ser>
        <c:ser>
          <c:idx val="3"/>
          <c:order val="2"/>
          <c:tx>
            <c:strRef>
              <c:f>'Synthèse format 3ME'!$A$31</c:f>
              <c:strCache>
                <c:ptCount val="1"/>
                <c:pt idx="0">
                  <c:v>Solaire (PV, CSP) capex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'Synthèse format 3ME'!$B$31:$AM$31</c:f>
              <c:numCache>
                <c:formatCode>General</c:formatCode>
                <c:ptCount val="38"/>
                <c:pt idx="0">
                  <c:v>720.13750362112705</c:v>
                </c:pt>
                <c:pt idx="1">
                  <c:v>924.14120397751287</c:v>
                </c:pt>
                <c:pt idx="2">
                  <c:v>1123.7023622276097</c:v>
                </c:pt>
                <c:pt idx="3">
                  <c:v>1319.0112532158962</c:v>
                </c:pt>
                <c:pt idx="4">
                  <c:v>1510.1754583045115</c:v>
                </c:pt>
                <c:pt idx="5">
                  <c:v>1697.4092496880064</c:v>
                </c:pt>
                <c:pt idx="6">
                  <c:v>1880.4201567857353</c:v>
                </c:pt>
                <c:pt idx="7">
                  <c:v>2059.1242721555927</c:v>
                </c:pt>
                <c:pt idx="8">
                  <c:v>2232.9091899721252</c:v>
                </c:pt>
                <c:pt idx="9">
                  <c:v>2401.4809616571206</c:v>
                </c:pt>
                <c:pt idx="10">
                  <c:v>2565.5566008886103</c:v>
                </c:pt>
                <c:pt idx="11">
                  <c:v>2725.2211115258538</c:v>
                </c:pt>
                <c:pt idx="12">
                  <c:v>2880.4060666894497</c:v>
                </c:pt>
                <c:pt idx="13">
                  <c:v>3031.1134593278243</c:v>
                </c:pt>
                <c:pt idx="14">
                  <c:v>3177.3453278420907</c:v>
                </c:pt>
                <c:pt idx="15">
                  <c:v>3319.10375738927</c:v>
                </c:pt>
                <c:pt idx="16">
                  <c:v>3456.8833639950572</c:v>
                </c:pt>
                <c:pt idx="17">
                  <c:v>3590.2481102297183</c:v>
                </c:pt>
                <c:pt idx="18">
                  <c:v>3721.6954033068828</c:v>
                </c:pt>
                <c:pt idx="19">
                  <c:v>3850.5805304267897</c:v>
                </c:pt>
                <c:pt idx="20">
                  <c:v>3976.9082898258157</c:v>
                </c:pt>
                <c:pt idx="21">
                  <c:v>4100.6216592633727</c:v>
                </c:pt>
                <c:pt idx="22">
                  <c:v>4225.7806616418093</c:v>
                </c:pt>
                <c:pt idx="23">
                  <c:v>4347.766890437194</c:v>
                </c:pt>
                <c:pt idx="24">
                  <c:v>4466.4613956370404</c:v>
                </c:pt>
                <c:pt idx="25">
                  <c:v>4580.9334012745667</c:v>
                </c:pt>
                <c:pt idx="26">
                  <c:v>4605.9731397623473</c:v>
                </c:pt>
                <c:pt idx="27">
                  <c:v>4630.9432957156369</c:v>
                </c:pt>
                <c:pt idx="28">
                  <c:v>4657.7068091968267</c:v>
                </c:pt>
                <c:pt idx="29">
                  <c:v>4681.1964301860953</c:v>
                </c:pt>
                <c:pt idx="30">
                  <c:v>4704.3028031554377</c:v>
                </c:pt>
                <c:pt idx="31">
                  <c:v>4727.0325359781436</c:v>
                </c:pt>
                <c:pt idx="32">
                  <c:v>4749.3924044674141</c:v>
                </c:pt>
                <c:pt idx="33">
                  <c:v>4771.3893577457402</c:v>
                </c:pt>
                <c:pt idx="34">
                  <c:v>4793.030523821617</c:v>
                </c:pt>
                <c:pt idx="35">
                  <c:v>4814.3232153829786</c:v>
                </c:pt>
                <c:pt idx="36">
                  <c:v>4835.2244148313275</c:v>
                </c:pt>
                <c:pt idx="37">
                  <c:v>4855.7919363163237</c:v>
                </c:pt>
              </c:numCache>
            </c:numRef>
          </c:val>
        </c:ser>
        <c:ser>
          <c:idx val="4"/>
          <c:order val="3"/>
          <c:tx>
            <c:strRef>
              <c:f>'Synthèse format 3ME'!$A$32</c:f>
              <c:strCache>
                <c:ptCount val="1"/>
                <c:pt idx="0">
                  <c:v>Hydraulique et énergies marines capex</c:v>
                </c:pt>
              </c:strCache>
            </c:strRef>
          </c:tx>
          <c:invertIfNegative val="0"/>
          <c:val>
            <c:numRef>
              <c:f>'Synthèse format 3ME'!$B$32:$AM$32</c:f>
              <c:numCache>
                <c:formatCode>General</c:formatCode>
                <c:ptCount val="38"/>
                <c:pt idx="0">
                  <c:v>4622.9492744164227</c:v>
                </c:pt>
                <c:pt idx="1">
                  <c:v>4612.7032598169653</c:v>
                </c:pt>
                <c:pt idx="2">
                  <c:v>4602.1698895904619</c:v>
                </c:pt>
                <c:pt idx="3">
                  <c:v>4592.6445056199618</c:v>
                </c:pt>
                <c:pt idx="4">
                  <c:v>4584.1446495348846</c:v>
                </c:pt>
                <c:pt idx="5">
                  <c:v>4577.3164899626718</c:v>
                </c:pt>
                <c:pt idx="6">
                  <c:v>4569.7906371049921</c:v>
                </c:pt>
                <c:pt idx="7">
                  <c:v>4561.1332762266866</c:v>
                </c:pt>
                <c:pt idx="8">
                  <c:v>4548.7305069274198</c:v>
                </c:pt>
                <c:pt idx="9">
                  <c:v>4532.1272869953127</c:v>
                </c:pt>
                <c:pt idx="10">
                  <c:v>4514.7987583818867</c:v>
                </c:pt>
                <c:pt idx="11">
                  <c:v>4497.0350462538263</c:v>
                </c:pt>
                <c:pt idx="12">
                  <c:v>4478.5511474615741</c:v>
                </c:pt>
                <c:pt idx="13">
                  <c:v>4459.3473115079378</c:v>
                </c:pt>
                <c:pt idx="14">
                  <c:v>4439.4237935860774</c:v>
                </c:pt>
                <c:pt idx="15">
                  <c:v>4418.7808547426575</c:v>
                </c:pt>
                <c:pt idx="16">
                  <c:v>4398.6708589882528</c:v>
                </c:pt>
                <c:pt idx="17">
                  <c:v>4377.8433619963189</c:v>
                </c:pt>
                <c:pt idx="18">
                  <c:v>4358.697263534008</c:v>
                </c:pt>
                <c:pt idx="19">
                  <c:v>4339.5821034663504</c:v>
                </c:pt>
                <c:pt idx="20">
                  <c:v>4320.4984824979601</c:v>
                </c:pt>
                <c:pt idx="21">
                  <c:v>4301.3235941010425</c:v>
                </c:pt>
                <c:pt idx="22">
                  <c:v>4289.8136766889347</c:v>
                </c:pt>
                <c:pt idx="23">
                  <c:v>4276.5716557140058</c:v>
                </c:pt>
                <c:pt idx="24">
                  <c:v>4261.5826394901187</c:v>
                </c:pt>
                <c:pt idx="25">
                  <c:v>4243.462555647362</c:v>
                </c:pt>
                <c:pt idx="26">
                  <c:v>4225.3868858220003</c:v>
                </c:pt>
                <c:pt idx="27">
                  <c:v>4207.8155614405932</c:v>
                </c:pt>
                <c:pt idx="28">
                  <c:v>4193.5169010267155</c:v>
                </c:pt>
                <c:pt idx="29">
                  <c:v>4174.7276992719426</c:v>
                </c:pt>
                <c:pt idx="30">
                  <c:v>4155.9810589940143</c:v>
                </c:pt>
                <c:pt idx="31">
                  <c:v>4139.0956205404391</c:v>
                </c:pt>
                <c:pt idx="32">
                  <c:v>4126.9621770432168</c:v>
                </c:pt>
                <c:pt idx="33">
                  <c:v>4115.6052098177024</c:v>
                </c:pt>
                <c:pt idx="34">
                  <c:v>4105.0256112393708</c:v>
                </c:pt>
                <c:pt idx="35">
                  <c:v>4095.2242968042415</c:v>
                </c:pt>
                <c:pt idx="36">
                  <c:v>4086.1426079008838</c:v>
                </c:pt>
                <c:pt idx="37">
                  <c:v>4077.8439505930405</c:v>
                </c:pt>
              </c:numCache>
            </c:numRef>
          </c:val>
        </c:ser>
        <c:ser>
          <c:idx val="5"/>
          <c:order val="4"/>
          <c:tx>
            <c:strRef>
              <c:f>'Synthèse format 3ME'!$A$33</c:f>
              <c:strCache>
                <c:ptCount val="1"/>
                <c:pt idx="0">
                  <c:v>Autres (géothermie et cogé biogaz et biomasse) capex</c:v>
                </c:pt>
              </c:strCache>
            </c:strRef>
          </c:tx>
          <c:invertIfNegative val="0"/>
          <c:val>
            <c:numRef>
              <c:f>'Synthèse format 3ME'!$B$33:$AM$33</c:f>
              <c:numCache>
                <c:formatCode>General</c:formatCode>
                <c:ptCount val="38"/>
                <c:pt idx="0">
                  <c:v>377.13718484382792</c:v>
                </c:pt>
                <c:pt idx="1">
                  <c:v>429.08840556326226</c:v>
                </c:pt>
                <c:pt idx="2">
                  <c:v>481.03998510065003</c:v>
                </c:pt>
                <c:pt idx="3">
                  <c:v>532.75306984669987</c:v>
                </c:pt>
                <c:pt idx="4">
                  <c:v>584.294347081458</c:v>
                </c:pt>
                <c:pt idx="5">
                  <c:v>635.81905831509766</c:v>
                </c:pt>
                <c:pt idx="6">
                  <c:v>687.06075125511666</c:v>
                </c:pt>
                <c:pt idx="7">
                  <c:v>737.95200373280045</c:v>
                </c:pt>
                <c:pt idx="8">
                  <c:v>788.02098789096044</c:v>
                </c:pt>
                <c:pt idx="9">
                  <c:v>837.07055933680522</c:v>
                </c:pt>
                <c:pt idx="10">
                  <c:v>885.66835335593441</c:v>
                </c:pt>
                <c:pt idx="11">
                  <c:v>933.87719489848303</c:v>
                </c:pt>
                <c:pt idx="12">
                  <c:v>981.64462344082608</c:v>
                </c:pt>
                <c:pt idx="13">
                  <c:v>1028.9718715994909</c:v>
                </c:pt>
                <c:pt idx="14">
                  <c:v>1075.8602001029892</c:v>
                </c:pt>
                <c:pt idx="15">
                  <c:v>1122.3108985978438</c:v>
                </c:pt>
                <c:pt idx="16">
                  <c:v>1168.673545131893</c:v>
                </c:pt>
                <c:pt idx="17">
                  <c:v>1214.6345932955242</c:v>
                </c:pt>
                <c:pt idx="18">
                  <c:v>1260.7827842471822</c:v>
                </c:pt>
                <c:pt idx="19">
                  <c:v>1306.6617944367576</c:v>
                </c:pt>
                <c:pt idx="20">
                  <c:v>1344.6142881027667</c:v>
                </c:pt>
                <c:pt idx="21">
                  <c:v>1382.4818018896092</c:v>
                </c:pt>
                <c:pt idx="22">
                  <c:v>1423.0337290772788</c:v>
                </c:pt>
                <c:pt idx="23">
                  <c:v>1463.0901737109052</c:v>
                </c:pt>
                <c:pt idx="24">
                  <c:v>1502.5775665252536</c:v>
                </c:pt>
                <c:pt idx="25">
                  <c:v>1540.8737413172446</c:v>
                </c:pt>
                <c:pt idx="26">
                  <c:v>1579.1635419316754</c:v>
                </c:pt>
                <c:pt idx="27">
                  <c:v>1617.6473120990693</c:v>
                </c:pt>
                <c:pt idx="28">
                  <c:v>1657.5702427678882</c:v>
                </c:pt>
                <c:pt idx="29">
                  <c:v>1695.5368220216246</c:v>
                </c:pt>
                <c:pt idx="30">
                  <c:v>1733.4878750074458</c:v>
                </c:pt>
                <c:pt idx="31">
                  <c:v>1771.427488621797</c:v>
                </c:pt>
                <c:pt idx="32">
                  <c:v>1809.3598536300956</c:v>
                </c:pt>
                <c:pt idx="33">
                  <c:v>1847.2892679876368</c:v>
                </c:pt>
                <c:pt idx="34">
                  <c:v>1885.2201402887263</c:v>
                </c:pt>
                <c:pt idx="35">
                  <c:v>1923.1569933498604</c:v>
                </c:pt>
                <c:pt idx="36">
                  <c:v>1961.0712672892421</c:v>
                </c:pt>
                <c:pt idx="37">
                  <c:v>1999.0007796768114</c:v>
                </c:pt>
              </c:numCache>
            </c:numRef>
          </c:val>
        </c:ser>
        <c:ser>
          <c:idx val="9"/>
          <c:order val="5"/>
          <c:tx>
            <c:strRef>
              <c:f>'Synthèse format 3ME'!$A$38</c:f>
              <c:strCache>
                <c:ptCount val="1"/>
                <c:pt idx="0">
                  <c:v>Gaz de synthèse (méthanation) opex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'Synthèse format 3ME'!$B$38:$AM$38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0"/>
          <c:order val="6"/>
          <c:tx>
            <c:strRef>
              <c:f>'Synthèse format 3ME'!$A$39</c:f>
              <c:strCache>
                <c:ptCount val="1"/>
                <c:pt idx="0">
                  <c:v>Eolien (terrestre, en mer posé, en mer flottant)opex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'Synthèse format 3ME'!$B$39:$AM$39</c:f>
              <c:numCache>
                <c:formatCode>General</c:formatCode>
                <c:ptCount val="38"/>
                <c:pt idx="0">
                  <c:v>637.15088753954171</c:v>
                </c:pt>
                <c:pt idx="1">
                  <c:v>819.81715870536868</c:v>
                </c:pt>
                <c:pt idx="2">
                  <c:v>1003.3563193330008</c:v>
                </c:pt>
                <c:pt idx="3">
                  <c:v>1186.8996995895718</c:v>
                </c:pt>
                <c:pt idx="4">
                  <c:v>1370.4627615507729</c:v>
                </c:pt>
                <c:pt idx="5">
                  <c:v>1602.8049307425763</c:v>
                </c:pt>
                <c:pt idx="6">
                  <c:v>1834.1641043741097</c:v>
                </c:pt>
                <c:pt idx="7">
                  <c:v>2064.5511228292221</c:v>
                </c:pt>
                <c:pt idx="8">
                  <c:v>2293.9770430652106</c:v>
                </c:pt>
                <c:pt idx="9">
                  <c:v>2522.4531440484548</c:v>
                </c:pt>
                <c:pt idx="10">
                  <c:v>2749.990932354593</c:v>
                </c:pt>
                <c:pt idx="11">
                  <c:v>2959.4767185615183</c:v>
                </c:pt>
                <c:pt idx="12">
                  <c:v>3168.4787217649446</c:v>
                </c:pt>
                <c:pt idx="13">
                  <c:v>3377.0118265533174</c:v>
                </c:pt>
                <c:pt idx="14">
                  <c:v>3585.091256984264</c:v>
                </c:pt>
                <c:pt idx="15">
                  <c:v>3792.7325863178321</c:v>
                </c:pt>
                <c:pt idx="16">
                  <c:v>4003.2827122351837</c:v>
                </c:pt>
                <c:pt idx="17">
                  <c:v>4213.8092196367425</c:v>
                </c:pt>
                <c:pt idx="18">
                  <c:v>4426.5772709602716</c:v>
                </c:pt>
                <c:pt idx="19">
                  <c:v>4640.4308690003563</c:v>
                </c:pt>
                <c:pt idx="20">
                  <c:v>4838.6058121087699</c:v>
                </c:pt>
                <c:pt idx="21">
                  <c:v>5040.841772195794</c:v>
                </c:pt>
                <c:pt idx="22">
                  <c:v>5244.8029738684709</c:v>
                </c:pt>
                <c:pt idx="23">
                  <c:v>5450.5186308670873</c:v>
                </c:pt>
                <c:pt idx="24">
                  <c:v>5658.018663488243</c:v>
                </c:pt>
                <c:pt idx="25">
                  <c:v>5854.8739172258829</c:v>
                </c:pt>
                <c:pt idx="26">
                  <c:v>6054.2664422489443</c:v>
                </c:pt>
                <c:pt idx="27">
                  <c:v>6256.2284106578772</c:v>
                </c:pt>
                <c:pt idx="28">
                  <c:v>6460.7927919451386</c:v>
                </c:pt>
                <c:pt idx="29">
                  <c:v>6667.9933778536169</c:v>
                </c:pt>
                <c:pt idx="30">
                  <c:v>6877.8648081708461</c:v>
                </c:pt>
                <c:pt idx="31">
                  <c:v>7093.7684818830539</c:v>
                </c:pt>
                <c:pt idx="32">
                  <c:v>7312.1385923594762</c:v>
                </c:pt>
                <c:pt idx="33">
                  <c:v>7533.0124882777309</c:v>
                </c:pt>
                <c:pt idx="34">
                  <c:v>7756.4284797541295</c:v>
                </c:pt>
                <c:pt idx="35">
                  <c:v>7982.4258694810324</c:v>
                </c:pt>
                <c:pt idx="36">
                  <c:v>8211.0449850822424</c:v>
                </c:pt>
                <c:pt idx="37">
                  <c:v>8442.3272127422879</c:v>
                </c:pt>
              </c:numCache>
            </c:numRef>
          </c:val>
        </c:ser>
        <c:ser>
          <c:idx val="11"/>
          <c:order val="7"/>
          <c:tx>
            <c:strRef>
              <c:f>'Synthèse format 3ME'!$A$40</c:f>
              <c:strCache>
                <c:ptCount val="1"/>
                <c:pt idx="0">
                  <c:v>Solaire (PV, CSP)opex</c:v>
                </c:pt>
              </c:strCache>
            </c:strRef>
          </c:tx>
          <c:invertIfNegative val="0"/>
          <c:val>
            <c:numRef>
              <c:f>'Synthèse format 3ME'!$B$40:$AM$40</c:f>
              <c:numCache>
                <c:formatCode>General</c:formatCode>
                <c:ptCount val="38"/>
                <c:pt idx="0">
                  <c:v>220.61735110470147</c:v>
                </c:pt>
                <c:pt idx="1">
                  <c:v>284.05562670112573</c:v>
                </c:pt>
                <c:pt idx="2">
                  <c:v>346.81445821973222</c:v>
                </c:pt>
                <c:pt idx="3">
                  <c:v>408.8982738521637</c:v>
                </c:pt>
                <c:pt idx="4">
                  <c:v>470.31161128625712</c:v>
                </c:pt>
                <c:pt idx="5">
                  <c:v>530.79303193803241</c:v>
                </c:pt>
                <c:pt idx="6">
                  <c:v>590.54433486195148</c:v>
                </c:pt>
                <c:pt idx="7">
                  <c:v>649.56829886751018</c:v>
                </c:pt>
                <c:pt idx="8">
                  <c:v>707.86775828035252</c:v>
                </c:pt>
                <c:pt idx="9">
                  <c:v>765.44560433563367</c:v>
                </c:pt>
                <c:pt idx="10">
                  <c:v>822.30478661356108</c:v>
                </c:pt>
                <c:pt idx="11">
                  <c:v>878.64027365555205</c:v>
                </c:pt>
                <c:pt idx="12">
                  <c:v>934.29375566454223</c:v>
                </c:pt>
                <c:pt idx="13">
                  <c:v>989.26924578755882</c:v>
                </c:pt>
                <c:pt idx="14">
                  <c:v>1043.5708486984963</c:v>
                </c:pt>
                <c:pt idx="15">
                  <c:v>1097.2027632223676</c:v>
                </c:pt>
                <c:pt idx="16">
                  <c:v>1151.0774249642925</c:v>
                </c:pt>
                <c:pt idx="17">
                  <c:v>1204.3941356554037</c:v>
                </c:pt>
                <c:pt idx="18">
                  <c:v>1257.8768063799616</c:v>
                </c:pt>
                <c:pt idx="19">
                  <c:v>1311.210190822108</c:v>
                </c:pt>
                <c:pt idx="20">
                  <c:v>1364.401626786856</c:v>
                </c:pt>
                <c:pt idx="21">
                  <c:v>1417.4586263877222</c:v>
                </c:pt>
                <c:pt idx="22">
                  <c:v>1470.3888812534901</c:v>
                </c:pt>
                <c:pt idx="23">
                  <c:v>1523.2002679227305</c:v>
                </c:pt>
                <c:pt idx="24">
                  <c:v>1575.9008534340323</c:v>
                </c:pt>
                <c:pt idx="25">
                  <c:v>1628.4989011202681</c:v>
                </c:pt>
                <c:pt idx="26">
                  <c:v>1663.4667259877706</c:v>
                </c:pt>
                <c:pt idx="27">
                  <c:v>1698.7754528058149</c:v>
                </c:pt>
                <c:pt idx="28">
                  <c:v>1734.4339707298609</c:v>
                </c:pt>
                <c:pt idx="29">
                  <c:v>1770.4513906085588</c:v>
                </c:pt>
                <c:pt idx="30">
                  <c:v>1806.8370519383202</c:v>
                </c:pt>
                <c:pt idx="31">
                  <c:v>1843.6005300813463</c:v>
                </c:pt>
                <c:pt idx="32">
                  <c:v>1880.7516437588242</c:v>
                </c:pt>
                <c:pt idx="33">
                  <c:v>1918.3004628316132</c:v>
                </c:pt>
                <c:pt idx="34">
                  <c:v>1956.2573163813631</c:v>
                </c:pt>
                <c:pt idx="35">
                  <c:v>1994.6328011057008</c:v>
                </c:pt>
                <c:pt idx="36">
                  <c:v>2033.4377900418058</c:v>
                </c:pt>
                <c:pt idx="37">
                  <c:v>2072.6834416334636</c:v>
                </c:pt>
              </c:numCache>
            </c:numRef>
          </c:val>
        </c:ser>
        <c:ser>
          <c:idx val="12"/>
          <c:order val="8"/>
          <c:tx>
            <c:strRef>
              <c:f>'Synthèse format 3ME'!$A$41</c:f>
              <c:strCache>
                <c:ptCount val="1"/>
                <c:pt idx="0">
                  <c:v>Hydraulique et énergies marines opex</c:v>
                </c:pt>
              </c:strCache>
            </c:strRef>
          </c:tx>
          <c:invertIfNegative val="0"/>
          <c:val>
            <c:numRef>
              <c:f>'Synthèse format 3ME'!$B$41:$AM$41</c:f>
              <c:numCache>
                <c:formatCode>General</c:formatCode>
                <c:ptCount val="38"/>
                <c:pt idx="0">
                  <c:v>2354.9022151321924</c:v>
                </c:pt>
                <c:pt idx="1">
                  <c:v>2354.5619014159761</c:v>
                </c:pt>
                <c:pt idx="2">
                  <c:v>2354.0543492540382</c:v>
                </c:pt>
                <c:pt idx="3">
                  <c:v>2353.3802806831245</c:v>
                </c:pt>
                <c:pt idx="4">
                  <c:v>2352.540435593834</c:v>
                </c:pt>
                <c:pt idx="5">
                  <c:v>2349.9285336152484</c:v>
                </c:pt>
                <c:pt idx="6">
                  <c:v>2347.1285878847707</c:v>
                </c:pt>
                <c:pt idx="7">
                  <c:v>2344.14087923841</c:v>
                </c:pt>
                <c:pt idx="8">
                  <c:v>2340.965694122825</c:v>
                </c:pt>
                <c:pt idx="9">
                  <c:v>2337.6033247361438</c:v>
                </c:pt>
                <c:pt idx="10">
                  <c:v>2334.0540691730453</c:v>
                </c:pt>
                <c:pt idx="11">
                  <c:v>2330.984763759795</c:v>
                </c:pt>
                <c:pt idx="12">
                  <c:v>2327.7383317357253</c:v>
                </c:pt>
                <c:pt idx="13">
                  <c:v>2324.3152755179817</c:v>
                </c:pt>
                <c:pt idx="14">
                  <c:v>2320.7161089822193</c:v>
                </c:pt>
                <c:pt idx="15">
                  <c:v>2316.94135779113</c:v>
                </c:pt>
                <c:pt idx="16">
                  <c:v>2315.3004308073182</c:v>
                </c:pt>
                <c:pt idx="17">
                  <c:v>2313.4947497505436</c:v>
                </c:pt>
                <c:pt idx="18">
                  <c:v>2312.5580153487581</c:v>
                </c:pt>
                <c:pt idx="19">
                  <c:v>2311.6714118271871</c:v>
                </c:pt>
                <c:pt idx="20">
                  <c:v>2310.8358578262469</c:v>
                </c:pt>
                <c:pt idx="21">
                  <c:v>2310.0522938085255</c:v>
                </c:pt>
                <c:pt idx="22">
                  <c:v>2309.3216827106321</c:v>
                </c:pt>
                <c:pt idx="23">
                  <c:v>2308.6450106185489</c:v>
                </c:pt>
                <c:pt idx="24">
                  <c:v>2308.0232874674939</c:v>
                </c:pt>
                <c:pt idx="25">
                  <c:v>2307.4575477673143</c:v>
                </c:pt>
                <c:pt idx="26">
                  <c:v>2306.9488513545311</c:v>
                </c:pt>
                <c:pt idx="27">
                  <c:v>2306.4982841721639</c:v>
                </c:pt>
                <c:pt idx="28">
                  <c:v>2306.1069590785482</c:v>
                </c:pt>
                <c:pt idx="29">
                  <c:v>2305.7760166864136</c:v>
                </c:pt>
                <c:pt idx="30">
                  <c:v>2305.5066262335436</c:v>
                </c:pt>
                <c:pt idx="31">
                  <c:v>2305.7794527558444</c:v>
                </c:pt>
                <c:pt idx="32">
                  <c:v>2307.4248870502679</c:v>
                </c:pt>
                <c:pt idx="33">
                  <c:v>2309.3401943477334</c:v>
                </c:pt>
                <c:pt idx="34">
                  <c:v>2311.5266677749792</c:v>
                </c:pt>
                <c:pt idx="35">
                  <c:v>2313.9856339623402</c:v>
                </c:pt>
                <c:pt idx="36">
                  <c:v>2316.7184541358765</c:v>
                </c:pt>
                <c:pt idx="37">
                  <c:v>2319.7265252525035</c:v>
                </c:pt>
              </c:numCache>
            </c:numRef>
          </c:val>
        </c:ser>
        <c:ser>
          <c:idx val="13"/>
          <c:order val="9"/>
          <c:tx>
            <c:strRef>
              <c:f>'Synthèse format 3ME'!$A$42</c:f>
              <c:strCache>
                <c:ptCount val="1"/>
                <c:pt idx="0">
                  <c:v>Autres (géothermie et cogé biogaz et biomasse) opex</c:v>
                </c:pt>
              </c:strCache>
            </c:strRef>
          </c:tx>
          <c:invertIfNegative val="0"/>
          <c:val>
            <c:numRef>
              <c:f>'Synthèse format 3ME'!$B$42:$AM$42</c:f>
              <c:numCache>
                <c:formatCode>General</c:formatCode>
                <c:ptCount val="38"/>
                <c:pt idx="0">
                  <c:v>230.06917976588517</c:v>
                </c:pt>
                <c:pt idx="1">
                  <c:v>268.51262062145582</c:v>
                </c:pt>
                <c:pt idx="2">
                  <c:v>307.06224013984951</c:v>
                </c:pt>
                <c:pt idx="3">
                  <c:v>345.55971343619808</c:v>
                </c:pt>
                <c:pt idx="4">
                  <c:v>384.00785332169437</c:v>
                </c:pt>
                <c:pt idx="5">
                  <c:v>422.18724760044222</c:v>
                </c:pt>
                <c:pt idx="6">
                  <c:v>460.27987921023566</c:v>
                </c:pt>
                <c:pt idx="7">
                  <c:v>498.28746435464706</c:v>
                </c:pt>
                <c:pt idx="8">
                  <c:v>536.21175352423779</c:v>
                </c:pt>
                <c:pt idx="9">
                  <c:v>574.05453235710524</c:v>
                </c:pt>
                <c:pt idx="10">
                  <c:v>611.81762252547878</c:v>
                </c:pt>
                <c:pt idx="11">
                  <c:v>649.64517314228215</c:v>
                </c:pt>
                <c:pt idx="12">
                  <c:v>687.41589775501973</c:v>
                </c:pt>
                <c:pt idx="13">
                  <c:v>725.13227845067809</c:v>
                </c:pt>
                <c:pt idx="14">
                  <c:v>762.79685392459749</c:v>
                </c:pt>
                <c:pt idx="15">
                  <c:v>800.41222110354272</c:v>
                </c:pt>
                <c:pt idx="16">
                  <c:v>838.62322697392983</c:v>
                </c:pt>
                <c:pt idx="17">
                  <c:v>876.85401701905846</c:v>
                </c:pt>
                <c:pt idx="18">
                  <c:v>915.3923024359317</c:v>
                </c:pt>
                <c:pt idx="19">
                  <c:v>954.01452157520089</c:v>
                </c:pt>
                <c:pt idx="20">
                  <c:v>989.66488617343077</c:v>
                </c:pt>
                <c:pt idx="21">
                  <c:v>1025.4947877884067</c:v>
                </c:pt>
                <c:pt idx="22">
                  <c:v>1061.5077984174932</c:v>
                </c:pt>
                <c:pt idx="23">
                  <c:v>1097.7087896125558</c:v>
                </c:pt>
                <c:pt idx="24">
                  <c:v>1134.102750747611</c:v>
                </c:pt>
                <c:pt idx="25">
                  <c:v>1170.6947926025159</c:v>
                </c:pt>
                <c:pt idx="26">
                  <c:v>1207.4901510782618</c:v>
                </c:pt>
                <c:pt idx="27">
                  <c:v>1244.4941910495418</c:v>
                </c:pt>
                <c:pt idx="28">
                  <c:v>1281.712410360552</c:v>
                </c:pt>
                <c:pt idx="29">
                  <c:v>1319.1504439702708</c:v>
                </c:pt>
                <c:pt idx="30">
                  <c:v>1356.8140682537842</c:v>
                </c:pt>
                <c:pt idx="31">
                  <c:v>1394.7092054665573</c:v>
                </c:pt>
                <c:pt idx="32">
                  <c:v>1432.8419283788926</c:v>
                </c:pt>
                <c:pt idx="33">
                  <c:v>1471.2184650881975</c:v>
                </c:pt>
                <c:pt idx="34">
                  <c:v>1509.8452040170678</c:v>
                </c:pt>
                <c:pt idx="35">
                  <c:v>1548.7286991056162</c:v>
                </c:pt>
                <c:pt idx="36">
                  <c:v>1587.8756752069098</c:v>
                </c:pt>
                <c:pt idx="37">
                  <c:v>1627.2930336948384</c:v>
                </c:pt>
              </c:numCache>
            </c:numRef>
          </c:val>
        </c:ser>
        <c:ser>
          <c:idx val="17"/>
          <c:order val="10"/>
          <c:tx>
            <c:strRef>
              <c:f>'Synthèse format 3ME'!$A$47</c:f>
              <c:strCache>
                <c:ptCount val="1"/>
                <c:pt idx="0">
                  <c:v>CAPEX + OPEX systèmes non-EnR M€</c:v>
                </c:pt>
              </c:strCache>
            </c:strRef>
          </c:tx>
          <c:invertIfNegative val="0"/>
          <c:val>
            <c:numRef>
              <c:f>'Synthèse format 3ME'!$B$47:$AM$47</c:f>
              <c:numCache>
                <c:formatCode>General</c:formatCode>
                <c:ptCount val="38"/>
                <c:pt idx="0">
                  <c:v>11228.806418558173</c:v>
                </c:pt>
                <c:pt idx="1">
                  <c:v>11046.080739736835</c:v>
                </c:pt>
                <c:pt idx="2">
                  <c:v>10863.968567298383</c:v>
                </c:pt>
                <c:pt idx="3">
                  <c:v>10690.215868338626</c:v>
                </c:pt>
                <c:pt idx="4">
                  <c:v>10524.240698895996</c:v>
                </c:pt>
                <c:pt idx="5">
                  <c:v>10359.691480275895</c:v>
                </c:pt>
                <c:pt idx="6">
                  <c:v>10191.701774932773</c:v>
                </c:pt>
                <c:pt idx="7">
                  <c:v>10017.781671656812</c:v>
                </c:pt>
                <c:pt idx="8">
                  <c:v>9823.6818076334184</c:v>
                </c:pt>
                <c:pt idx="9">
                  <c:v>9608.0920199027314</c:v>
                </c:pt>
                <c:pt idx="10">
                  <c:v>9390.532965221566</c:v>
                </c:pt>
                <c:pt idx="11">
                  <c:v>9175.8631365558813</c:v>
                </c:pt>
                <c:pt idx="12">
                  <c:v>8958.9906750482241</c:v>
                </c:pt>
                <c:pt idx="13">
                  <c:v>8739.8828316318686</c:v>
                </c:pt>
                <c:pt idx="14">
                  <c:v>8518.5061103400985</c:v>
                </c:pt>
                <c:pt idx="15">
                  <c:v>8294.8262468911416</c:v>
                </c:pt>
                <c:pt idx="16">
                  <c:v>8084.6196304385003</c:v>
                </c:pt>
                <c:pt idx="17">
                  <c:v>7871.1218312130777</c:v>
                </c:pt>
                <c:pt idx="18">
                  <c:v>7664.6863384226472</c:v>
                </c:pt>
                <c:pt idx="19">
                  <c:v>7454.2778123726766</c:v>
                </c:pt>
                <c:pt idx="20">
                  <c:v>7239.8300796172953</c:v>
                </c:pt>
                <c:pt idx="21">
                  <c:v>7020.8119954129579</c:v>
                </c:pt>
                <c:pt idx="22">
                  <c:v>6825.2425214949344</c:v>
                </c:pt>
                <c:pt idx="23">
                  <c:v>6617.1823339865186</c:v>
                </c:pt>
                <c:pt idx="24">
                  <c:v>6397.2360376494762</c:v>
                </c:pt>
                <c:pt idx="25">
                  <c:v>6161.6548391784854</c:v>
                </c:pt>
                <c:pt idx="26">
                  <c:v>5921.3874375101195</c:v>
                </c:pt>
                <c:pt idx="27">
                  <c:v>5677.6832235515139</c:v>
                </c:pt>
                <c:pt idx="28">
                  <c:v>5437.8936316660383</c:v>
                </c:pt>
                <c:pt idx="29">
                  <c:v>5180.2252171767386</c:v>
                </c:pt>
                <c:pt idx="30">
                  <c:v>4917.7549154190456</c:v>
                </c:pt>
                <c:pt idx="31">
                  <c:v>4650.3944850619973</c:v>
                </c:pt>
                <c:pt idx="32">
                  <c:v>4378.053442110534</c:v>
                </c:pt>
                <c:pt idx="33">
                  <c:v>4100.6389882029343</c:v>
                </c:pt>
                <c:pt idx="34">
                  <c:v>3818.0559361395653</c:v>
                </c:pt>
                <c:pt idx="35">
                  <c:v>3530.2066325174383</c:v>
                </c:pt>
                <c:pt idx="36">
                  <c:v>3236.8973846759718</c:v>
                </c:pt>
                <c:pt idx="37">
                  <c:v>2938.1411260821078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25056"/>
        <c:axId val="33326592"/>
      </c:barChart>
      <c:catAx>
        <c:axId val="333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326592"/>
        <c:crosses val="autoZero"/>
        <c:auto val="1"/>
        <c:lblAlgn val="ctr"/>
        <c:lblOffset val="100"/>
        <c:noMultiLvlLbl val="0"/>
      </c:catAx>
      <c:valAx>
        <c:axId val="333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25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'Synthèse format 3ME'!$A$65</c:f>
              <c:strCache>
                <c:ptCount val="1"/>
                <c:pt idx="0">
                  <c:v>Gaz de synthèse (méthanation)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3ME'!$B$65:$AM$65</c:f>
              <c:numCache>
                <c:formatCode>General</c:formatCode>
                <c:ptCount val="38"/>
              </c:numCache>
            </c:numRef>
          </c:val>
          <c:smooth val="0"/>
        </c:ser>
        <c:ser>
          <c:idx val="2"/>
          <c:order val="1"/>
          <c:tx>
            <c:strRef>
              <c:f>'Synthèse format 3ME'!$A$66</c:f>
              <c:strCache>
                <c:ptCount val="1"/>
                <c:pt idx="0">
                  <c:v>Eolien (terrestre, en mer posé, en mer flottant)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3ME'!$B$66:$AM$66</c:f>
              <c:numCache>
                <c:formatCode>General</c:formatCode>
                <c:ptCount val="38"/>
                <c:pt idx="0">
                  <c:v>112.94832383374623</c:v>
                </c:pt>
                <c:pt idx="1">
                  <c:v>112.93437350596692</c:v>
                </c:pt>
                <c:pt idx="2">
                  <c:v>112.99069613892303</c:v>
                </c:pt>
                <c:pt idx="3">
                  <c:v>112.993318952614</c:v>
                </c:pt>
                <c:pt idx="4">
                  <c:v>112.97577127995535</c:v>
                </c:pt>
                <c:pt idx="5">
                  <c:v>113.96163442037447</c:v>
                </c:pt>
                <c:pt idx="6">
                  <c:v>114.64373754318873</c:v>
                </c:pt>
                <c:pt idx="7">
                  <c:v>115.11152656624247</c:v>
                </c:pt>
                <c:pt idx="8">
                  <c:v>115.38297779816682</c:v>
                </c:pt>
                <c:pt idx="9">
                  <c:v>115.48940830931286</c:v>
                </c:pt>
                <c:pt idx="10">
                  <c:v>115.51267182430504</c:v>
                </c:pt>
                <c:pt idx="11">
                  <c:v>115.34547653122571</c:v>
                </c:pt>
                <c:pt idx="12">
                  <c:v>115.15726977402946</c:v>
                </c:pt>
                <c:pt idx="13">
                  <c:v>114.95223727237999</c:v>
                </c:pt>
                <c:pt idx="14">
                  <c:v>114.73359872385429</c:v>
                </c:pt>
                <c:pt idx="15">
                  <c:v>114.5038731158976</c:v>
                </c:pt>
                <c:pt idx="16">
                  <c:v>114.32322635675891</c:v>
                </c:pt>
                <c:pt idx="17">
                  <c:v>114.13563086140603</c:v>
                </c:pt>
                <c:pt idx="18">
                  <c:v>114.01230970830717</c:v>
                </c:pt>
                <c:pt idx="19">
                  <c:v>113.91010646951881</c:v>
                </c:pt>
                <c:pt idx="20">
                  <c:v>113.26049331393352</c:v>
                </c:pt>
                <c:pt idx="21">
                  <c:v>112.76690203258966</c:v>
                </c:pt>
                <c:pt idx="22">
                  <c:v>112.46647886833173</c:v>
                </c:pt>
                <c:pt idx="23">
                  <c:v>112.19644702221963</c:v>
                </c:pt>
                <c:pt idx="24">
                  <c:v>111.9501689738958</c:v>
                </c:pt>
                <c:pt idx="25">
                  <c:v>111.46347560858848</c:v>
                </c:pt>
                <c:pt idx="26">
                  <c:v>111.04895571161268</c:v>
                </c:pt>
                <c:pt idx="27">
                  <c:v>110.70760547673646</c:v>
                </c:pt>
                <c:pt idx="28">
                  <c:v>110.48048138282554</c:v>
                </c:pt>
                <c:pt idx="29">
                  <c:v>110.23106650403693</c:v>
                </c:pt>
                <c:pt idx="30">
                  <c:v>110.03136304787924</c:v>
                </c:pt>
                <c:pt idx="31">
                  <c:v>109.92921709937242</c:v>
                </c:pt>
                <c:pt idx="32">
                  <c:v>109.86216354376292</c:v>
                </c:pt>
                <c:pt idx="33">
                  <c:v>109.82767478050398</c:v>
                </c:pt>
                <c:pt idx="34">
                  <c:v>109.82350436695128</c:v>
                </c:pt>
                <c:pt idx="35">
                  <c:v>109.8476505338991</c:v>
                </c:pt>
                <c:pt idx="36">
                  <c:v>109.89729072216925</c:v>
                </c:pt>
                <c:pt idx="37">
                  <c:v>109.97190204112803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'Synthèse format 3ME'!$A$67</c:f>
              <c:strCache>
                <c:ptCount val="1"/>
                <c:pt idx="0">
                  <c:v>Solaire (PV, CSP)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3ME'!$B$67:$AM$67</c:f>
              <c:numCache>
                <c:formatCode>General</c:formatCode>
                <c:ptCount val="38"/>
                <c:pt idx="0">
                  <c:v>219.90529563483605</c:v>
                </c:pt>
                <c:pt idx="1">
                  <c:v>219.04959835399941</c:v>
                </c:pt>
                <c:pt idx="2">
                  <c:v>217.74909227922981</c:v>
                </c:pt>
                <c:pt idx="3">
                  <c:v>216.2348192620918</c:v>
                </c:pt>
                <c:pt idx="4">
                  <c:v>214.60493290977061</c:v>
                </c:pt>
                <c:pt idx="5">
                  <c:v>212.89594076587508</c:v>
                </c:pt>
                <c:pt idx="6">
                  <c:v>211.12519105084499</c:v>
                </c:pt>
                <c:pt idx="7">
                  <c:v>209.30413310265988</c:v>
                </c:pt>
                <c:pt idx="8">
                  <c:v>207.40294952603901</c:v>
                </c:pt>
                <c:pt idx="9">
                  <c:v>205.42205809081432</c:v>
                </c:pt>
                <c:pt idx="10">
                  <c:v>203.42245861509494</c:v>
                </c:pt>
                <c:pt idx="11">
                  <c:v>201.42368130516755</c:v>
                </c:pt>
                <c:pt idx="12">
                  <c:v>199.41371390894037</c:v>
                </c:pt>
                <c:pt idx="13">
                  <c:v>197.39489124330765</c:v>
                </c:pt>
                <c:pt idx="14">
                  <c:v>195.36901946624491</c:v>
                </c:pt>
                <c:pt idx="15">
                  <c:v>193.33751946549174</c:v>
                </c:pt>
                <c:pt idx="16">
                  <c:v>191.35969118329609</c:v>
                </c:pt>
                <c:pt idx="17">
                  <c:v>189.37881496350425</c:v>
                </c:pt>
                <c:pt idx="18">
                  <c:v>187.51662270716514</c:v>
                </c:pt>
                <c:pt idx="19">
                  <c:v>185.72271969906672</c:v>
                </c:pt>
                <c:pt idx="20">
                  <c:v>183.98879007672812</c:v>
                </c:pt>
                <c:pt idx="21">
                  <c:v>182.30584141808382</c:v>
                </c:pt>
                <c:pt idx="22">
                  <c:v>180.79697539291928</c:v>
                </c:pt>
                <c:pt idx="23">
                  <c:v>179.30164480874205</c:v>
                </c:pt>
                <c:pt idx="24">
                  <c:v>177.81510766531881</c:v>
                </c:pt>
                <c:pt idx="25">
                  <c:v>176.31024315807733</c:v>
                </c:pt>
                <c:pt idx="26">
                  <c:v>171.97082799289061</c:v>
                </c:pt>
                <c:pt idx="27">
                  <c:v>167.92356803381847</c:v>
                </c:pt>
                <c:pt idx="28">
                  <c:v>164.18868043932477</c:v>
                </c:pt>
                <c:pt idx="29">
                  <c:v>160.61137179084804</c:v>
                </c:pt>
                <c:pt idx="30">
                  <c:v>157.2475484176469</c:v>
                </c:pt>
                <c:pt idx="31">
                  <c:v>154.07900249305703</c:v>
                </c:pt>
                <c:pt idx="32">
                  <c:v>151.08958966035479</c:v>
                </c:pt>
                <c:pt idx="33">
                  <c:v>148.26494632060869</c:v>
                </c:pt>
                <c:pt idx="34">
                  <c:v>145.59225221783606</c:v>
                </c:pt>
                <c:pt idx="35">
                  <c:v>143.06003007678024</c:v>
                </c:pt>
                <c:pt idx="36">
                  <c:v>140.65694114804165</c:v>
                </c:pt>
                <c:pt idx="37">
                  <c:v>138.37478726124226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'Synthèse format 3ME'!$A$68</c:f>
              <c:strCache>
                <c:ptCount val="1"/>
                <c:pt idx="0">
                  <c:v>Hydraulique et énergies marines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3ME'!$B$68:$AM$68</c:f>
              <c:numCache>
                <c:formatCode>General</c:formatCode>
                <c:ptCount val="38"/>
                <c:pt idx="0">
                  <c:v>108.83523273960961</c:v>
                </c:pt>
                <c:pt idx="1">
                  <c:v>108.9773681557305</c:v>
                </c:pt>
                <c:pt idx="2">
                  <c:v>109.11317897382658</c:v>
                </c:pt>
                <c:pt idx="3">
                  <c:v>109.26299870649216</c:v>
                </c:pt>
                <c:pt idx="4">
                  <c:v>109.42723558998838</c:v>
                </c:pt>
                <c:pt idx="5">
                  <c:v>109.59082409360207</c:v>
                </c:pt>
                <c:pt idx="6">
                  <c:v>109.74129814135834</c:v>
                </c:pt>
                <c:pt idx="7">
                  <c:v>109.87164650177415</c:v>
                </c:pt>
                <c:pt idx="8">
                  <c:v>109.93998916065918</c:v>
                </c:pt>
                <c:pt idx="9">
                  <c:v>109.93851049232772</c:v>
                </c:pt>
                <c:pt idx="10">
                  <c:v>109.92238274376035</c:v>
                </c:pt>
                <c:pt idx="11">
                  <c:v>109.90688172662593</c:v>
                </c:pt>
                <c:pt idx="12">
                  <c:v>109.87680453389564</c:v>
                </c:pt>
                <c:pt idx="13">
                  <c:v>109.83203535981374</c:v>
                </c:pt>
                <c:pt idx="14">
                  <c:v>109.7724573174014</c:v>
                </c:pt>
                <c:pt idx="15">
                  <c:v>109.69795243054909</c:v>
                </c:pt>
                <c:pt idx="16">
                  <c:v>109.66656677466599</c:v>
                </c:pt>
                <c:pt idx="17">
                  <c:v>109.62054172303752</c:v>
                </c:pt>
                <c:pt idx="18">
                  <c:v>109.61614827797409</c:v>
                </c:pt>
                <c:pt idx="19">
                  <c:v>109.61306468335755</c:v>
                </c:pt>
                <c:pt idx="20">
                  <c:v>109.61132779401767</c:v>
                </c:pt>
                <c:pt idx="21">
                  <c:v>109.60892931985993</c:v>
                </c:pt>
                <c:pt idx="22">
                  <c:v>109.73485524936763</c:v>
                </c:pt>
                <c:pt idx="23">
                  <c:v>109.83355071305</c:v>
                </c:pt>
                <c:pt idx="24">
                  <c:v>109.90453644126525</c:v>
                </c:pt>
                <c:pt idx="25">
                  <c:v>109.9243529280033</c:v>
                </c:pt>
                <c:pt idx="26">
                  <c:v>109.9459976277725</c:v>
                </c:pt>
                <c:pt idx="27">
                  <c:v>109.97727035914851</c:v>
                </c:pt>
                <c:pt idx="28">
                  <c:v>110.06515731394423</c:v>
                </c:pt>
                <c:pt idx="29">
                  <c:v>110.07833296314962</c:v>
                </c:pt>
                <c:pt idx="30">
                  <c:v>110.09336369770904</c:v>
                </c:pt>
                <c:pt idx="31">
                  <c:v>110.14956421237234</c:v>
                </c:pt>
                <c:pt idx="32">
                  <c:v>110.31111323126028</c:v>
                </c:pt>
                <c:pt idx="33">
                  <c:v>110.4916610230664</c:v>
                </c:pt>
                <c:pt idx="34">
                  <c:v>110.69142302389956</c:v>
                </c:pt>
                <c:pt idx="35">
                  <c:v>110.91061834536502</c:v>
                </c:pt>
                <c:pt idx="36">
                  <c:v>111.14843529201778</c:v>
                </c:pt>
                <c:pt idx="37">
                  <c:v>111.4061781834246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'Synthèse format 3ME'!$A$69</c:f>
              <c:strCache>
                <c:ptCount val="1"/>
                <c:pt idx="0">
                  <c:v>Autres (géothermie et cogé biogaz et biomasse)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3ME'!$B$69:$AM$69</c:f>
              <c:numCache>
                <c:formatCode>General</c:formatCode>
                <c:ptCount val="38"/>
                <c:pt idx="0">
                  <c:v>121.98170078939891</c:v>
                </c:pt>
                <c:pt idx="1">
                  <c:v>121.72421956068365</c:v>
                </c:pt>
                <c:pt idx="2">
                  <c:v>121.54298285403432</c:v>
                </c:pt>
                <c:pt idx="3">
                  <c:v>121.35930810118694</c:v>
                </c:pt>
                <c:pt idx="4">
                  <c:v>121.18258260963586</c:v>
                </c:pt>
                <c:pt idx="5">
                  <c:v>121.00367143956301</c:v>
                </c:pt>
                <c:pt idx="6">
                  <c:v>120.81420003668175</c:v>
                </c:pt>
                <c:pt idx="7">
                  <c:v>120.61008584700171</c:v>
                </c:pt>
                <c:pt idx="8">
                  <c:v>120.35161320160783</c:v>
                </c:pt>
                <c:pt idx="9">
                  <c:v>120.03261182686511</c:v>
                </c:pt>
                <c:pt idx="10">
                  <c:v>119.70953704926215</c:v>
                </c:pt>
                <c:pt idx="11">
                  <c:v>119.3986888170928</c:v>
                </c:pt>
                <c:pt idx="12">
                  <c:v>119.08569943912019</c:v>
                </c:pt>
                <c:pt idx="13">
                  <c:v>118.77114800901923</c:v>
                </c:pt>
                <c:pt idx="14">
                  <c:v>118.45550668442138</c:v>
                </c:pt>
                <c:pt idx="15">
                  <c:v>118.13916557912692</c:v>
                </c:pt>
                <c:pt idx="16">
                  <c:v>117.88061620286469</c:v>
                </c:pt>
                <c:pt idx="17">
                  <c:v>117.62249636303561</c:v>
                </c:pt>
                <c:pt idx="18">
                  <c:v>117.41204128017849</c:v>
                </c:pt>
                <c:pt idx="19">
                  <c:v>117.20841754115956</c:v>
                </c:pt>
                <c:pt idx="20">
                  <c:v>116.47628954179166</c:v>
                </c:pt>
                <c:pt idx="21">
                  <c:v>115.80174359361683</c:v>
                </c:pt>
                <c:pt idx="22">
                  <c:v>115.30743476838953</c:v>
                </c:pt>
                <c:pt idx="23">
                  <c:v>114.83272542880799</c:v>
                </c:pt>
                <c:pt idx="24">
                  <c:v>114.37271981867327</c:v>
                </c:pt>
                <c:pt idx="25">
                  <c:v>113.90010286414872</c:v>
                </c:pt>
                <c:pt idx="26">
                  <c:v>113.46449139495391</c:v>
                </c:pt>
                <c:pt idx="27">
                  <c:v>113.07070892126805</c:v>
                </c:pt>
                <c:pt idx="28">
                  <c:v>112.76311126085652</c:v>
                </c:pt>
                <c:pt idx="29">
                  <c:v>112.40803990056837</c:v>
                </c:pt>
                <c:pt idx="30">
                  <c:v>112.07998504925794</c:v>
                </c:pt>
                <c:pt idx="31">
                  <c:v>111.7771450351138</c:v>
                </c:pt>
                <c:pt idx="32">
                  <c:v>111.4979135908183</c:v>
                </c:pt>
                <c:pt idx="33">
                  <c:v>111.24085545974572</c:v>
                </c:pt>
                <c:pt idx="34">
                  <c:v>111.00468561659007</c:v>
                </c:pt>
                <c:pt idx="35">
                  <c:v>110.78825149481759</c:v>
                </c:pt>
                <c:pt idx="36">
                  <c:v>110.58948315518499</c:v>
                </c:pt>
                <c:pt idx="37">
                  <c:v>110.40852686627932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6720"/>
        <c:axId val="32528256"/>
      </c:lineChart>
      <c:catAx>
        <c:axId val="32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28256"/>
        <c:crosses val="autoZero"/>
        <c:auto val="1"/>
        <c:lblAlgn val="ctr"/>
        <c:lblOffset val="100"/>
        <c:noMultiLvlLbl val="0"/>
      </c:catAx>
      <c:valAx>
        <c:axId val="32528256"/>
        <c:scaling>
          <c:orientation val="minMax"/>
          <c:max val="25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2672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48</xdr:row>
      <xdr:rowOff>123825</xdr:rowOff>
    </xdr:from>
    <xdr:to>
      <xdr:col>14</xdr:col>
      <xdr:colOff>142875</xdr:colOff>
      <xdr:row>61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70</xdr:row>
      <xdr:rowOff>71437</xdr:rowOff>
    </xdr:from>
    <xdr:to>
      <xdr:col>8</xdr:col>
      <xdr:colOff>152400</xdr:colOff>
      <xdr:row>84</xdr:row>
      <xdr:rowOff>147637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1800225</xdr:colOff>
      <xdr:row>0</xdr:row>
      <xdr:rowOff>95250</xdr:rowOff>
    </xdr:from>
    <xdr:ext cx="8938986" cy="311496"/>
    <xdr:sp macro="" textlink="">
      <xdr:nvSpPr>
        <xdr:cNvPr id="3" name="ZoneTexte 2"/>
        <xdr:cNvSpPr txBox="1"/>
      </xdr:nvSpPr>
      <xdr:spPr>
        <a:xfrm>
          <a:off x="1800225" y="95250"/>
          <a:ext cx="8938986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"Chronique d'investissement" qui se trouve dans le dossier parent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95250</xdr:rowOff>
    </xdr:from>
    <xdr:ext cx="10334625" cy="1407308"/>
    <xdr:sp macro="" textlink="">
      <xdr:nvSpPr>
        <xdr:cNvPr id="3" name="ZoneTexte 2"/>
        <xdr:cNvSpPr txBox="1"/>
      </xdr:nvSpPr>
      <xdr:spPr>
        <a:xfrm>
          <a:off x="1828800" y="95250"/>
          <a:ext cx="10334625" cy="140730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bleutées.</a:t>
          </a:r>
        </a:p>
        <a:p>
          <a:endParaRPr lang="fr-FR" sz="1400" b="1" baseline="0">
            <a:solidFill>
              <a:srgbClr val="FF0000"/>
            </a:solidFill>
          </a:endParaRPr>
        </a:p>
        <a:p>
          <a:r>
            <a:rPr lang="fr-FR" sz="1400" b="1" baseline="0">
              <a:solidFill>
                <a:srgbClr val="FF0000"/>
              </a:solidFill>
            </a:rPr>
            <a:t>Pour les données de capacité, commencer par définir les années points de passage à partir du taux de pénétration EnR tel que calculé à l'onglet "Linéarisation mix" et répercuter les parcs installées correspondant tirés de l'onglet "capacités installées"</a:t>
          </a:r>
        </a:p>
        <a:p>
          <a:endParaRPr lang="fr-FR" sz="1400" b="1" baseline="0">
            <a:solidFill>
              <a:srgbClr val="FF0000"/>
            </a:solidFill>
          </a:endParaRPr>
        </a:p>
        <a:p>
          <a:r>
            <a:rPr lang="fr-FR" sz="1400" b="1" baseline="0">
              <a:solidFill>
                <a:srgbClr val="FF0000"/>
              </a:solidFill>
            </a:rPr>
            <a:t>Pour les données de coûts, utiliser les fichiers de calcul des coûts "chronique d'investissement" qui se trouvent dans le dossier parent.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25</xdr:row>
      <xdr:rowOff>38100</xdr:rowOff>
    </xdr:from>
    <xdr:ext cx="8343053" cy="311496"/>
    <xdr:sp macro="" textlink="">
      <xdr:nvSpPr>
        <xdr:cNvPr id="2" name="ZoneTexte 1"/>
        <xdr:cNvSpPr txBox="1"/>
      </xdr:nvSpPr>
      <xdr:spPr>
        <a:xfrm>
          <a:off x="838200" y="4800600"/>
          <a:ext cx="8343053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"Toutesvariantes" qui se trouve dans le dossier ressources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1</xdr:row>
      <xdr:rowOff>38100</xdr:rowOff>
    </xdr:from>
    <xdr:ext cx="6731330" cy="311496"/>
    <xdr:sp macro="" textlink="">
      <xdr:nvSpPr>
        <xdr:cNvPr id="2" name="ZoneTexte 1"/>
        <xdr:cNvSpPr txBox="1"/>
      </xdr:nvSpPr>
      <xdr:spPr>
        <a:xfrm>
          <a:off x="5391150" y="228600"/>
          <a:ext cx="6731330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scénario concerné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22</xdr:row>
      <xdr:rowOff>0</xdr:rowOff>
    </xdr:from>
    <xdr:ext cx="8033481" cy="311496"/>
    <xdr:sp macro="" textlink="">
      <xdr:nvSpPr>
        <xdr:cNvPr id="2" name="ZoneTexte 1"/>
        <xdr:cNvSpPr txBox="1"/>
      </xdr:nvSpPr>
      <xdr:spPr>
        <a:xfrm>
          <a:off x="2619375" y="4219575"/>
          <a:ext cx="8033481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fichier excel "Graphe d'étape 2030"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e.fr/documents/consultations-publiques/quatriemes-tarifs-d-utilisation-des-reseaux-publics-d-electricit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2"/>
  <sheetViews>
    <sheetView tabSelected="1" topLeftCell="U52" workbookViewId="0">
      <selection activeCell="B66" sqref="B66:AM66"/>
    </sheetView>
  </sheetViews>
  <sheetFormatPr baseColWidth="10" defaultRowHeight="15" x14ac:dyDescent="0.25"/>
  <cols>
    <col min="1" max="1" width="53.5703125" customWidth="1"/>
    <col min="3" max="3" width="12.7109375" bestFit="1" customWidth="1"/>
    <col min="39" max="39" width="12" bestFit="1" customWidth="1"/>
  </cols>
  <sheetData>
    <row r="1" spans="1:39" x14ac:dyDescent="0.25">
      <c r="A1" s="137" t="s">
        <v>244</v>
      </c>
    </row>
    <row r="2" spans="1:39" x14ac:dyDescent="0.25">
      <c r="A2" t="s">
        <v>206</v>
      </c>
    </row>
    <row r="4" spans="1:39" x14ac:dyDescent="0.25">
      <c r="A4" t="s">
        <v>207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</row>
    <row r="5" spans="1:39" x14ac:dyDescent="0.25">
      <c r="A5" t="s">
        <v>208</v>
      </c>
      <c r="B5" s="76">
        <f>'Coûts annuels réseaux et stocka'!E36</f>
        <v>0</v>
      </c>
      <c r="C5" s="76">
        <f>'Coûts annuels réseaux et stocka'!F36</f>
        <v>0</v>
      </c>
      <c r="D5" s="76">
        <f>'Coûts annuels réseaux et stocka'!G36</f>
        <v>0</v>
      </c>
      <c r="E5" s="76">
        <f>'Coûts annuels réseaux et stocka'!H36</f>
        <v>0</v>
      </c>
      <c r="F5" s="76">
        <f>'Coûts annuels réseaux et stocka'!I36</f>
        <v>0</v>
      </c>
      <c r="G5" s="76">
        <f>'Coûts annuels réseaux et stocka'!J36</f>
        <v>0</v>
      </c>
      <c r="H5" s="76">
        <f>'Coûts annuels réseaux et stocka'!K36</f>
        <v>0</v>
      </c>
      <c r="I5" s="76">
        <f>'Coûts annuels réseaux et stocka'!L36</f>
        <v>0</v>
      </c>
      <c r="J5" s="76">
        <f>'Coûts annuels réseaux et stocka'!M36</f>
        <v>0</v>
      </c>
      <c r="K5" s="76">
        <f>'Coûts annuels réseaux et stocka'!N36</f>
        <v>0</v>
      </c>
      <c r="L5" s="76">
        <f>'Coûts annuels réseaux et stocka'!O36</f>
        <v>0</v>
      </c>
      <c r="M5" s="76">
        <f>'Coûts annuels réseaux et stocka'!P36</f>
        <v>0</v>
      </c>
      <c r="N5" s="76">
        <f>'Coûts annuels réseaux et stocka'!Q36</f>
        <v>0</v>
      </c>
      <c r="O5" s="76">
        <f>'Coûts annuels réseaux et stocka'!R36</f>
        <v>0</v>
      </c>
      <c r="P5" s="76">
        <f>'Coûts annuels réseaux et stocka'!S36</f>
        <v>0</v>
      </c>
      <c r="Q5" s="76">
        <f>'Coûts annuels réseaux et stocka'!T36</f>
        <v>0</v>
      </c>
      <c r="R5" s="76">
        <f>'Coûts annuels réseaux et stocka'!U36</f>
        <v>0</v>
      </c>
      <c r="S5" s="76">
        <f>'Coûts annuels réseaux et stocka'!V36</f>
        <v>0</v>
      </c>
      <c r="T5" s="76">
        <f>'Coûts annuels réseaux et stocka'!W36</f>
        <v>0</v>
      </c>
      <c r="U5" s="76">
        <f>'Coûts annuels réseaux et stocka'!X36</f>
        <v>0</v>
      </c>
      <c r="V5" s="76">
        <f>'Coûts annuels réseaux et stocka'!Y36</f>
        <v>0</v>
      </c>
      <c r="W5" s="76">
        <f>'Coûts annuels réseaux et stocka'!Z36</f>
        <v>0</v>
      </c>
      <c r="X5" s="76">
        <f>'Coûts annuels réseaux et stocka'!AA36</f>
        <v>0</v>
      </c>
      <c r="Y5" s="76">
        <f>'Coûts annuels réseaux et stocka'!AB36</f>
        <v>0</v>
      </c>
      <c r="Z5" s="76">
        <f>'Coûts annuels réseaux et stocka'!AC36</f>
        <v>0</v>
      </c>
      <c r="AA5" s="76">
        <f>'Coûts annuels réseaux et stocka'!AD36</f>
        <v>0</v>
      </c>
      <c r="AB5" s="76">
        <f>'Coûts annuels réseaux et stocka'!AE36</f>
        <v>0</v>
      </c>
      <c r="AC5" s="76">
        <f>'Coûts annuels réseaux et stocka'!AF36</f>
        <v>0</v>
      </c>
      <c r="AD5" s="76">
        <f>'Coûts annuels réseaux et stocka'!AG36</f>
        <v>0</v>
      </c>
      <c r="AE5" s="76">
        <f>'Coûts annuels réseaux et stocka'!AH36</f>
        <v>0</v>
      </c>
      <c r="AF5" s="76">
        <f>'Coûts annuels réseaux et stocka'!AI36</f>
        <v>0</v>
      </c>
      <c r="AG5" s="76">
        <f>'Coûts annuels réseaux et stocka'!AJ36</f>
        <v>0</v>
      </c>
      <c r="AH5" s="76">
        <f>'Coûts annuels réseaux et stocka'!AK36</f>
        <v>0</v>
      </c>
      <c r="AI5" s="76">
        <f>'Coûts annuels réseaux et stocka'!AL36</f>
        <v>0</v>
      </c>
      <c r="AJ5" s="76">
        <f>'Coûts annuels réseaux et stocka'!AM36</f>
        <v>0</v>
      </c>
      <c r="AK5" s="76">
        <f>'Coûts annuels réseaux et stocka'!AN36</f>
        <v>0</v>
      </c>
      <c r="AL5" s="76">
        <f>'Coûts annuels réseaux et stocka'!AO36</f>
        <v>0</v>
      </c>
      <c r="AM5" s="76">
        <v>0</v>
      </c>
    </row>
    <row r="6" spans="1:39" x14ac:dyDescent="0.25">
      <c r="A6" t="s">
        <v>209</v>
      </c>
      <c r="B6" s="76">
        <f>'Coûts annuel génération élec'!E9+'Coûts annuel génération élec'!E13</f>
        <v>918.49647896647275</v>
      </c>
      <c r="C6" s="76">
        <f>'Coûts annuel génération élec'!F9+'Coûts annuel génération élec'!F13</f>
        <v>1178.1067492174675</v>
      </c>
      <c r="D6" s="76">
        <f>'Coûts annuel génération élec'!G9+'Coûts annuel génération élec'!G13</f>
        <v>1437.7500377458828</v>
      </c>
      <c r="E6" s="76">
        <f>'Coûts annuel génération élec'!H9+'Coûts annuel génération élec'!H13</f>
        <v>1695.1301033543032</v>
      </c>
      <c r="F6" s="76">
        <f>'Coûts annuel génération élec'!I9+'Coûts annuel génération élec'!I13</f>
        <v>1950.2469460427283</v>
      </c>
      <c r="G6" s="76">
        <f>'Coûts annuel génération élec'!J9+'Coûts annuel génération élec'!J13</f>
        <v>2257.0559886764445</v>
      </c>
      <c r="H6" s="76">
        <f>'Coûts annuel génération élec'!K9+'Coûts annuel génération élec'!K13</f>
        <v>2560.2973915736425</v>
      </c>
      <c r="I6" s="76">
        <f>'Coûts annuel génération élec'!L9+'Coûts annuel génération élec'!L13</f>
        <v>2859.9711547343222</v>
      </c>
      <c r="J6" s="76">
        <f>'Coûts annuel génération élec'!M9+'Coûts annuel génération élec'!M13</f>
        <v>3156.0772781584824</v>
      </c>
      <c r="K6" s="76">
        <f>'Coûts annuel génération élec'!N9+'Coûts annuel génération élec'!N13</f>
        <v>3448.6157618461239</v>
      </c>
      <c r="L6" s="76">
        <f>'Coûts annuel génération élec'!O9+'Coûts annuel génération élec'!O13</f>
        <v>3737.5866057972466</v>
      </c>
      <c r="M6" s="76">
        <f>'Coûts annuel génération élec'!P9+'Coûts annuel génération élec'!P13</f>
        <v>4004.5382412253939</v>
      </c>
      <c r="N6" s="76">
        <f>'Coûts annuel génération élec'!Q9+'Coûts annuel génération élec'!Q13</f>
        <v>4268.4440036436308</v>
      </c>
      <c r="O6" s="76">
        <f>'Coûts annuel génération élec'!R9+'Coûts annuel génération élec'!R13</f>
        <v>4529.3038930519588</v>
      </c>
      <c r="P6" s="76">
        <f>'Coûts annuel génération élec'!S9+'Coûts annuel génération élec'!S13</f>
        <v>4787.1179094503777</v>
      </c>
      <c r="Q6" s="76">
        <f>'Coûts annuel génération élec'!T9+'Coûts annuel génération élec'!T13</f>
        <v>5041.886052838885</v>
      </c>
      <c r="R6" s="76">
        <f>'Coûts annuel génération élec'!U9+'Coûts annuel génération élec'!U13</f>
        <v>5293.608323217486</v>
      </c>
      <c r="S6" s="76">
        <f>'Coûts annuel génération élec'!V9+'Coûts annuel génération élec'!V13</f>
        <v>5542.2847205861772</v>
      </c>
      <c r="T6" s="76">
        <f>'Coûts annuel génération élec'!W9+'Coûts annuel génération élec'!W13</f>
        <v>5789.8178156930253</v>
      </c>
      <c r="U6" s="76">
        <f>'Coûts annuel génération élec'!X9+'Coûts annuel génération élec'!X13</f>
        <v>6036.2076085380304</v>
      </c>
      <c r="V6" s="76">
        <f>'Coûts annuel génération élec'!Y9+'Coûts annuel génération élec'!Y13</f>
        <v>6237.825516370287</v>
      </c>
      <c r="W6" s="76">
        <f>'Coûts annuel génération élec'!Z9+'Coûts annuel génération élec'!Z13</f>
        <v>6445.888081103175</v>
      </c>
      <c r="X6" s="76">
        <f>'Coûts annuel génération élec'!AA9+'Coûts annuel génération élec'!AA13</f>
        <v>6654.2522118280576</v>
      </c>
      <c r="Y6" s="76">
        <f>'Coûts annuel génération élec'!AB9+'Coûts annuel génération élec'!AB13</f>
        <v>6862.9179085449323</v>
      </c>
      <c r="Z6" s="76">
        <f>'Coûts annuel génération élec'!AC9+'Coûts annuel génération élec'!AC13</f>
        <v>7071.8851712538026</v>
      </c>
      <c r="AA6" s="76">
        <f>'Coûts annuel génération élec'!AD9+'Coûts annuel génération élec'!AD13</f>
        <v>7263.0818978784664</v>
      </c>
      <c r="AB6" s="76">
        <f>'Coûts annuel génération élec'!AE9+'Coûts annuel génération élec'!AE13</f>
        <v>7455.5822197769112</v>
      </c>
      <c r="AC6" s="76">
        <f>'Coûts annuel génération élec'!AF9+'Coûts annuel génération élec'!AF13</f>
        <v>7649.3861369491287</v>
      </c>
      <c r="AD6" s="76">
        <f>'Coûts annuel génération élec'!AG9+'Coûts annuel génération élec'!AG13</f>
        <v>7844.4936493951263</v>
      </c>
      <c r="AE6" s="76">
        <f>'Coûts annuel génération élec'!AH9+'Coûts annuel génération élec'!AH13</f>
        <v>8040.9047571149003</v>
      </c>
      <c r="AF6" s="76">
        <f>'Coûts annuel génération élec'!AI9+'Coûts annuel génération élec'!AI13</f>
        <v>8238.6194601084517</v>
      </c>
      <c r="AG6" s="76">
        <f>'Coûts annuel génération élec'!AJ9+'Coûts annuel génération élec'!AJ13</f>
        <v>8442.4617289299767</v>
      </c>
      <c r="AH6" s="76">
        <f>'Coûts annuel génération élec'!AK9+'Coûts annuel génération élec'!AK13</f>
        <v>8647.2067813125668</v>
      </c>
      <c r="AI6" s="76">
        <f>'Coûts annuel génération élec'!AL9+'Coûts annuel génération élec'!AL13</f>
        <v>8852.8546172562201</v>
      </c>
      <c r="AJ6" s="76">
        <f>'Coûts annuel génération élec'!AM9+'Coûts annuel génération élec'!AM13</f>
        <v>9059.4052367609384</v>
      </c>
      <c r="AK6" s="76">
        <f>'Coûts annuel génération élec'!AN9+'Coûts annuel génération élec'!AN13</f>
        <v>9266.858639826718</v>
      </c>
      <c r="AL6" s="76">
        <f>'Coûts annuel génération élec'!AO9+'Coûts annuel génération élec'!AO13</f>
        <v>9475.2148264535645</v>
      </c>
      <c r="AM6" s="76">
        <f>'Coûts annuel génération élec'!AP9+'Coûts annuel génération élec'!AP13</f>
        <v>9684.4737966414723</v>
      </c>
    </row>
    <row r="7" spans="1:39" x14ac:dyDescent="0.25">
      <c r="A7" t="s">
        <v>210</v>
      </c>
      <c r="B7" s="76">
        <f>'Coûts annuel génération élec'!E18</f>
        <v>687.00607651996245</v>
      </c>
      <c r="C7" s="76">
        <f>'Coûts annuel génération élec'!F18</f>
        <v>881.13728249583426</v>
      </c>
      <c r="D7" s="76">
        <f>'Coûts annuel génération élec'!G18</f>
        <v>1070.6478818823048</v>
      </c>
      <c r="E7" s="76">
        <f>'Coûts annuel génération élec'!H18</f>
        <v>1255.5378746793735</v>
      </c>
      <c r="F7" s="76">
        <f>'Coûts annuel génération élec'!I18</f>
        <v>1435.8072608870409</v>
      </c>
      <c r="G7" s="76">
        <f>'Coûts annuel génération élec'!J18</f>
        <v>1611.4560405053066</v>
      </c>
      <c r="H7" s="76">
        <f>'Coûts annuel génération élec'!K18</f>
        <v>1782.484213534171</v>
      </c>
      <c r="I7" s="76">
        <f>'Coûts annuel génération élec'!L18</f>
        <v>1948.8917799736337</v>
      </c>
      <c r="J7" s="76">
        <f>'Coûts annuel génération élec'!M18</f>
        <v>2110.6787398236952</v>
      </c>
      <c r="K7" s="76">
        <f>'Coûts annuel génération élec'!N18</f>
        <v>2267.8450930843555</v>
      </c>
      <c r="L7" s="76">
        <f>'Coûts annuel génération élec'!O18</f>
        <v>2420.3908397556133</v>
      </c>
      <c r="M7" s="76">
        <f>'Coûts annuel génération élec'!P18</f>
        <v>2568.3159798374704</v>
      </c>
      <c r="N7" s="76">
        <f>'Coûts annuel génération élec'!Q18</f>
        <v>2711.6205133299259</v>
      </c>
      <c r="O7" s="76">
        <f>'Coûts annuel génération élec'!R18</f>
        <v>2850.3044402329806</v>
      </c>
      <c r="P7" s="76">
        <f>'Coûts annuel génération élec'!S18</f>
        <v>2984.3677605466332</v>
      </c>
      <c r="Q7" s="76">
        <f>'Coûts annuel génération élec'!T18</f>
        <v>3113.8104742708842</v>
      </c>
      <c r="R7" s="76">
        <f>'Coûts annuel génération élec'!U18</f>
        <v>3238.6325814057345</v>
      </c>
      <c r="S7" s="76">
        <f>'Coûts annuel génération élec'!V18</f>
        <v>3358.8340819511836</v>
      </c>
      <c r="T7" s="76">
        <f>'Coûts annuel génération élec'!W18</f>
        <v>3476.1821032200246</v>
      </c>
      <c r="U7" s="76">
        <f>'Coûts annuel génération élec'!X18</f>
        <v>3590.6766452122597</v>
      </c>
      <c r="V7" s="76">
        <f>'Coûts annuel génération élec'!Y18</f>
        <v>3702.3177079278862</v>
      </c>
      <c r="W7" s="76">
        <f>'Coûts annuel génération élec'!Z18</f>
        <v>3811.1052913669064</v>
      </c>
      <c r="X7" s="76">
        <f>'Coûts annuel génération élec'!AA18</f>
        <v>3917.0393955293184</v>
      </c>
      <c r="Y7" s="76">
        <f>'Coûts annuel génération élec'!AB18</f>
        <v>4020.1200204151228</v>
      </c>
      <c r="Z7" s="76">
        <f>'Coûts annuel génération élec'!AC18</f>
        <v>4120.3471660243194</v>
      </c>
      <c r="AA7" s="76">
        <f>'Coûts annuel génération élec'!AD18</f>
        <v>4217.7208323569093</v>
      </c>
      <c r="AB7" s="76">
        <f>'Coûts annuel génération élec'!AE18</f>
        <v>4225.2909401449524</v>
      </c>
      <c r="AC7" s="76">
        <f>'Coûts annuel génération élec'!AF18</f>
        <v>4232.1213060190858</v>
      </c>
      <c r="AD7" s="76">
        <f>'Coûts annuel génération élec'!AG18</f>
        <v>4238.2119299793076</v>
      </c>
      <c r="AE7" s="76">
        <f>'Coûts annuel génération élec'!AH18</f>
        <v>4243.5628120256197</v>
      </c>
      <c r="AF7" s="76">
        <f>'Coûts annuel génération élec'!AI18</f>
        <v>4248.1739521580221</v>
      </c>
      <c r="AG7" s="76">
        <f>'Coûts annuel génération élec'!AJ18</f>
        <v>4252.0453503765139</v>
      </c>
      <c r="AH7" s="76">
        <f>'Coûts annuel génération élec'!AK18</f>
        <v>4255.177006681095</v>
      </c>
      <c r="AI7" s="76">
        <f>'Coûts annuel génération élec'!AL18</f>
        <v>4257.5689210717655</v>
      </c>
      <c r="AJ7" s="76">
        <f>'Coûts annuel génération élec'!AM18</f>
        <v>4259.2210935485264</v>
      </c>
      <c r="AK7" s="76">
        <f>'Coûts annuel génération élec'!AN18</f>
        <v>4260.1335241113766</v>
      </c>
      <c r="AL7" s="76">
        <f>'Coûts annuel génération élec'!AO18</f>
        <v>4260.3062127603162</v>
      </c>
      <c r="AM7" s="76">
        <f>'Coûts annuel génération élec'!AP18</f>
        <v>4259.7391594953442</v>
      </c>
    </row>
    <row r="8" spans="1:39" x14ac:dyDescent="0.25">
      <c r="A8" t="s">
        <v>211</v>
      </c>
      <c r="B8" s="76">
        <f>'Coûts annuel génération élec'!E39+'Coûts annuel génération élec'!E50</f>
        <v>4126.4123217430279</v>
      </c>
      <c r="C8" s="76">
        <f>'Coûts annuel génération élec'!F39+'Coûts annuel génération élec'!F50</f>
        <v>4114.2334578490863</v>
      </c>
      <c r="D8" s="76">
        <f>'Coûts annuel génération élec'!G39+'Coûts annuel génération élec'!G50</f>
        <v>4101.3232246819371</v>
      </c>
      <c r="E8" s="76">
        <f>'Coûts annuel génération élec'!H39+'Coûts annuel génération élec'!H50</f>
        <v>4087.6816222415769</v>
      </c>
      <c r="F8" s="76">
        <f>'Coûts annuel génération élec'!I39+'Coûts annuel génération élec'!I50</f>
        <v>4073.3086505280062</v>
      </c>
      <c r="G8" s="76">
        <f>'Coûts annuel génération élec'!J39+'Coûts annuel génération élec'!J50</f>
        <v>4058.2043095412278</v>
      </c>
      <c r="H8" s="76">
        <f>'Coûts annuel génération élec'!K39+'Coûts annuel génération élec'!K50</f>
        <v>4042.3685992812384</v>
      </c>
      <c r="I8" s="76">
        <f>'Coûts annuel génération élec'!L39+'Coûts annuel génération élec'!L50</f>
        <v>4025.801519748039</v>
      </c>
      <c r="J8" s="76">
        <f>'Coûts annuel génération élec'!M39+'Coûts annuel génération élec'!M50</f>
        <v>4008.5030709416314</v>
      </c>
      <c r="K8" s="76">
        <f>'Coûts annuel génération élec'!N39+'Coûts annuel génération élec'!N50</f>
        <v>3990.4732528620134</v>
      </c>
      <c r="L8" s="76">
        <f>'Coûts annuel génération élec'!O39+'Coûts annuel génération élec'!O50</f>
        <v>3971.7120655091853</v>
      </c>
      <c r="M8" s="76">
        <f>'Coûts annuel génération élec'!P39+'Coûts annuel génération élec'!P50</f>
        <v>3952.2195088831486</v>
      </c>
      <c r="N8" s="76">
        <f>'Coûts annuel génération élec'!Q39+'Coûts annuel génération élec'!Q50</f>
        <v>3931.9955829839023</v>
      </c>
      <c r="O8" s="76">
        <f>'Coûts annuel génération élec'!R39+'Coûts annuel génération élec'!R50</f>
        <v>3911.0402878114469</v>
      </c>
      <c r="P8" s="76">
        <f>'Coûts annuel génération élec'!S39+'Coûts annuel génération élec'!S50</f>
        <v>3889.353623365781</v>
      </c>
      <c r="Q8" s="76">
        <f>'Coûts annuel génération élec'!T39+'Coûts annuel génération élec'!T50</f>
        <v>3866.935589646906</v>
      </c>
      <c r="R8" s="76">
        <f>'Coûts annuel génération élec'!U39+'Coûts annuel génération élec'!U50</f>
        <v>3843.7861866548224</v>
      </c>
      <c r="S8" s="76">
        <f>'Coûts annuel génération élec'!V39+'Coûts annuel génération élec'!V50</f>
        <v>3819.9054143895296</v>
      </c>
      <c r="T8" s="76">
        <f>'Coûts annuel génération élec'!W39+'Coûts annuel génération élec'!W50</f>
        <v>3796.0246421242359</v>
      </c>
      <c r="U8" s="76">
        <f>'Coûts annuel génération élec'!X39+'Coûts annuel génération élec'!X50</f>
        <v>3772.1438698589427</v>
      </c>
      <c r="V8" s="76">
        <f>'Coûts annuel génération élec'!Y39+'Coûts annuel génération élec'!Y50</f>
        <v>3748.2630975936472</v>
      </c>
      <c r="W8" s="76">
        <f>'Coûts annuel génération élec'!Z39+'Coûts annuel génération élec'!Z50</f>
        <v>3724.3823253283522</v>
      </c>
      <c r="X8" s="76">
        <f>'Coûts annuel génération élec'!AA39+'Coûts annuel génération élec'!AA50</f>
        <v>3700.5015530630562</v>
      </c>
      <c r="Y8" s="76">
        <f>'Coûts annuel génération élec'!AB39+'Coûts annuel génération élec'!AB50</f>
        <v>3676.6207807977589</v>
      </c>
      <c r="Z8" s="76">
        <f>'Coûts annuel génération élec'!AC39+'Coûts annuel génération élec'!AC50</f>
        <v>3652.740008532463</v>
      </c>
      <c r="AA8" s="76">
        <f>'Coûts annuel génération élec'!AD39+'Coûts annuel génération élec'!AD50</f>
        <v>3628.8592362671652</v>
      </c>
      <c r="AB8" s="76">
        <f>'Coûts annuel génération élec'!AE39+'Coûts annuel génération élec'!AE50</f>
        <v>3604.9784640018675</v>
      </c>
      <c r="AC8" s="76">
        <f>'Coûts annuel génération élec'!AF39+'Coûts annuel génération élec'!AF50</f>
        <v>3581.0976917365692</v>
      </c>
      <c r="AD8" s="76">
        <f>'Coûts annuel génération élec'!AG39+'Coûts annuel génération élec'!AG50</f>
        <v>3557.216919471271</v>
      </c>
      <c r="AE8" s="76">
        <f>'Coûts annuel génération élec'!AH39+'Coûts annuel génération élec'!AH50</f>
        <v>3533.3361472059737</v>
      </c>
      <c r="AF8" s="76">
        <f>'Coûts annuel génération élec'!AI39+'Coûts annuel génération élec'!AI50</f>
        <v>3509.4553749406755</v>
      </c>
      <c r="AG8" s="76">
        <f>'Coûts annuel génération élec'!AJ39+'Coûts annuel génération élec'!AJ50</f>
        <v>3487.3924157646134</v>
      </c>
      <c r="AH8" s="76">
        <f>'Coûts annuel génération élec'!AK39+'Coûts annuel génération élec'!AK50</f>
        <v>3470.0372145266369</v>
      </c>
      <c r="AI8" s="76">
        <f>'Coûts annuel génération élec'!AL39+'Coûts annuel génération élec'!AL50</f>
        <v>3453.4133825618696</v>
      </c>
      <c r="AJ8" s="76">
        <f>'Coûts annuel génération élec'!AM39+'Coûts annuel génération élec'!AM50</f>
        <v>3437.5209198703119</v>
      </c>
      <c r="AK8" s="76">
        <f>'Coûts annuel génération élec'!AN39+'Coûts annuel génération élec'!AN50</f>
        <v>3422.3598264519633</v>
      </c>
      <c r="AL8" s="76">
        <f>'Coûts annuel génération élec'!AO39+'Coûts annuel génération élec'!AO50</f>
        <v>3407.9301023068228</v>
      </c>
      <c r="AM8" s="76">
        <f>'Coûts annuel génération élec'!AP39+'Coûts annuel génération élec'!AP50</f>
        <v>3394.231747434892</v>
      </c>
    </row>
    <row r="9" spans="1:39" x14ac:dyDescent="0.25">
      <c r="A9" t="s">
        <v>212</v>
      </c>
      <c r="B9" s="76">
        <f>'Coûts annuel génération élec'!E24+'Coûts annuel génération élec'!E29+'Coûts annuel génération élec'!E33+'Coûts annuel génération élec'!E45</f>
        <v>338.58571033654124</v>
      </c>
      <c r="C9" s="76">
        <f>'Coûts annuel génération élec'!F24+'Coûts annuel génération élec'!F29+'Coûts annuel génération élec'!F33+'Coûts annuel génération élec'!F45</f>
        <v>384.40534202777627</v>
      </c>
      <c r="D9" s="76">
        <f>'Coûts annuel génération élec'!G24+'Coûts annuel génération élec'!G29+'Coûts annuel génération élec'!G33+'Coûts annuel génération élec'!G45</f>
        <v>430.09973355862911</v>
      </c>
      <c r="E9" s="76">
        <f>'Coûts annuel génération élec'!H24+'Coûts annuel génération élec'!H29+'Coûts annuel génération élec'!H33+'Coûts annuel génération élec'!H45</f>
        <v>475.26571106501865</v>
      </c>
      <c r="F9" s="76">
        <f>'Coûts annuel génération élec'!I24+'Coûts annuel génération élec'!I29+'Coûts annuel génération élec'!I33+'Coûts annuel génération élec'!I45</f>
        <v>519.903274546945</v>
      </c>
      <c r="G9" s="76">
        <f>'Coûts annuel génération élec'!J24+'Coûts annuel génération élec'!J29+'Coûts annuel génération élec'!J33+'Coûts annuel génération élec'!J45</f>
        <v>564.01242400440822</v>
      </c>
      <c r="H9" s="76">
        <f>'Coûts annuel génération élec'!K24+'Coûts annuel génération élec'!K29+'Coûts annuel génération élec'!K33+'Coûts annuel génération élec'!K45</f>
        <v>607.59315943740796</v>
      </c>
      <c r="I9" s="76">
        <f>'Coûts annuel génération élec'!L24+'Coûts annuel génération élec'!L29+'Coûts annuel génération élec'!L33+'Coûts annuel génération élec'!L45</f>
        <v>650.64548084594469</v>
      </c>
      <c r="J9" s="76">
        <f>'Coûts annuel génération élec'!M24+'Coûts annuel génération élec'!M29+'Coûts annuel génération élec'!M33+'Coûts annuel génération élec'!M45</f>
        <v>693.16938823001817</v>
      </c>
      <c r="K9" s="76">
        <f>'Coûts annuel génération élec'!N24+'Coûts annuel génération élec'!N29+'Coûts annuel génération élec'!N33+'Coûts annuel génération élec'!N45</f>
        <v>735.16488158962829</v>
      </c>
      <c r="L9" s="76">
        <f>'Coûts annuel génération élec'!O24+'Coûts annuel génération élec'!O29+'Coûts annuel génération élec'!O33+'Coûts annuel génération élec'!O45</f>
        <v>776.63196092477517</v>
      </c>
      <c r="M9" s="76">
        <f>'Coûts annuel génération élec'!P24+'Coûts annuel génération élec'!P29+'Coûts annuel génération élec'!P33+'Coûts annuel génération élec'!P45</f>
        <v>817.57062623545903</v>
      </c>
      <c r="N9" s="76">
        <f>'Coûts annuel génération élec'!Q24+'Coûts annuel génération élec'!Q29+'Coûts annuel génération élec'!Q33+'Coûts annuel génération élec'!Q45</f>
        <v>857.98087752167953</v>
      </c>
      <c r="O9" s="76">
        <f>'Coûts annuel génération élec'!R24+'Coûts annuel génération élec'!R29+'Coûts annuel génération élec'!R33+'Coûts annuel génération élec'!R45</f>
        <v>897.8627147834369</v>
      </c>
      <c r="P9" s="76">
        <f>'Coûts annuel génération élec'!S24+'Coûts annuel génération élec'!S29+'Coûts annuel génération élec'!S33+'Coûts annuel génération élec'!S45</f>
        <v>937.21613802073068</v>
      </c>
      <c r="Q9" s="76">
        <f>'Coûts annuel génération élec'!T24+'Coûts annuel génération élec'!T29+'Coûts annuel génération élec'!T33+'Coûts annuel génération élec'!T45</f>
        <v>976.04114723356156</v>
      </c>
      <c r="R9" s="76">
        <f>'Coûts annuel génération élec'!U24+'Coûts annuel génération élec'!U29+'Coûts annuel génération élec'!U33+'Coûts annuel génération élec'!U45</f>
        <v>1014.3377424219291</v>
      </c>
      <c r="S9" s="76">
        <f>'Coûts annuel génération élec'!V24+'Coûts annuel génération élec'!V29+'Coûts annuel génération élec'!V33+'Coûts annuel génération élec'!V45</f>
        <v>1052.1059235858334</v>
      </c>
      <c r="T9" s="76">
        <f>'Coûts annuel génération élec'!W24+'Coûts annuel génération élec'!W29+'Coûts annuel génération élec'!W33+'Coûts annuel génération élec'!W45</f>
        <v>1089.4249528289436</v>
      </c>
      <c r="U9" s="76">
        <f>'Coûts annuel génération élec'!X24+'Coûts annuel génération élec'!X29+'Coûts annuel génération élec'!X33+'Coûts annuel génération élec'!X45</f>
        <v>1126.2948301512602</v>
      </c>
      <c r="V9" s="76">
        <f>'Coûts annuel génération élec'!Y24+'Coûts annuel génération élec'!Y29+'Coûts annuel génération élec'!Y33+'Coûts annuel génération élec'!Y45</f>
        <v>1155.0552521352463</v>
      </c>
      <c r="W9" s="76">
        <f>'Coûts annuel génération élec'!Z24+'Coûts annuel génération élec'!Z29+'Coûts annuel génération élec'!Z33+'Coûts annuel génération élec'!Z45</f>
        <v>1183.5872655595599</v>
      </c>
      <c r="X9" s="76">
        <f>'Coûts annuel génération élec'!AA24+'Coûts annuel génération élec'!AA29+'Coûts annuel génération élec'!AA33+'Coûts annuel génération élec'!AA45</f>
        <v>1211.8833410785094</v>
      </c>
      <c r="Y9" s="76">
        <f>'Coûts annuel génération élec'!AB24+'Coûts annuel génération élec'!AB29+'Coûts annuel génération élec'!AB33+'Coûts annuel génération élec'!AB45</f>
        <v>1239.9434786920951</v>
      </c>
      <c r="Z9" s="76">
        <f>'Coûts annuel génération élec'!AC24+'Coûts annuel génération élec'!AC29+'Coûts annuel génération élec'!AC33+'Coûts annuel génération élec'!AC45</f>
        <v>1267.7676784003174</v>
      </c>
      <c r="AA9" s="76">
        <f>'Coûts annuel génération élec'!AD24+'Coûts annuel génération élec'!AD29+'Coûts annuel génération élec'!AD33+'Coûts annuel génération élec'!AD45</f>
        <v>1295.3559402031754</v>
      </c>
      <c r="AB9" s="76">
        <f>'Coûts annuel génération élec'!AE24+'Coûts annuel génération élec'!AE29+'Coûts annuel génération élec'!AE33+'Coûts annuel génération élec'!AE45</f>
        <v>1322.7082641006696</v>
      </c>
      <c r="AC9" s="76">
        <f>'Coûts annuel génération élec'!AF24+'Coûts annuel génération élec'!AF29+'Coûts annuel génération élec'!AF33+'Coûts annuel génération élec'!AF45</f>
        <v>1349.8246500927999</v>
      </c>
      <c r="AD9" s="76">
        <f>'Coûts annuel génération élec'!AG24+'Coûts annuel génération élec'!AG29+'Coûts annuel génération élec'!AG33+'Coûts annuel génération élec'!AG45</f>
        <v>1376.7050981795664</v>
      </c>
      <c r="AE9" s="76">
        <f>'Coûts annuel génération élec'!AH24+'Coûts annuel génération élec'!AH29+'Coûts annuel génération élec'!AH33+'Coûts annuel génération élec'!AH45</f>
        <v>1403.3496083609691</v>
      </c>
      <c r="AF9" s="76">
        <f>'Coûts annuel génération élec'!AI24+'Coûts annuel génération élec'!AI29+'Coûts annuel génération élec'!AI33+'Coûts annuel génération élec'!AI45</f>
        <v>1429.7581806370076</v>
      </c>
      <c r="AG9" s="76">
        <f>'Coûts annuel génération élec'!AJ24+'Coûts annuel génération élec'!AJ29+'Coûts annuel génération élec'!AJ33+'Coûts annuel génération élec'!AJ45</f>
        <v>1455.9308150076827</v>
      </c>
      <c r="AH9" s="76">
        <f>'Coûts annuel génération élec'!AK24+'Coûts annuel génération élec'!AK29+'Coûts annuel génération élec'!AK33+'Coûts annuel génération élec'!AK45</f>
        <v>1481.8675114729936</v>
      </c>
      <c r="AI9" s="76">
        <f>'Coûts annuel génération élec'!AL24+'Coûts annuel génération élec'!AL29+'Coûts annuel génération élec'!AL33+'Coûts annuel génération élec'!AL45</f>
        <v>1507.5682700329407</v>
      </c>
      <c r="AJ9" s="76">
        <f>'Coûts annuel génération élec'!AM24+'Coûts annuel génération élec'!AM29+'Coûts annuel génération élec'!AM33+'Coûts annuel génération élec'!AM45</f>
        <v>1533.0330906875238</v>
      </c>
      <c r="AK9" s="76">
        <f>'Coûts annuel génération élec'!AN24+'Coûts annuel génération élec'!AN29+'Coûts annuel génération élec'!AN33+'Coûts annuel génération élec'!AN45</f>
        <v>1558.2619734367429</v>
      </c>
      <c r="AL9" s="76">
        <f>'Coûts annuel génération élec'!AO24+'Coûts annuel génération élec'!AO29+'Coûts annuel génération élec'!AO33+'Coûts annuel génération élec'!AO45</f>
        <v>1583.2549182805985</v>
      </c>
      <c r="AM9" s="76">
        <f>'Coûts annuel génération élec'!AP24+'Coûts annuel génération élec'!AP29+'Coûts annuel génération élec'!AP33+'Coûts annuel génération élec'!AP45</f>
        <v>1608.01192521909</v>
      </c>
    </row>
    <row r="10" spans="1:39" x14ac:dyDescent="0.25">
      <c r="A10" t="s">
        <v>213</v>
      </c>
      <c r="B10" s="76">
        <f>SUM(B5:B9)</f>
        <v>6070.5005875660045</v>
      </c>
      <c r="C10" s="76">
        <f t="shared" ref="C10:AM10" si="0">SUM(C5:C9)</f>
        <v>6557.8828315901646</v>
      </c>
      <c r="D10" s="76">
        <f t="shared" si="0"/>
        <v>7039.8208778687531</v>
      </c>
      <c r="E10" s="76">
        <f t="shared" si="0"/>
        <v>7513.6153113402725</v>
      </c>
      <c r="F10" s="76">
        <f t="shared" si="0"/>
        <v>7979.26613200472</v>
      </c>
      <c r="G10" s="76">
        <f t="shared" si="0"/>
        <v>8490.7287627273872</v>
      </c>
      <c r="H10" s="76">
        <f t="shared" si="0"/>
        <v>8992.7433638264611</v>
      </c>
      <c r="I10" s="76">
        <f t="shared" si="0"/>
        <v>9485.3099353019388</v>
      </c>
      <c r="J10" s="76">
        <f t="shared" si="0"/>
        <v>9968.4284771538278</v>
      </c>
      <c r="K10" s="76">
        <f t="shared" si="0"/>
        <v>10442.098989382121</v>
      </c>
      <c r="L10" s="76">
        <f t="shared" si="0"/>
        <v>10906.321471986821</v>
      </c>
      <c r="M10" s="76">
        <f t="shared" si="0"/>
        <v>11342.644356181472</v>
      </c>
      <c r="N10" s="76">
        <f t="shared" si="0"/>
        <v>11770.040977479137</v>
      </c>
      <c r="O10" s="76">
        <f t="shared" si="0"/>
        <v>12188.511335879824</v>
      </c>
      <c r="P10" s="76">
        <f t="shared" si="0"/>
        <v>12598.055431383524</v>
      </c>
      <c r="Q10" s="76">
        <f t="shared" si="0"/>
        <v>12998.673263990237</v>
      </c>
      <c r="R10" s="76">
        <f t="shared" si="0"/>
        <v>13390.364833699972</v>
      </c>
      <c r="S10" s="76">
        <f t="shared" si="0"/>
        <v>13773.130140512725</v>
      </c>
      <c r="T10" s="76">
        <f t="shared" si="0"/>
        <v>14151.44951386623</v>
      </c>
      <c r="U10" s="76">
        <f t="shared" si="0"/>
        <v>14525.322953760493</v>
      </c>
      <c r="V10" s="76">
        <f t="shared" si="0"/>
        <v>14843.461574027066</v>
      </c>
      <c r="W10" s="76">
        <f t="shared" si="0"/>
        <v>15164.962963357993</v>
      </c>
      <c r="X10" s="76">
        <f t="shared" si="0"/>
        <v>15483.676501498941</v>
      </c>
      <c r="Y10" s="76">
        <f t="shared" si="0"/>
        <v>15799.60218844991</v>
      </c>
      <c r="Z10" s="76">
        <f t="shared" si="0"/>
        <v>16112.740024210902</v>
      </c>
      <c r="AA10" s="76">
        <f t="shared" si="0"/>
        <v>16405.017906705718</v>
      </c>
      <c r="AB10" s="76">
        <f t="shared" si="0"/>
        <v>16608.5598880244</v>
      </c>
      <c r="AC10" s="76">
        <f t="shared" si="0"/>
        <v>16812.429784797583</v>
      </c>
      <c r="AD10" s="76">
        <f t="shared" si="0"/>
        <v>17016.627597025272</v>
      </c>
      <c r="AE10" s="76">
        <f t="shared" si="0"/>
        <v>17221.153324707462</v>
      </c>
      <c r="AF10" s="76">
        <f t="shared" si="0"/>
        <v>17426.006967844158</v>
      </c>
      <c r="AG10" s="76">
        <f t="shared" si="0"/>
        <v>17637.830310078789</v>
      </c>
      <c r="AH10" s="76">
        <f t="shared" si="0"/>
        <v>17854.288513993291</v>
      </c>
      <c r="AI10" s="76">
        <f t="shared" si="0"/>
        <v>18071.405190922796</v>
      </c>
      <c r="AJ10" s="76">
        <f t="shared" si="0"/>
        <v>18289.1803408673</v>
      </c>
      <c r="AK10" s="76">
        <f t="shared" si="0"/>
        <v>18507.613963826803</v>
      </c>
      <c r="AL10" s="76">
        <f t="shared" si="0"/>
        <v>18726.706059801301</v>
      </c>
      <c r="AM10" s="76">
        <f t="shared" si="0"/>
        <v>18946.456628790798</v>
      </c>
    </row>
    <row r="12" spans="1:39" x14ac:dyDescent="0.25">
      <c r="A12" t="s">
        <v>214</v>
      </c>
      <c r="B12">
        <f>B4</f>
        <v>2013</v>
      </c>
      <c r="C12">
        <f t="shared" ref="C12:AM12" si="1">C4</f>
        <v>2014</v>
      </c>
      <c r="D12">
        <f t="shared" si="1"/>
        <v>2015</v>
      </c>
      <c r="E12">
        <f t="shared" si="1"/>
        <v>2016</v>
      </c>
      <c r="F12">
        <f t="shared" si="1"/>
        <v>2017</v>
      </c>
      <c r="G12">
        <f t="shared" si="1"/>
        <v>2018</v>
      </c>
      <c r="H12">
        <f t="shared" si="1"/>
        <v>2019</v>
      </c>
      <c r="I12">
        <f t="shared" si="1"/>
        <v>2020</v>
      </c>
      <c r="J12">
        <f t="shared" si="1"/>
        <v>2021</v>
      </c>
      <c r="K12">
        <f t="shared" si="1"/>
        <v>2022</v>
      </c>
      <c r="L12">
        <f t="shared" si="1"/>
        <v>2023</v>
      </c>
      <c r="M12">
        <f t="shared" si="1"/>
        <v>2024</v>
      </c>
      <c r="N12">
        <f t="shared" si="1"/>
        <v>2025</v>
      </c>
      <c r="O12">
        <f t="shared" si="1"/>
        <v>2026</v>
      </c>
      <c r="P12">
        <f t="shared" si="1"/>
        <v>2027</v>
      </c>
      <c r="Q12">
        <f t="shared" si="1"/>
        <v>2028</v>
      </c>
      <c r="R12">
        <f t="shared" si="1"/>
        <v>2029</v>
      </c>
      <c r="S12">
        <f t="shared" si="1"/>
        <v>2030</v>
      </c>
      <c r="T12">
        <f t="shared" si="1"/>
        <v>2031</v>
      </c>
      <c r="U12">
        <f t="shared" si="1"/>
        <v>2032</v>
      </c>
      <c r="V12">
        <f t="shared" si="1"/>
        <v>2033</v>
      </c>
      <c r="W12">
        <f t="shared" si="1"/>
        <v>2034</v>
      </c>
      <c r="X12">
        <f t="shared" si="1"/>
        <v>2035</v>
      </c>
      <c r="Y12">
        <f t="shared" si="1"/>
        <v>2036</v>
      </c>
      <c r="Z12">
        <f t="shared" si="1"/>
        <v>2037</v>
      </c>
      <c r="AA12">
        <f t="shared" si="1"/>
        <v>2038</v>
      </c>
      <c r="AB12">
        <f t="shared" si="1"/>
        <v>2039</v>
      </c>
      <c r="AC12">
        <f t="shared" si="1"/>
        <v>2040</v>
      </c>
      <c r="AD12">
        <f t="shared" si="1"/>
        <v>2041</v>
      </c>
      <c r="AE12">
        <f t="shared" si="1"/>
        <v>2042</v>
      </c>
      <c r="AF12">
        <f t="shared" si="1"/>
        <v>2043</v>
      </c>
      <c r="AG12">
        <f t="shared" si="1"/>
        <v>2044</v>
      </c>
      <c r="AH12">
        <f t="shared" si="1"/>
        <v>2045</v>
      </c>
      <c r="AI12">
        <f t="shared" si="1"/>
        <v>2046</v>
      </c>
      <c r="AJ12">
        <f t="shared" si="1"/>
        <v>2047</v>
      </c>
      <c r="AK12">
        <f t="shared" si="1"/>
        <v>2048</v>
      </c>
      <c r="AL12">
        <f t="shared" si="1"/>
        <v>2049</v>
      </c>
      <c r="AM12">
        <f t="shared" si="1"/>
        <v>2050</v>
      </c>
    </row>
    <row r="13" spans="1:39" x14ac:dyDescent="0.25">
      <c r="A13" t="s">
        <v>208</v>
      </c>
      <c r="B13" s="76">
        <f>'Coûts annuels réseaux et stocka'!E37+'Coûts annuels réseaux et stocka'!E38</f>
        <v>0</v>
      </c>
      <c r="C13" s="76">
        <f>'Coûts annuels réseaux et stocka'!F37+'Coûts annuels réseaux et stocka'!F38</f>
        <v>0</v>
      </c>
      <c r="D13" s="76">
        <f>'Coûts annuels réseaux et stocka'!G37+'Coûts annuels réseaux et stocka'!G38</f>
        <v>0</v>
      </c>
      <c r="E13" s="76">
        <f>'Coûts annuels réseaux et stocka'!H37+'Coûts annuels réseaux et stocka'!H38</f>
        <v>0</v>
      </c>
      <c r="F13" s="76">
        <f>'Coûts annuels réseaux et stocka'!I37+'Coûts annuels réseaux et stocka'!I38</f>
        <v>0</v>
      </c>
      <c r="G13" s="76">
        <f>'Coûts annuels réseaux et stocka'!J37+'Coûts annuels réseaux et stocka'!J38</f>
        <v>0</v>
      </c>
      <c r="H13" s="76">
        <f>'Coûts annuels réseaux et stocka'!K37+'Coûts annuels réseaux et stocka'!K38</f>
        <v>0</v>
      </c>
      <c r="I13" s="76">
        <f>'Coûts annuels réseaux et stocka'!L37+'Coûts annuels réseaux et stocka'!L38</f>
        <v>0</v>
      </c>
      <c r="J13" s="76">
        <f>'Coûts annuels réseaux et stocka'!M37+'Coûts annuels réseaux et stocka'!M38</f>
        <v>0</v>
      </c>
      <c r="K13" s="76">
        <f>'Coûts annuels réseaux et stocka'!N37+'Coûts annuels réseaux et stocka'!N38</f>
        <v>0</v>
      </c>
      <c r="L13" s="76">
        <f>'Coûts annuels réseaux et stocka'!O37+'Coûts annuels réseaux et stocka'!O38</f>
        <v>0</v>
      </c>
      <c r="M13" s="76">
        <f>'Coûts annuels réseaux et stocka'!P37+'Coûts annuels réseaux et stocka'!P38</f>
        <v>0</v>
      </c>
      <c r="N13" s="76">
        <f>'Coûts annuels réseaux et stocka'!Q37+'Coûts annuels réseaux et stocka'!Q38</f>
        <v>0</v>
      </c>
      <c r="O13" s="76">
        <f>'Coûts annuels réseaux et stocka'!R37+'Coûts annuels réseaux et stocka'!R38</f>
        <v>0</v>
      </c>
      <c r="P13" s="76">
        <f>'Coûts annuels réseaux et stocka'!S37+'Coûts annuels réseaux et stocka'!S38</f>
        <v>0</v>
      </c>
      <c r="Q13" s="76">
        <f>'Coûts annuels réseaux et stocka'!T37+'Coûts annuels réseaux et stocka'!T38</f>
        <v>0</v>
      </c>
      <c r="R13" s="76">
        <f>'Coûts annuels réseaux et stocka'!U37+'Coûts annuels réseaux et stocka'!U38</f>
        <v>0</v>
      </c>
      <c r="S13" s="76">
        <f>'Coûts annuels réseaux et stocka'!V37+'Coûts annuels réseaux et stocka'!V38</f>
        <v>0</v>
      </c>
      <c r="T13" s="76">
        <f>'Coûts annuels réseaux et stocka'!W37+'Coûts annuels réseaux et stocka'!W38</f>
        <v>0</v>
      </c>
      <c r="U13" s="76">
        <f>'Coûts annuels réseaux et stocka'!X37+'Coûts annuels réseaux et stocka'!X38</f>
        <v>0</v>
      </c>
      <c r="V13" s="76">
        <f>'Coûts annuels réseaux et stocka'!Y37+'Coûts annuels réseaux et stocka'!Y38</f>
        <v>0</v>
      </c>
      <c r="W13" s="76">
        <f>'Coûts annuels réseaux et stocka'!Z37+'Coûts annuels réseaux et stocka'!Z38</f>
        <v>0</v>
      </c>
      <c r="X13" s="76">
        <f>'Coûts annuels réseaux et stocka'!AA37+'Coûts annuels réseaux et stocka'!AA38</f>
        <v>0</v>
      </c>
      <c r="Y13" s="76">
        <f>'Coûts annuels réseaux et stocka'!AB37+'Coûts annuels réseaux et stocka'!AB38</f>
        <v>0</v>
      </c>
      <c r="Z13" s="76">
        <f>'Coûts annuels réseaux et stocka'!AC37+'Coûts annuels réseaux et stocka'!AC38</f>
        <v>0</v>
      </c>
      <c r="AA13" s="76">
        <f>'Coûts annuels réseaux et stocka'!AD37+'Coûts annuels réseaux et stocka'!AD38</f>
        <v>0</v>
      </c>
      <c r="AB13" s="76">
        <f>'Coûts annuels réseaux et stocka'!AE37+'Coûts annuels réseaux et stocka'!AE38</f>
        <v>0</v>
      </c>
      <c r="AC13" s="76">
        <f>'Coûts annuels réseaux et stocka'!AF37+'Coûts annuels réseaux et stocka'!AF38</f>
        <v>0</v>
      </c>
      <c r="AD13" s="76">
        <f>'Coûts annuels réseaux et stocka'!AG37+'Coûts annuels réseaux et stocka'!AG38</f>
        <v>0</v>
      </c>
      <c r="AE13" s="76">
        <f>'Coûts annuels réseaux et stocka'!AH37+'Coûts annuels réseaux et stocka'!AH38</f>
        <v>0</v>
      </c>
      <c r="AF13" s="76">
        <f>'Coûts annuels réseaux et stocka'!AI37+'Coûts annuels réseaux et stocka'!AI38</f>
        <v>0</v>
      </c>
      <c r="AG13" s="76">
        <f>'Coûts annuels réseaux et stocka'!AJ37+'Coûts annuels réseaux et stocka'!AJ38</f>
        <v>0</v>
      </c>
      <c r="AH13" s="76">
        <f>'Coûts annuels réseaux et stocka'!AK37+'Coûts annuels réseaux et stocka'!AK38</f>
        <v>0</v>
      </c>
      <c r="AI13" s="76">
        <f>'Coûts annuels réseaux et stocka'!AL37+'Coûts annuels réseaux et stocka'!AL38</f>
        <v>0</v>
      </c>
      <c r="AJ13" s="76">
        <f>'Coûts annuels réseaux et stocka'!AM37+'Coûts annuels réseaux et stocka'!AM38</f>
        <v>0</v>
      </c>
      <c r="AK13" s="76">
        <f>'Coûts annuels réseaux et stocka'!AN37+'Coûts annuels réseaux et stocka'!AN38</f>
        <v>0</v>
      </c>
      <c r="AL13" s="76">
        <f>'Coûts annuels réseaux et stocka'!AO37+'Coûts annuels réseaux et stocka'!AO38</f>
        <v>0</v>
      </c>
      <c r="AM13" s="76">
        <v>0</v>
      </c>
    </row>
    <row r="14" spans="1:39" x14ac:dyDescent="0.25">
      <c r="A14" t="s">
        <v>209</v>
      </c>
      <c r="B14" s="76">
        <f>'Coûts annuel génération élec'!E10+'Coûts annuel génération élec'!E14</f>
        <v>353.50352103352731</v>
      </c>
      <c r="C14" s="76">
        <f>'Coûts annuel génération élec'!F10+'Coûts annuel génération élec'!F14</f>
        <v>453.42022918842292</v>
      </c>
      <c r="D14" s="76">
        <f>'Coûts annuel génération élec'!G10+'Coûts annuel génération élec'!G14</f>
        <v>553.34964515177933</v>
      </c>
      <c r="E14" s="76">
        <f>'Coûts annuel génération élec'!H10+'Coûts annuel génération élec'!H14</f>
        <v>652.40801012101292</v>
      </c>
      <c r="F14" s="76">
        <f>'Coûts annuel génération élec'!I10+'Coûts annuel génération élec'!I14</f>
        <v>750.59532409612359</v>
      </c>
      <c r="G14" s="76">
        <f>'Coûts annuel génération élec'!J10+'Coûts annuel génération élec'!J14</f>
        <v>885.11112970565398</v>
      </c>
      <c r="H14" s="76">
        <f>'Coûts annuel génération élec'!K10+'Coûts annuel génération élec'!K14</f>
        <v>1017.8565547190527</v>
      </c>
      <c r="I14" s="76">
        <f>'Coûts annuel génération élec'!L10+'Coûts annuel génération élec'!L14</f>
        <v>1148.8315991363199</v>
      </c>
      <c r="J14" s="76">
        <f>'Coûts annuel génération élec'!M10+'Coûts annuel génération élec'!M14</f>
        <v>1278.0362629574556</v>
      </c>
      <c r="K14" s="76">
        <f>'Coûts annuel génération élec'!N10+'Coûts annuel génération élec'!N14</f>
        <v>1405.4705461824594</v>
      </c>
      <c r="L14" s="76">
        <f>'Coûts annuel génération élec'!O10+'Coûts annuel génération élec'!O14</f>
        <v>1531.1344488113318</v>
      </c>
      <c r="M14" s="76">
        <f>'Coûts annuel génération élec'!P10+'Coûts annuel génération élec'!P14</f>
        <v>1642.3065448374768</v>
      </c>
      <c r="N14" s="76">
        <f>'Coûts annuel génération élec'!Q10+'Coûts annuel génération élec'!Q14</f>
        <v>1752.0679921082935</v>
      </c>
      <c r="O14" s="76">
        <f>'Coûts annuel génération élec'!R10+'Coûts annuel génération élec'!R14</f>
        <v>1860.4187906237821</v>
      </c>
      <c r="P14" s="76">
        <f>'Coûts annuel génération élec'!S10+'Coûts annuel génération élec'!S14</f>
        <v>1967.3589403839428</v>
      </c>
      <c r="Q14" s="76">
        <f>'Coûts annuel génération élec'!T10+'Coûts annuel génération élec'!T14</f>
        <v>2072.8884413887749</v>
      </c>
      <c r="R14" s="76">
        <f>'Coûts annuel génération élec'!U10+'Coûts annuel génération élec'!U14</f>
        <v>2177.0072936382794</v>
      </c>
      <c r="S14" s="76">
        <f>'Coûts annuel génération élec'!V10+'Coûts annuel génération élec'!V14</f>
        <v>2279.7154971324558</v>
      </c>
      <c r="T14" s="76">
        <f>'Coûts annuel génération élec'!W10+'Coûts annuel génération élec'!W14</f>
        <v>2381.9284153822136</v>
      </c>
      <c r="U14" s="76">
        <f>'Coûts annuel génération élec'!X10+'Coûts annuel génération élec'!X14</f>
        <v>2483.646048387553</v>
      </c>
      <c r="V14" s="76">
        <f>'Coûts annuel génération élec'!Y10+'Coûts annuel génération élec'!Y14</f>
        <v>2568.0769788993825</v>
      </c>
      <c r="W14" s="76">
        <f>'Coûts annuel génération élec'!Z10+'Coûts annuel génération élec'!Z14</f>
        <v>2654.9330167244343</v>
      </c>
      <c r="X14" s="76">
        <f>'Coûts annuel génération élec'!AA10+'Coûts annuel génération élec'!AA14</f>
        <v>2741.84985855185</v>
      </c>
      <c r="Y14" s="76">
        <f>'Coûts annuel génération élec'!AB10+'Coûts annuel génération élec'!AB14</f>
        <v>2828.8275043816298</v>
      </c>
      <c r="Z14" s="76">
        <f>'Coûts annuel génération élec'!AC10+'Coûts annuel génération élec'!AC14</f>
        <v>2915.8659542137739</v>
      </c>
      <c r="AA14" s="76">
        <f>'Coûts annuel génération élec'!AD10+'Coûts annuel génération élec'!AD14</f>
        <v>2990.5054051986331</v>
      </c>
      <c r="AB14" s="76">
        <f>'Coûts annuel génération élec'!AE10+'Coûts annuel génération élec'!AE14</f>
        <v>3065.8965088346727</v>
      </c>
      <c r="AC14" s="76">
        <f>'Coûts annuel génération élec'!AF10+'Coûts annuel génération élec'!AF14</f>
        <v>3142.0392651218908</v>
      </c>
      <c r="AD14" s="76">
        <f>'Coûts annuel génération élec'!AG10+'Coûts annuel génération élec'!AG14</f>
        <v>3218.9336740602894</v>
      </c>
      <c r="AE14" s="76">
        <f>'Coûts annuel génération élec'!AH10+'Coûts annuel génération élec'!AH14</f>
        <v>3296.5797356498674</v>
      </c>
      <c r="AF14" s="76">
        <f>'Coûts annuel génération élec'!AI10+'Coûts annuel génération élec'!AI14</f>
        <v>3374.9774498906254</v>
      </c>
      <c r="AG14" s="76">
        <f>'Coûts annuel génération élec'!AJ10+'Coûts annuel génération élec'!AJ14</f>
        <v>3457.452701165264</v>
      </c>
      <c r="AH14" s="76">
        <f>'Coûts annuel génération élec'!AK10+'Coûts annuel génération élec'!AK14</f>
        <v>3540.4032656315562</v>
      </c>
      <c r="AI14" s="76">
        <f>'Coûts annuel génération élec'!AL10+'Coûts annuel génération élec'!AL14</f>
        <v>3623.8291432895007</v>
      </c>
      <c r="AJ14" s="76">
        <f>'Coûts annuel génération élec'!AM10+'Coûts annuel génération élec'!AM14</f>
        <v>3707.7303341391007</v>
      </c>
      <c r="AK14" s="76">
        <f>'Coûts annuel génération élec'!AN10+'Coûts annuel génération élec'!AN14</f>
        <v>3792.1068381803525</v>
      </c>
      <c r="AL14" s="76">
        <f>'Coûts annuel génération élec'!AO10+'Coûts annuel génération élec'!AO14</f>
        <v>3876.9586554132584</v>
      </c>
      <c r="AM14" s="76">
        <f>'Coûts annuel génération élec'!AP10+'Coûts annuel génération élec'!AP14</f>
        <v>3962.285785837817</v>
      </c>
    </row>
    <row r="15" spans="1:39" x14ac:dyDescent="0.25">
      <c r="A15" t="s">
        <v>210</v>
      </c>
      <c r="B15" s="76">
        <f>'Coûts annuel génération élec'!E19</f>
        <v>138.5558488450998</v>
      </c>
      <c r="C15" s="76">
        <f>'Coûts annuel génération élec'!F19</f>
        <v>177.70836139282287</v>
      </c>
      <c r="D15" s="76">
        <f>'Coûts annuel génération élec'!G19</f>
        <v>215.92898688735306</v>
      </c>
      <c r="E15" s="76">
        <f>'Coûts annuel génération élec'!H19</f>
        <v>253.21772532869042</v>
      </c>
      <c r="F15" s="76">
        <f>'Coûts annuel génération élec'!I19</f>
        <v>289.57457671683488</v>
      </c>
      <c r="G15" s="76">
        <f>'Coûts annuel génération élec'!J19</f>
        <v>324.99954105178642</v>
      </c>
      <c r="H15" s="76">
        <f>'Coûts annuel génération élec'!K19</f>
        <v>359.49261833354512</v>
      </c>
      <c r="I15" s="76">
        <f>'Coûts annuel génération élec'!L19</f>
        <v>393.05380856211093</v>
      </c>
      <c r="J15" s="76">
        <f>'Coûts annuel génération élec'!M19</f>
        <v>425.68311173748396</v>
      </c>
      <c r="K15" s="76">
        <f>'Coûts annuel génération élec'!N19</f>
        <v>457.38052785966414</v>
      </c>
      <c r="L15" s="76">
        <f>'Coûts annuel génération élec'!O19</f>
        <v>488.14605692865126</v>
      </c>
      <c r="M15" s="76">
        <f>'Coûts annuel génération élec'!P19</f>
        <v>517.97969894444566</v>
      </c>
      <c r="N15" s="76">
        <f>'Coûts annuel génération élec'!Q19</f>
        <v>546.8814539070471</v>
      </c>
      <c r="O15" s="76">
        <f>'Coûts annuel génération élec'!R19</f>
        <v>574.85132181645577</v>
      </c>
      <c r="P15" s="76">
        <f>'Coûts annuel génération élec'!S19</f>
        <v>601.88930267267153</v>
      </c>
      <c r="Q15" s="76">
        <f>'Coûts annuel génération élec'!T19</f>
        <v>627.99539647569452</v>
      </c>
      <c r="R15" s="76">
        <f>'Coûts annuel génération élec'!U19</f>
        <v>653.16960322552472</v>
      </c>
      <c r="S15" s="76">
        <f>'Coûts annuel génération élec'!V19</f>
        <v>677.41192292216192</v>
      </c>
      <c r="T15" s="76">
        <f>'Coûts annuel génération élec'!W19</f>
        <v>701.07875099384148</v>
      </c>
      <c r="U15" s="76">
        <f>'Coûts annuel génération élec'!X19</f>
        <v>724.17008744056375</v>
      </c>
      <c r="V15" s="76">
        <f>'Coûts annuel génération élec'!Y19</f>
        <v>746.68593226232815</v>
      </c>
      <c r="W15" s="76">
        <f>'Coûts annuel génération élec'!Z19</f>
        <v>768.62628545913503</v>
      </c>
      <c r="X15" s="76">
        <f>'Coûts annuel génération élec'!AA19</f>
        <v>789.99114703098428</v>
      </c>
      <c r="Y15" s="76">
        <f>'Coûts annuel génération élec'!AB19</f>
        <v>810.78051697787578</v>
      </c>
      <c r="Z15" s="76">
        <f>'Coûts annuel génération élec'!AC19</f>
        <v>830.99439529980964</v>
      </c>
      <c r="AA15" s="76">
        <f>'Coûts annuel génération élec'!AD19</f>
        <v>850.63278199678575</v>
      </c>
      <c r="AB15" s="76">
        <f>'Coûts annuel génération élec'!AE19</f>
        <v>852.15952644093159</v>
      </c>
      <c r="AC15" s="76">
        <f>'Coûts annuel génération élec'!AF19</f>
        <v>853.53707923698119</v>
      </c>
      <c r="AD15" s="76">
        <f>'Coûts annuel génération élec'!AG19</f>
        <v>854.76544038493432</v>
      </c>
      <c r="AE15" s="76">
        <f>'Coûts annuel génération élec'!AH19</f>
        <v>855.84460988479134</v>
      </c>
      <c r="AF15" s="76">
        <f>'Coûts annuel génération élec'!AI19</f>
        <v>856.77458773655223</v>
      </c>
      <c r="AG15" s="76">
        <f>'Coûts annuel génération élec'!AJ19</f>
        <v>857.55537394021678</v>
      </c>
      <c r="AH15" s="76">
        <f>'Coûts annuel génération élec'!AK19</f>
        <v>858.18696849578521</v>
      </c>
      <c r="AI15" s="76">
        <f>'Coûts annuel génération élec'!AL19</f>
        <v>858.66937140325717</v>
      </c>
      <c r="AJ15" s="76">
        <f>'Coûts annuel génération élec'!AM19</f>
        <v>859.00258266263302</v>
      </c>
      <c r="AK15" s="76">
        <f>'Coûts annuel génération élec'!AN19</f>
        <v>859.18660227391251</v>
      </c>
      <c r="AL15" s="76">
        <f>'Coûts annuel génération élec'!AO19</f>
        <v>859.22143023709589</v>
      </c>
      <c r="AM15" s="76">
        <f>'Coûts annuel génération élec'!AP19</f>
        <v>859.1070665521828</v>
      </c>
    </row>
    <row r="16" spans="1:39" x14ac:dyDescent="0.25">
      <c r="A16" t="s">
        <v>211</v>
      </c>
      <c r="B16" s="76">
        <f>'Coûts annuel génération élec'!E40+'Coûts annuel génération élec'!E51</f>
        <v>1125.055757285189</v>
      </c>
      <c r="C16" s="76">
        <f>'Coûts annuel génération élec'!F40+'Coûts annuel génération élec'!F51</f>
        <v>1121.8626858190908</v>
      </c>
      <c r="D16" s="76">
        <f>'Coûts annuel génération élec'!G40+'Coûts annuel génération élec'!G51</f>
        <v>1118.4649819631425</v>
      </c>
      <c r="E16" s="76">
        <f>'Coûts annuel génération élec'!H40+'Coûts annuel génération élec'!H51</f>
        <v>1114.8626457173436</v>
      </c>
      <c r="F16" s="76">
        <f>'Coûts annuel génération élec'!I40+'Coûts annuel génération élec'!I51</f>
        <v>1111.0556770816938</v>
      </c>
      <c r="G16" s="76">
        <f>'Coûts annuel génération élec'!J40+'Coûts annuel génération élec'!J51</f>
        <v>1107.0440760561942</v>
      </c>
      <c r="H16" s="76">
        <f>'Coûts annuel génération élec'!K40+'Coûts annuel génération élec'!K51</f>
        <v>1102.8278426408438</v>
      </c>
      <c r="I16" s="76">
        <f>'Coûts annuel génération élec'!L40+'Coûts annuel génération élec'!L51</f>
        <v>1098.4069768356426</v>
      </c>
      <c r="J16" s="76">
        <f>'Coûts annuel génération élec'!M40+'Coûts annuel génération élec'!M51</f>
        <v>1093.7814786405916</v>
      </c>
      <c r="K16" s="76">
        <f>'Coûts annuel génération élec'!N40+'Coûts annuel génération élec'!N51</f>
        <v>1088.9513480556898</v>
      </c>
      <c r="L16" s="76">
        <f>'Coûts annuel génération élec'!O40+'Coûts annuel génération élec'!O51</f>
        <v>1083.9165850809375</v>
      </c>
      <c r="M16" s="76">
        <f>'Coûts annuel génération élec'!P40+'Coûts annuel génération élec'!P51</f>
        <v>1078.6771897163349</v>
      </c>
      <c r="N16" s="76">
        <f>'Coûts annuel génération élec'!Q40+'Coûts annuel génération élec'!Q51</f>
        <v>1073.2331619618817</v>
      </c>
      <c r="O16" s="76">
        <f>'Coûts annuel génération élec'!R40+'Coûts annuel génération élec'!R51</f>
        <v>1067.5845018175783</v>
      </c>
      <c r="P16" s="76">
        <f>'Coûts annuel génération élec'!S40+'Coûts annuel génération élec'!S51</f>
        <v>1061.7312092834247</v>
      </c>
      <c r="Q16" s="76">
        <f>'Coûts annuel génération élec'!T40+'Coûts annuel génération élec'!T51</f>
        <v>1055.67328435942</v>
      </c>
      <c r="R16" s="76">
        <f>'Coûts annuel génération élec'!U40+'Coûts annuel génération élec'!U51</f>
        <v>1049.4107270455656</v>
      </c>
      <c r="S16" s="76">
        <f>'Coûts annuel génération élec'!V40+'Coûts annuel génération élec'!V51</f>
        <v>1042.9435373418607</v>
      </c>
      <c r="T16" s="76">
        <f>'Coûts annuel génération élec'!W40+'Coûts annuel génération élec'!W51</f>
        <v>1036.4763476381556</v>
      </c>
      <c r="U16" s="76">
        <f>'Coûts annuel génération élec'!X40+'Coûts annuel génération élec'!X51</f>
        <v>1030.0091579344507</v>
      </c>
      <c r="V16" s="76">
        <f>'Coûts annuel génération élec'!Y40+'Coûts annuel génération élec'!Y51</f>
        <v>1023.5419682307449</v>
      </c>
      <c r="W16" s="76">
        <f>'Coûts annuel génération élec'!Z40+'Coûts annuel génération élec'!Z51</f>
        <v>1017.0747785270395</v>
      </c>
      <c r="X16" s="76">
        <f>'Coûts annuel génération élec'!AA40+'Coûts annuel génération élec'!AA51</f>
        <v>1010.6075888233337</v>
      </c>
      <c r="Y16" s="76">
        <f>'Coûts annuel génération élec'!AB40+'Coûts annuel génération élec'!AB51</f>
        <v>1004.1403991196278</v>
      </c>
      <c r="Z16" s="76">
        <f>'Coûts annuel génération élec'!AC40+'Coûts annuel génération élec'!AC51</f>
        <v>997.67320941592186</v>
      </c>
      <c r="AA16" s="76">
        <f>'Coûts annuel génération élec'!AD40+'Coûts annuel génération élec'!AD51</f>
        <v>991.20601971221572</v>
      </c>
      <c r="AB16" s="76">
        <f>'Coûts annuel génération élec'!AE40+'Coûts annuel génération élec'!AE51</f>
        <v>984.73883000850947</v>
      </c>
      <c r="AC16" s="76">
        <f>'Coûts annuel génération élec'!AF40+'Coûts annuel génération élec'!AF51</f>
        <v>978.27164030480321</v>
      </c>
      <c r="AD16" s="76">
        <f>'Coûts annuel génération élec'!AG40+'Coûts annuel génération élec'!AG51</f>
        <v>971.80445060109685</v>
      </c>
      <c r="AE16" s="76">
        <f>'Coûts annuel génération élec'!AH40+'Coûts annuel génération élec'!AH51</f>
        <v>965.33726089739059</v>
      </c>
      <c r="AF16" s="76">
        <f>'Coûts annuel génération élec'!AI40+'Coûts annuel génération élec'!AI51</f>
        <v>958.87007119368434</v>
      </c>
      <c r="AG16" s="76">
        <f>'Coûts annuel génération élec'!AJ40+'Coûts annuel génération élec'!AJ51</f>
        <v>952.88234775939873</v>
      </c>
      <c r="AH16" s="76">
        <f>'Coûts annuel génération élec'!AK40+'Coûts annuel génération élec'!AK51</f>
        <v>948.20325215820662</v>
      </c>
      <c r="AI16" s="76">
        <f>'Coûts annuel génération élec'!AL40+'Coûts annuel génération élec'!AL51</f>
        <v>943.7287889468646</v>
      </c>
      <c r="AJ16" s="76">
        <f>'Coûts annuel génération élec'!AM40+'Coûts annuel génération élec'!AM51</f>
        <v>939.4589581253731</v>
      </c>
      <c r="AK16" s="76">
        <f>'Coûts annuel génération élec'!AN40+'Coûts annuel génération élec'!AN51</f>
        <v>935.39375969373191</v>
      </c>
      <c r="AL16" s="76">
        <f>'Coûts annuel génération élec'!AO40+'Coûts annuel génération élec'!AO51</f>
        <v>931.53319365194079</v>
      </c>
      <c r="AM16" s="76">
        <f>'Coûts annuel génération élec'!AP40+'Coûts annuel génération élec'!AP51</f>
        <v>927.87726000000009</v>
      </c>
    </row>
    <row r="17" spans="1:39" x14ac:dyDescent="0.25">
      <c r="A17" t="s">
        <v>212</v>
      </c>
      <c r="B17" s="76">
        <f>'Coûts annuel génération élec'!E46+'Coûts annuel génération élec'!E26+'Coûts annuel génération élec'!E25+'Coûts annuel génération élec'!E30+'Coûts annuel génération élec'!E34</f>
        <v>134.58304502345882</v>
      </c>
      <c r="C17" s="76">
        <f>'Coûts annuel génération élec'!F46+'Coûts annuel génération élec'!F26+'Coûts annuel génération élec'!F25+'Coûts annuel génération élec'!F30+'Coûts annuel génération élec'!F34</f>
        <v>158.01289294846697</v>
      </c>
      <c r="D17" s="76">
        <f>'Coûts annuel génération élec'!G46+'Coûts annuel génération élec'!G26+'Coûts annuel génération élec'!G25+'Coûts annuel génération élec'!G30+'Coûts annuel génération élec'!G34</f>
        <v>181.39257398775419</v>
      </c>
      <c r="E17" s="76">
        <f>'Coûts annuel génération élec'!H46+'Coûts annuel génération élec'!H26+'Coûts annuel génération élec'!H25+'Coûts annuel génération élec'!H30+'Coûts annuel génération élec'!H34</f>
        <v>204.5610183195013</v>
      </c>
      <c r="F17" s="76">
        <f>'Coûts annuel génération élec'!I46+'Coûts annuel génération élec'!I26+'Coûts annuel génération élec'!I25+'Coûts annuel génération élec'!I30+'Coûts annuel génération élec'!I34</f>
        <v>227.51822594370839</v>
      </c>
      <c r="G17" s="76">
        <f>'Coûts annuel génération élec'!J46+'Coûts annuel génération élec'!J26+'Coûts annuel génération élec'!J25+'Coûts annuel génération élec'!J30+'Coûts annuel génération élec'!J34</f>
        <v>250.26419686037536</v>
      </c>
      <c r="H17" s="76">
        <f>'Coûts annuel génération élec'!K46+'Coûts annuel génération élec'!K26+'Coûts annuel génération élec'!K25+'Coûts annuel génération élec'!K30+'Coûts annuel génération élec'!K34</f>
        <v>272.79893106950232</v>
      </c>
      <c r="I17" s="76">
        <f>'Coûts annuel génération élec'!L46+'Coûts annuel génération élec'!L26+'Coûts annuel génération élec'!L25+'Coûts annuel génération élec'!L30+'Coûts annuel génération élec'!L34</f>
        <v>295.12242857108913</v>
      </c>
      <c r="J17" s="76">
        <f>'Coûts annuel génération élec'!M46+'Coûts annuel génération élec'!M26+'Coûts annuel génération élec'!M25+'Coûts annuel génération élec'!M30+'Coûts annuel génération élec'!M34</f>
        <v>317.23468936513592</v>
      </c>
      <c r="K17" s="76">
        <f>'Coûts annuel génération élec'!N46+'Coûts annuel génération élec'!N26+'Coûts annuel génération élec'!N25+'Coûts annuel génération élec'!N30+'Coûts annuel génération élec'!N34</f>
        <v>339.13571345164257</v>
      </c>
      <c r="L17" s="76">
        <f>'Coûts annuel génération élec'!O46+'Coûts annuel génération élec'!O26+'Coûts annuel génération élec'!O25+'Coûts annuel génération élec'!O30+'Coûts annuel génération élec'!O34</f>
        <v>360.82550083060914</v>
      </c>
      <c r="M17" s="76">
        <f>'Coûts annuel génération élec'!P46+'Coûts annuel génération élec'!P26+'Coûts annuel génération élec'!P25+'Coûts annuel génération élec'!P30+'Coûts annuel génération élec'!P34</f>
        <v>382.30405150203569</v>
      </c>
      <c r="N17" s="76">
        <f>'Coûts annuel génération élec'!Q46+'Coûts annuel génération élec'!Q26+'Coûts annuel génération élec'!Q25+'Coûts annuel génération élec'!Q30+'Coûts annuel génération élec'!Q34</f>
        <v>403.57136546592221</v>
      </c>
      <c r="O17" s="76">
        <f>'Coûts annuel génération élec'!R46+'Coûts annuel génération élec'!R26+'Coûts annuel génération élec'!R25+'Coûts annuel génération élec'!R30+'Coûts annuel génération élec'!R34</f>
        <v>424.6274427222686</v>
      </c>
      <c r="P17" s="76">
        <f>'Coûts annuel génération élec'!S46+'Coûts annuel génération élec'!S26+'Coûts annuel génération élec'!S25+'Coûts annuel génération élec'!S30+'Coûts annuel génération élec'!S34</f>
        <v>445.47228327107484</v>
      </c>
      <c r="Q17" s="76">
        <f>'Coûts annuel génération élec'!T46+'Coûts annuel génération élec'!T26+'Coûts annuel génération élec'!T25+'Coûts annuel génération élec'!T30+'Coûts annuel génération élec'!T34</f>
        <v>466.10588711234107</v>
      </c>
      <c r="R17" s="76">
        <f>'Coûts annuel génération élec'!U46+'Coûts annuel génération élec'!U26+'Coûts annuel génération élec'!U25+'Coûts annuel génération élec'!U30+'Coûts annuel génération élec'!U34</f>
        <v>486.52825424606715</v>
      </c>
      <c r="S17" s="76">
        <f>'Coûts annuel génération élec'!V46+'Coûts annuel génération élec'!V26+'Coûts annuel génération élec'!V25+'Coûts annuel génération élec'!V30+'Coûts annuel génération élec'!V34</f>
        <v>506.7393846722531</v>
      </c>
      <c r="T17" s="76">
        <f>'Coûts annuel génération élec'!W46+'Coûts annuel génération élec'!W26+'Coûts annuel génération élec'!W25+'Coûts annuel génération élec'!W30+'Coûts annuel génération élec'!W34</f>
        <v>526.77096389703001</v>
      </c>
      <c r="U17" s="76">
        <f>'Coûts annuel génération élec'!X46+'Coûts annuel génération élec'!X26+'Coûts annuel génération élec'!X25+'Coûts annuel génération élec'!X30+'Coûts annuel génération élec'!X34</f>
        <v>546.62299192039779</v>
      </c>
      <c r="V17" s="76">
        <f>'Coûts annuel génération élec'!Y46+'Coûts annuel génération élec'!Y26+'Coûts annuel génération élec'!Y25+'Coûts annuel génération élec'!Y30+'Coûts annuel génération élec'!Y34</f>
        <v>563.23514212779332</v>
      </c>
      <c r="W17" s="76">
        <f>'Coûts annuel génération élec'!Z46+'Coûts annuel génération élec'!Z26+'Coûts annuel génération élec'!Z25+'Coûts annuel génération élec'!Z30+'Coûts annuel génération élec'!Z34</f>
        <v>579.75415991799628</v>
      </c>
      <c r="X17" s="76">
        <f>'Coûts annuel génération élec'!AA46+'Coûts annuel génération élec'!AA26+'Coûts annuel génération élec'!AA25+'Coûts annuel génération élec'!AA30+'Coûts annuel génération élec'!AA34</f>
        <v>596.17886010116081</v>
      </c>
      <c r="Y17" s="76">
        <f>'Coûts annuel génération élec'!AB46+'Coûts annuel génération élec'!AB26+'Coûts annuel génération élec'!AB25+'Coûts annuel génération élec'!AB30+'Coûts annuel génération élec'!AB34</f>
        <v>612.50924267728669</v>
      </c>
      <c r="Z17" s="76">
        <f>'Coûts annuel génération élec'!AC46+'Coûts annuel génération élec'!AC26+'Coûts annuel génération élec'!AC25+'Coûts annuel génération élec'!AC30+'Coûts annuel génération élec'!AC34</f>
        <v>628.74530764637404</v>
      </c>
      <c r="AA17" s="76">
        <f>'Coûts annuel génération élec'!AD46+'Coûts annuel génération élec'!AD26+'Coûts annuel génération élec'!AD25+'Coûts annuel génération élec'!AD30+'Coûts annuel génération élec'!AD34</f>
        <v>644.88705500842286</v>
      </c>
      <c r="AB17" s="76">
        <f>'Coûts annuel génération élec'!AE46+'Coûts annuel génération élec'!AE26+'Coûts annuel génération élec'!AE25+'Coûts annuel génération élec'!AE30+'Coûts annuel génération élec'!AE34</f>
        <v>660.93448476343326</v>
      </c>
      <c r="AC17" s="76">
        <f>'Coûts annuel génération élec'!AF46+'Coûts annuel génération élec'!AF26+'Coûts annuel génération élec'!AF25+'Coûts annuel génération élec'!AF30+'Coûts annuel génération élec'!AF34</f>
        <v>676.88759691140501</v>
      </c>
      <c r="AD17" s="76">
        <f>'Coûts annuel génération élec'!AG46+'Coûts annuel génération élec'!AG26+'Coûts annuel génération élec'!AG25+'Coûts annuel génération élec'!AG30+'Coûts annuel génération élec'!AG34</f>
        <v>692.74639145233823</v>
      </c>
      <c r="AE17" s="76">
        <f>'Coûts annuel génération élec'!AH46+'Coûts annuel génération élec'!AH26+'Coûts annuel génération élec'!AH25+'Coûts annuel génération élec'!AH30+'Coûts annuel génération élec'!AH34</f>
        <v>708.51086838623303</v>
      </c>
      <c r="AF17" s="76">
        <f>'Coûts annuel génération élec'!AI46+'Coûts annuel génération élec'!AI26+'Coûts annuel génération élec'!AI25+'Coûts annuel génération élec'!AI30+'Coûts annuel génération élec'!AI34</f>
        <v>724.18102771308929</v>
      </c>
      <c r="AG17" s="76">
        <f>'Coûts annuel génération élec'!AJ46+'Coûts annuel génération élec'!AJ26+'Coûts annuel génération élec'!AJ25+'Coûts annuel génération élec'!AJ30+'Coûts annuel génération élec'!AJ34</f>
        <v>739.7568694329068</v>
      </c>
      <c r="AH17" s="76">
        <f>'Coûts annuel génération élec'!AK46+'Coûts annuel génération élec'!AK26+'Coûts annuel génération élec'!AK25+'Coûts annuel génération élec'!AK30+'Coûts annuel génération élec'!AK34</f>
        <v>755.23839354568588</v>
      </c>
      <c r="AI17" s="76">
        <f>'Coûts annuel génération élec'!AL46+'Coûts annuel génération élec'!AL26+'Coûts annuel génération élec'!AL25+'Coûts annuel génération élec'!AL30+'Coûts annuel génération élec'!AL34</f>
        <v>770.62560005142655</v>
      </c>
      <c r="AJ17" s="76">
        <f>'Coûts annuel génération élec'!AM46+'Coûts annuel génération élec'!AM26+'Coûts annuel génération élec'!AM25+'Coûts annuel génération élec'!AM30+'Coûts annuel génération élec'!AM34</f>
        <v>785.91848895012856</v>
      </c>
      <c r="AK17" s="76">
        <f>'Coûts annuel génération élec'!AN46+'Coûts annuel génération élec'!AN26+'Coûts annuel génération élec'!AN25+'Coûts annuel génération élec'!AN30+'Coûts annuel génération élec'!AN34</f>
        <v>801.11706024179193</v>
      </c>
      <c r="AL17" s="76">
        <f>'Coûts annuel génération élec'!AO46+'Coûts annuel génération élec'!AO26+'Coûts annuel génération élec'!AO25+'Coûts annuel génération élec'!AO30+'Coûts annuel génération élec'!AO34</f>
        <v>816.221313926417</v>
      </c>
      <c r="AM17" s="76">
        <f>'Coûts annuel génération élec'!AP46+'Coûts annuel génération élec'!AP26+'Coûts annuel génération élec'!AP25+'Coûts annuel génération élec'!AP30+'Coûts annuel génération élec'!AP34</f>
        <v>831.23125000400341</v>
      </c>
    </row>
    <row r="18" spans="1:39" x14ac:dyDescent="0.25">
      <c r="A18" t="s">
        <v>215</v>
      </c>
      <c r="B18" s="76">
        <f>SUM(B13:B17)</f>
        <v>1751.6981721872748</v>
      </c>
      <c r="C18" s="76">
        <f t="shared" ref="C18:AM18" si="2">SUM(C13:C17)</f>
        <v>1911.0041693488035</v>
      </c>
      <c r="D18" s="76">
        <f t="shared" si="2"/>
        <v>2069.1361879900292</v>
      </c>
      <c r="E18" s="76">
        <f t="shared" si="2"/>
        <v>2225.0493994865483</v>
      </c>
      <c r="F18" s="76">
        <f t="shared" si="2"/>
        <v>2378.7438038383607</v>
      </c>
      <c r="G18" s="76">
        <f t="shared" si="2"/>
        <v>2567.4189436740098</v>
      </c>
      <c r="H18" s="76">
        <f t="shared" si="2"/>
        <v>2752.9759467629442</v>
      </c>
      <c r="I18" s="76">
        <f t="shared" si="2"/>
        <v>2935.4148131051625</v>
      </c>
      <c r="J18" s="76">
        <f t="shared" si="2"/>
        <v>3114.7355427006673</v>
      </c>
      <c r="K18" s="76">
        <f t="shared" si="2"/>
        <v>3290.9381355494556</v>
      </c>
      <c r="L18" s="76">
        <f t="shared" si="2"/>
        <v>3464.0225916515296</v>
      </c>
      <c r="M18" s="76">
        <f t="shared" si="2"/>
        <v>3621.2674850002932</v>
      </c>
      <c r="N18" s="76">
        <f t="shared" si="2"/>
        <v>3775.7539734431443</v>
      </c>
      <c r="O18" s="76">
        <f t="shared" si="2"/>
        <v>3927.482056980085</v>
      </c>
      <c r="P18" s="76">
        <f t="shared" si="2"/>
        <v>4076.4517356111137</v>
      </c>
      <c r="Q18" s="76">
        <f t="shared" si="2"/>
        <v>4222.663009336231</v>
      </c>
      <c r="R18" s="76">
        <f t="shared" si="2"/>
        <v>4366.1158781554368</v>
      </c>
      <c r="S18" s="76">
        <f t="shared" si="2"/>
        <v>4506.8103420687321</v>
      </c>
      <c r="T18" s="76">
        <f t="shared" si="2"/>
        <v>4646.2544779112404</v>
      </c>
      <c r="U18" s="76">
        <f t="shared" si="2"/>
        <v>4784.4482856829654</v>
      </c>
      <c r="V18" s="76">
        <f t="shared" si="2"/>
        <v>4901.540021520249</v>
      </c>
      <c r="W18" s="76">
        <f t="shared" si="2"/>
        <v>5020.3882406286048</v>
      </c>
      <c r="X18" s="76">
        <f t="shared" si="2"/>
        <v>5138.6274545073284</v>
      </c>
      <c r="Y18" s="76">
        <f t="shared" si="2"/>
        <v>5256.2576631564207</v>
      </c>
      <c r="Z18" s="76">
        <f t="shared" si="2"/>
        <v>5373.2788665758799</v>
      </c>
      <c r="AA18" s="76">
        <f t="shared" si="2"/>
        <v>5477.2312619160575</v>
      </c>
      <c r="AB18" s="76">
        <f t="shared" si="2"/>
        <v>5563.7293500475462</v>
      </c>
      <c r="AC18" s="76">
        <f t="shared" si="2"/>
        <v>5650.7355815750807</v>
      </c>
      <c r="AD18" s="76">
        <f t="shared" si="2"/>
        <v>5738.2499564986592</v>
      </c>
      <c r="AE18" s="76">
        <f t="shared" si="2"/>
        <v>5826.2724748182818</v>
      </c>
      <c r="AF18" s="76">
        <f t="shared" si="2"/>
        <v>5914.8031365339511</v>
      </c>
      <c r="AG18" s="76">
        <f t="shared" si="2"/>
        <v>6007.6472922977864</v>
      </c>
      <c r="AH18" s="76">
        <f t="shared" si="2"/>
        <v>6102.0318798312337</v>
      </c>
      <c r="AI18" s="76">
        <f t="shared" si="2"/>
        <v>6196.8529036910486</v>
      </c>
      <c r="AJ18" s="76">
        <f t="shared" si="2"/>
        <v>6292.1103638772356</v>
      </c>
      <c r="AK18" s="76">
        <f t="shared" si="2"/>
        <v>6387.8042603897884</v>
      </c>
      <c r="AL18" s="76">
        <f t="shared" si="2"/>
        <v>6483.9345932287115</v>
      </c>
      <c r="AM18" s="76">
        <f t="shared" si="2"/>
        <v>6580.5013623940031</v>
      </c>
    </row>
    <row r="20" spans="1:39" x14ac:dyDescent="0.25">
      <c r="A20" t="s">
        <v>216</v>
      </c>
      <c r="B20">
        <f>B18+B10</f>
        <v>7822.1987597532789</v>
      </c>
      <c r="C20">
        <f t="shared" ref="C20:AM20" si="3">C18+C10</f>
        <v>8468.8870009389684</v>
      </c>
      <c r="D20">
        <f t="shared" si="3"/>
        <v>9108.9570658587818</v>
      </c>
      <c r="E20">
        <f t="shared" si="3"/>
        <v>9738.6647108268207</v>
      </c>
      <c r="F20">
        <f t="shared" si="3"/>
        <v>10358.009935843082</v>
      </c>
      <c r="G20">
        <f t="shared" si="3"/>
        <v>11058.147706401396</v>
      </c>
      <c r="H20">
        <f t="shared" si="3"/>
        <v>11745.719310589406</v>
      </c>
      <c r="I20">
        <f t="shared" si="3"/>
        <v>12420.724748407101</v>
      </c>
      <c r="J20">
        <f t="shared" si="3"/>
        <v>13083.164019854496</v>
      </c>
      <c r="K20">
        <f t="shared" si="3"/>
        <v>13733.037124931576</v>
      </c>
      <c r="L20">
        <f t="shared" si="3"/>
        <v>14370.344063638351</v>
      </c>
      <c r="M20">
        <f t="shared" si="3"/>
        <v>14963.911841181765</v>
      </c>
      <c r="N20">
        <f t="shared" si="3"/>
        <v>15545.794950922282</v>
      </c>
      <c r="O20">
        <f t="shared" si="3"/>
        <v>16115.993392859909</v>
      </c>
      <c r="P20">
        <f t="shared" si="3"/>
        <v>16674.507166994637</v>
      </c>
      <c r="Q20">
        <f t="shared" si="3"/>
        <v>17221.336273326466</v>
      </c>
      <c r="R20">
        <f t="shared" si="3"/>
        <v>17756.480711855409</v>
      </c>
      <c r="S20">
        <f t="shared" si="3"/>
        <v>18279.940482581456</v>
      </c>
      <c r="T20">
        <f t="shared" si="3"/>
        <v>18797.703991777471</v>
      </c>
      <c r="U20">
        <f t="shared" si="3"/>
        <v>19309.771239443457</v>
      </c>
      <c r="V20">
        <f t="shared" si="3"/>
        <v>19745.001595547314</v>
      </c>
      <c r="W20">
        <f t="shared" si="3"/>
        <v>20185.351203986596</v>
      </c>
      <c r="X20">
        <f t="shared" si="3"/>
        <v>20622.303956006268</v>
      </c>
      <c r="Y20">
        <f t="shared" si="3"/>
        <v>21055.859851606328</v>
      </c>
      <c r="Z20">
        <f t="shared" si="3"/>
        <v>21486.018890786781</v>
      </c>
      <c r="AA20">
        <f t="shared" si="3"/>
        <v>21882.249168621776</v>
      </c>
      <c r="AB20">
        <f t="shared" si="3"/>
        <v>22172.289238071946</v>
      </c>
      <c r="AC20">
        <f t="shared" si="3"/>
        <v>22463.165366372665</v>
      </c>
      <c r="AD20">
        <f t="shared" si="3"/>
        <v>22754.877553523933</v>
      </c>
      <c r="AE20">
        <f t="shared" si="3"/>
        <v>23047.425799525743</v>
      </c>
      <c r="AF20">
        <f t="shared" si="3"/>
        <v>23340.81010437811</v>
      </c>
      <c r="AG20">
        <f t="shared" si="3"/>
        <v>23645.477602376573</v>
      </c>
      <c r="AH20">
        <f t="shared" si="3"/>
        <v>23956.320393824524</v>
      </c>
      <c r="AI20">
        <f t="shared" si="3"/>
        <v>24268.258094613844</v>
      </c>
      <c r="AJ20">
        <f t="shared" si="3"/>
        <v>24581.290704744537</v>
      </c>
      <c r="AK20">
        <f t="shared" si="3"/>
        <v>24895.418224216592</v>
      </c>
      <c r="AL20">
        <f t="shared" si="3"/>
        <v>25210.640653030012</v>
      </c>
      <c r="AM20">
        <f t="shared" si="3"/>
        <v>25526.957991184801</v>
      </c>
    </row>
    <row r="21" spans="1:39" x14ac:dyDescent="0.25">
      <c r="A21" t="s">
        <v>217</v>
      </c>
      <c r="B21">
        <f>B20-('Coûts annuel génération élec'!E4+'Coûts annuel génération élec'!E5+'Coûts annuels réseaux et stocka'!E35)</f>
        <v>0</v>
      </c>
      <c r="C21">
        <f>C20-('Coûts annuel génération élec'!F4+'Coûts annuel génération élec'!F5+'Coûts annuels réseaux et stocka'!F35)</f>
        <v>0</v>
      </c>
      <c r="D21">
        <f>D20-('Coûts annuel génération élec'!G4+'Coûts annuel génération élec'!G5+'Coûts annuels réseaux et stocka'!G35)</f>
        <v>0</v>
      </c>
      <c r="E21">
        <f>E20-('Coûts annuel génération élec'!H4+'Coûts annuel génération élec'!H5+'Coûts annuels réseaux et stocka'!H35)</f>
        <v>0</v>
      </c>
      <c r="F21">
        <f>F20-('Coûts annuel génération élec'!I4+'Coûts annuel génération élec'!I5+'Coûts annuels réseaux et stocka'!I35)</f>
        <v>0</v>
      </c>
      <c r="G21">
        <f>G20-('Coûts annuel génération élec'!J4+'Coûts annuel génération élec'!J5+'Coûts annuels réseaux et stocka'!J35)</f>
        <v>0</v>
      </c>
      <c r="H21">
        <f>H20-('Coûts annuel génération élec'!K4+'Coûts annuel génération élec'!K5+'Coûts annuels réseaux et stocka'!K35)</f>
        <v>0</v>
      </c>
      <c r="I21">
        <f>I20-('Coûts annuel génération élec'!L4+'Coûts annuel génération élec'!L5+'Coûts annuels réseaux et stocka'!L35)</f>
        <v>0</v>
      </c>
      <c r="J21">
        <f>J20-('Coûts annuel génération élec'!M4+'Coûts annuel génération élec'!M5+'Coûts annuels réseaux et stocka'!M35)</f>
        <v>0</v>
      </c>
      <c r="K21">
        <f>K20-('Coûts annuel génération élec'!N4+'Coûts annuel génération élec'!N5+'Coûts annuels réseaux et stocka'!N35)</f>
        <v>0</v>
      </c>
      <c r="L21">
        <f>L20-('Coûts annuel génération élec'!O4+'Coûts annuel génération élec'!O5+'Coûts annuels réseaux et stocka'!O35)</f>
        <v>0</v>
      </c>
      <c r="M21">
        <f>M20-('Coûts annuel génération élec'!P4+'Coûts annuel génération élec'!P5+'Coûts annuels réseaux et stocka'!P35)</f>
        <v>0</v>
      </c>
      <c r="N21">
        <f>N20-('Coûts annuel génération élec'!Q4+'Coûts annuel génération élec'!Q5+'Coûts annuels réseaux et stocka'!Q35)</f>
        <v>0</v>
      </c>
      <c r="O21">
        <f>O20-('Coûts annuel génération élec'!R4+'Coûts annuel génération élec'!R5+'Coûts annuels réseaux et stocka'!R35)</f>
        <v>0</v>
      </c>
      <c r="P21">
        <f>P20-('Coûts annuel génération élec'!S4+'Coûts annuel génération élec'!S5+'Coûts annuels réseaux et stocka'!S35)</f>
        <v>0</v>
      </c>
      <c r="Q21">
        <f>Q20-('Coûts annuel génération élec'!T4+'Coûts annuel génération élec'!T5+'Coûts annuels réseaux et stocka'!T35)</f>
        <v>0</v>
      </c>
      <c r="R21">
        <f>R20-('Coûts annuel génération élec'!U4+'Coûts annuel génération élec'!U5+'Coûts annuels réseaux et stocka'!U35)</f>
        <v>0</v>
      </c>
      <c r="S21">
        <f>S20-('Coûts annuel génération élec'!V4+'Coûts annuel génération élec'!V5+'Coûts annuels réseaux et stocka'!V35)</f>
        <v>0</v>
      </c>
      <c r="T21">
        <f>T20-('Coûts annuel génération élec'!W4+'Coûts annuel génération élec'!W5+'Coûts annuels réseaux et stocka'!W35)</f>
        <v>0</v>
      </c>
      <c r="U21">
        <f>U20-('Coûts annuel génération élec'!X4+'Coûts annuel génération élec'!X5+'Coûts annuels réseaux et stocka'!X35)</f>
        <v>0</v>
      </c>
      <c r="V21">
        <f>V20-('Coûts annuel génération élec'!Y4+'Coûts annuel génération élec'!Y5+'Coûts annuels réseaux et stocka'!Y35)</f>
        <v>0</v>
      </c>
      <c r="W21">
        <f>W20-('Coûts annuel génération élec'!Z4+'Coûts annuel génération élec'!Z5+'Coûts annuels réseaux et stocka'!Z35)</f>
        <v>0</v>
      </c>
      <c r="X21">
        <f>X20-('Coûts annuel génération élec'!AA4+'Coûts annuel génération élec'!AA5+'Coûts annuels réseaux et stocka'!AA35)</f>
        <v>0</v>
      </c>
      <c r="Y21">
        <f>Y20-('Coûts annuel génération élec'!AB4+'Coûts annuel génération élec'!AB5+'Coûts annuels réseaux et stocka'!AB35)</f>
        <v>0</v>
      </c>
      <c r="Z21">
        <f>Z20-('Coûts annuel génération élec'!AC4+'Coûts annuel génération élec'!AC5+'Coûts annuels réseaux et stocka'!AC35)</f>
        <v>0</v>
      </c>
      <c r="AA21">
        <f>AA20-('Coûts annuel génération élec'!AD4+'Coûts annuel génération élec'!AD5+'Coûts annuels réseaux et stocka'!AD35)</f>
        <v>0</v>
      </c>
      <c r="AB21">
        <f>AB20-('Coûts annuel génération élec'!AE4+'Coûts annuel génération élec'!AE5+'Coûts annuels réseaux et stocka'!AE35)</f>
        <v>0</v>
      </c>
      <c r="AC21">
        <f>AC20-('Coûts annuel génération élec'!AF4+'Coûts annuel génération élec'!AF5+'Coûts annuels réseaux et stocka'!AF35)</f>
        <v>0</v>
      </c>
      <c r="AD21">
        <f>AD20-('Coûts annuel génération élec'!AG4+'Coûts annuel génération élec'!AG5+'Coûts annuels réseaux et stocka'!AG35)</f>
        <v>0</v>
      </c>
      <c r="AE21">
        <f>AE20-('Coûts annuel génération élec'!AH4+'Coûts annuel génération élec'!AH5+'Coûts annuels réseaux et stocka'!AH35)</f>
        <v>0</v>
      </c>
      <c r="AF21">
        <f>AF20-('Coûts annuel génération élec'!AI4+'Coûts annuel génération élec'!AI5+'Coûts annuels réseaux et stocka'!AI35)</f>
        <v>0</v>
      </c>
      <c r="AG21">
        <f>AG20-('Coûts annuel génération élec'!AJ4+'Coûts annuel génération élec'!AJ5+'Coûts annuels réseaux et stocka'!AJ35)</f>
        <v>0</v>
      </c>
      <c r="AH21">
        <f>AH20-('Coûts annuel génération élec'!AK4+'Coûts annuel génération élec'!AK5+'Coûts annuels réseaux et stocka'!AK35)</f>
        <v>0</v>
      </c>
      <c r="AI21">
        <f>AI20-('Coûts annuel génération élec'!AL4+'Coûts annuel génération élec'!AL5+'Coûts annuels réseaux et stocka'!AL35)</f>
        <v>0</v>
      </c>
      <c r="AJ21">
        <f>AJ20-('Coûts annuel génération élec'!AM4+'Coûts annuel génération élec'!AM5+'Coûts annuels réseaux et stocka'!AM35)</f>
        <v>0</v>
      </c>
      <c r="AK21">
        <f>AK20-('Coûts annuel génération élec'!AN4+'Coûts annuel génération élec'!AN5+'Coûts annuels réseaux et stocka'!AN35)</f>
        <v>0</v>
      </c>
      <c r="AL21">
        <f>AL20-('Coûts annuel génération élec'!AO4+'Coûts annuel génération élec'!AO5+'Coûts annuels réseaux et stocka'!AO35)</f>
        <v>0</v>
      </c>
      <c r="AM21">
        <f>AM20-('Coûts annuel génération élec'!AP4+'Coûts annuel génération élec'!AP5)</f>
        <v>0</v>
      </c>
    </row>
    <row r="23" spans="1:39" x14ac:dyDescent="0.25">
      <c r="A23" t="s">
        <v>218</v>
      </c>
    </row>
    <row r="25" spans="1:39" x14ac:dyDescent="0.25">
      <c r="A25" t="s">
        <v>219</v>
      </c>
      <c r="B25">
        <f>'Coûts annuels réseaux et stocka'!E11+'Coûts annuels réseaux et stocka'!E16+'Coûts annuels réseaux et stocka'!E22+'Coûts annuels réseaux et stocka'!E27+'Coûts annuels réseaux et stocka'!E32+'Coûts annuels réseaux et stocka'!E41+'Coûts annuels réseaux et stocka'!E45</f>
        <v>3912.3332462537464</v>
      </c>
      <c r="C25">
        <f>'Coûts annuels réseaux et stocka'!F11+'Coûts annuels réseaux et stocka'!F16+'Coûts annuels réseaux et stocka'!F22+'Coûts annuels réseaux et stocka'!F27+'Coûts annuels réseaux et stocka'!F32+'Coûts annuels réseaux et stocka'!F41+'Coûts annuels réseaux et stocka'!F45</f>
        <v>3914.9069850043866</v>
      </c>
      <c r="D25">
        <f>'Coûts annuels réseaux et stocka'!G11+'Coûts annuels réseaux et stocka'!G16+'Coûts annuels réseaux et stocka'!G22+'Coûts annuels réseaux et stocka'!G27+'Coûts annuels réseaux et stocka'!G32+'Coûts annuels réseaux et stocka'!G41+'Coûts annuels réseaux et stocka'!G45</f>
        <v>3920.7864110144269</v>
      </c>
      <c r="E25">
        <f>'Coûts annuels réseaux et stocka'!H11+'Coûts annuels réseaux et stocka'!H16+'Coûts annuels réseaux et stocka'!H22+'Coûts annuels réseaux et stocka'!H27+'Coûts annuels réseaux et stocka'!H32+'Coûts annuels réseaux et stocka'!H41+'Coûts annuels réseaux et stocka'!H45</f>
        <v>3940.0429528552959</v>
      </c>
      <c r="F25">
        <f>'Coûts annuels réseaux et stocka'!I11+'Coûts annuels réseaux et stocka'!I16+'Coûts annuels réseaux et stocka'!I22+'Coûts annuels réseaux et stocka'!I27+'Coûts annuels réseaux et stocka'!I32+'Coûts annuels réseaux et stocka'!I41+'Coûts annuels réseaux et stocka'!I45</f>
        <v>3972.6766105269944</v>
      </c>
      <c r="G25">
        <f>'Coûts annuels réseaux et stocka'!J11+'Coûts annuels réseaux et stocka'!J16+'Coûts annuels réseaux et stocka'!J22+'Coûts annuels réseaux et stocka'!J27+'Coûts annuels réseaux et stocka'!J32+'Coûts annuels réseaux et stocka'!J41+'Coûts annuels réseaux et stocka'!J45</f>
        <v>4028.7588126009505</v>
      </c>
      <c r="H25">
        <f>'Coûts annuels réseaux et stocka'!K11+'Coûts annuels réseaux et stocka'!K16+'Coûts annuels réseaux et stocka'!K22+'Coûts annuels réseaux et stocka'!K27+'Coûts annuels réseaux et stocka'!K32+'Coûts annuels réseaux et stocka'!K41+'Coûts annuels réseaux et stocka'!K45</f>
        <v>4084.7895590771636</v>
      </c>
      <c r="I25">
        <f>'Coûts annuels réseaux et stocka'!L11+'Coûts annuels réseaux et stocka'!L16+'Coûts annuels réseaux et stocka'!L22+'Coûts annuels réseaux et stocka'!L27+'Coûts annuels réseaux et stocka'!L32+'Coûts annuels réseaux et stocka'!L41+'Coûts annuels réseaux et stocka'!L45</f>
        <v>4137.4117070984912</v>
      </c>
      <c r="J25">
        <f>'Coûts annuels réseaux et stocka'!M11+'Coûts annuels réseaux et stocka'!M16+'Coûts annuels réseaux et stocka'!M22+'Coûts annuels réseaux et stocka'!M27+'Coûts annuels réseaux et stocka'!M32+'Coûts annuels réseaux et stocka'!M41+'Coûts annuels réseaux et stocka'!M45</f>
        <v>4166.4823995220777</v>
      </c>
      <c r="K25">
        <f>'Coûts annuels réseaux et stocka'!N11+'Coûts annuels réseaux et stocka'!N16+'Coûts annuels réseaux et stocka'!N22+'Coûts annuels réseaux et stocka'!N27+'Coûts annuels réseaux et stocka'!N32+'Coûts annuels réseaux et stocka'!N41+'Coûts annuels réseaux et stocka'!N45</f>
        <v>4168.6444934907777</v>
      </c>
      <c r="L25">
        <f>'Coûts annuels réseaux et stocka'!O11+'Coûts annuels réseaux et stocka'!O16+'Coûts annuels réseaux et stocka'!O22+'Coûts annuels réseaux et stocka'!O27+'Coûts annuels réseaux et stocka'!O32+'Coûts annuels réseaux et stocka'!O41+'Coûts annuels réseaux et stocka'!O45</f>
        <v>4170.7551318617352</v>
      </c>
      <c r="M25">
        <f>'Coûts annuels réseaux et stocka'!P11+'Coûts annuels réseaux et stocka'!P16+'Coûts annuels réseaux et stocka'!P22+'Coûts annuels réseaux et stocka'!P27+'Coûts annuels réseaux et stocka'!P32+'Coûts annuels réseaux et stocka'!P41+'Coûts annuels réseaux et stocka'!P45</f>
        <v>4172.8143146349503</v>
      </c>
      <c r="N25">
        <f>'Coûts annuels réseaux et stocka'!Q11+'Coûts annuels réseaux et stocka'!Q16+'Coûts annuels réseaux et stocka'!Q22+'Coûts annuels réseaux et stocka'!Q27+'Coûts annuels réseaux et stocka'!Q32+'Coûts annuels réseaux et stocka'!Q41+'Coûts annuels réseaux et stocka'!Q45</f>
        <v>4174.8220418104238</v>
      </c>
      <c r="O25">
        <f>'Coûts annuels réseaux et stocka'!R11+'Coûts annuels réseaux et stocka'!R16+'Coûts annuels réseaux et stocka'!R22+'Coûts annuels réseaux et stocka'!R27+'Coûts annuels réseaux et stocka'!R32+'Coûts annuels réseaux et stocka'!R41+'Coûts annuels réseaux et stocka'!R45</f>
        <v>4176.7783133881539</v>
      </c>
      <c r="P25">
        <f>'Coûts annuels réseaux et stocka'!S11+'Coûts annuels réseaux et stocka'!S16+'Coûts annuels réseaux et stocka'!S22+'Coûts annuels réseaux et stocka'!S27+'Coûts annuels réseaux et stocka'!S32+'Coûts annuels réseaux et stocka'!S41+'Coûts annuels réseaux et stocka'!S45</f>
        <v>4178.6831293681416</v>
      </c>
      <c r="Q25">
        <f>'Coûts annuels réseaux et stocka'!T11+'Coûts annuels réseaux et stocka'!T16+'Coûts annuels réseaux et stocka'!T22+'Coûts annuels réseaux et stocka'!T27+'Coûts annuels réseaux et stocka'!T32+'Coûts annuels réseaux et stocka'!T41+'Coûts annuels réseaux et stocka'!T45</f>
        <v>4180.5364897503878</v>
      </c>
      <c r="R25">
        <f>'Coûts annuels réseaux et stocka'!U11+'Coûts annuels réseaux et stocka'!U16+'Coûts annuels réseaux et stocka'!U22+'Coûts annuels réseaux et stocka'!U27+'Coûts annuels réseaux et stocka'!U32+'Coûts annuels réseaux et stocka'!U41+'Coûts annuels réseaux et stocka'!U45</f>
        <v>4191.7971824482765</v>
      </c>
      <c r="S25">
        <f>'Coûts annuels réseaux et stocka'!V11+'Coûts annuels réseaux et stocka'!V16+'Coûts annuels réseaux et stocka'!V22+'Coûts annuels réseaux et stocka'!V27+'Coûts annuels réseaux et stocka'!V32+'Coûts annuels réseaux et stocka'!V41+'Coûts annuels réseaux et stocka'!V45</f>
        <v>4202.9634025198693</v>
      </c>
      <c r="T25">
        <f>'Coûts annuels réseaux et stocka'!W11+'Coûts annuels réseaux et stocka'!W16+'Coûts annuels réseaux et stocka'!W22+'Coûts annuels réseaux et stocka'!W27+'Coûts annuels réseaux et stocka'!W32+'Coûts annuels réseaux et stocka'!W41+'Coûts annuels réseaux et stocka'!W45</f>
        <v>4226.5582670936165</v>
      </c>
      <c r="U25">
        <f>'Coûts annuels réseaux et stocka'!X11+'Coûts annuels réseaux et stocka'!X16+'Coûts annuels réseaux et stocka'!X22+'Coûts annuels réseaux et stocka'!X27+'Coûts annuels réseaux et stocka'!X32+'Coûts annuels réseaux et stocka'!X41+'Coûts annuels réseaux et stocka'!X45</f>
        <v>4250.1091770327157</v>
      </c>
      <c r="V25">
        <f>'Coûts annuels réseaux et stocka'!Y11+'Coûts annuels réseaux et stocka'!Y16+'Coûts annuels réseaux et stocka'!Y22+'Coûts annuels réseaux et stocka'!Y27+'Coûts annuels réseaux et stocka'!Y32+'Coûts annuels réseaux et stocka'!Y41+'Coûts annuels réseaux et stocka'!Y45</f>
        <v>4273.6161323366014</v>
      </c>
      <c r="W25">
        <f>'Coûts annuels réseaux et stocka'!Z11+'Coûts annuels réseaux et stocka'!Z16+'Coûts annuels réseaux et stocka'!Z22+'Coûts annuels réseaux et stocka'!Z27+'Coûts annuels réseaux et stocka'!Z32+'Coûts annuels réseaux et stocka'!Z41+'Coûts annuels réseaux et stocka'!Z45</f>
        <v>4296.1600818653296</v>
      </c>
      <c r="X25">
        <f>'Coûts annuels réseaux et stocka'!AA11+'Coûts annuels réseaux et stocka'!AA16+'Coûts annuels réseaux et stocka'!AA22+'Coûts annuels réseaux et stocka'!AA27+'Coûts annuels réseaux et stocka'!AA32+'Coûts annuels réseaux et stocka'!AA41+'Coûts annuels réseaux et stocka'!AA45</f>
        <v>4375.3304491046893</v>
      </c>
      <c r="Y25">
        <f>'Coûts annuels réseaux et stocka'!AB11+'Coûts annuels réseaux et stocka'!AB16+'Coûts annuels réseaux et stocka'!AB22+'Coûts annuels réseaux et stocka'!AB27+'Coûts annuels réseaux et stocka'!AB32+'Coûts annuels réseaux et stocka'!AB41+'Coûts annuels réseaux et stocka'!AB45</f>
        <v>4441.0558054829717</v>
      </c>
      <c r="Z25">
        <f>'Coûts annuels réseaux et stocka'!AC11+'Coûts annuels réseaux et stocka'!AC16+'Coûts annuels réseaux et stocka'!AC22+'Coûts annuels réseaux et stocka'!AC27+'Coûts annuels réseaux et stocka'!AC32+'Coûts annuels réseaux et stocka'!AC41+'Coûts annuels réseaux et stocka'!AC45</f>
        <v>4493.3361510000022</v>
      </c>
      <c r="AA25">
        <f>'Coûts annuels réseaux et stocka'!AD11+'Coûts annuels réseaux et stocka'!AD16+'Coûts annuels réseaux et stocka'!AD22+'Coûts annuels réseaux et stocka'!AD27+'Coûts annuels réseaux et stocka'!AD32+'Coûts annuels réseaux et stocka'!AD41+'Coûts annuels réseaux et stocka'!AD45</f>
        <v>4522.1000570842798</v>
      </c>
      <c r="AB25">
        <f>'Coûts annuels réseaux et stocka'!AE11+'Coûts annuels réseaux et stocka'!AE16+'Coûts annuels réseaux et stocka'!AE22+'Coûts annuels réseaux et stocka'!AE27+'Coûts annuels réseaux et stocka'!AE32+'Coûts annuels réseaux et stocka'!AE41+'Coûts annuels réseaux et stocka'!AE45</f>
        <v>4550.8475237358389</v>
      </c>
      <c r="AC25">
        <f>'Coûts annuels réseaux et stocka'!AF11+'Coûts annuels réseaux et stocka'!AF16+'Coûts annuels réseaux et stocka'!AF22+'Coûts annuels réseaux et stocka'!AF27+'Coûts annuels réseaux et stocka'!AF32+'Coûts annuels réseaux et stocka'!AF41+'Coûts annuels réseaux et stocka'!AF45</f>
        <v>4582.9356938119545</v>
      </c>
      <c r="AD25">
        <f>'Coûts annuels réseaux et stocka'!AG11+'Coûts annuels réseaux et stocka'!AG16+'Coûts annuels réseaux et stocka'!AG22+'Coûts annuels réseaux et stocka'!AG27+'Coûts annuels réseaux et stocka'!AG32+'Coûts annuels réseaux et stocka'!AG41+'Coûts annuels réseaux et stocka'!AG45</f>
        <v>4638.5074244557127</v>
      </c>
      <c r="AE25">
        <f>'Coûts annuels réseaux et stocka'!AH11+'Coûts annuels réseaux et stocka'!AH16+'Coûts annuels réseaux et stocka'!AH22+'Coûts annuels réseaux et stocka'!AH27+'Coûts annuels réseaux et stocka'!AH32+'Coûts annuels réseaux et stocka'!AH41+'Coûts annuels réseaux et stocka'!AH45</f>
        <v>4660.9198585245713</v>
      </c>
      <c r="AF25">
        <f>'Coûts annuels réseaux et stocka'!AI11+'Coûts annuels réseaux et stocka'!AI16+'Coûts annuels réseaux et stocka'!AI22+'Coûts annuels réseaux et stocka'!AI27+'Coûts annuels réseaux et stocka'!AI32+'Coûts annuels réseaux et stocka'!AI41+'Coûts annuels réseaux et stocka'!AI45</f>
        <v>4683.3158531617828</v>
      </c>
      <c r="AG25">
        <f>'Coûts annuels réseaux et stocka'!AJ11+'Coûts annuels réseaux et stocka'!AJ16+'Coûts annuels réseaux et stocka'!AJ22+'Coûts annuels réseaux et stocka'!AJ27+'Coûts annuels réseaux et stocka'!AJ32+'Coûts annuels réseaux et stocka'!AJ41+'Coûts annuels réseaux et stocka'!AJ45</f>
        <v>4705.6954083678093</v>
      </c>
      <c r="AH25">
        <f>'Coûts annuels réseaux et stocka'!AK11+'Coûts annuels réseaux et stocka'!AK16+'Coûts annuels réseaux et stocka'!AK22+'Coûts annuels réseaux et stocka'!AK27+'Coûts annuels réseaux et stocka'!AK32+'Coûts annuels réseaux et stocka'!AK41+'Coûts annuels réseaux et stocka'!AK45</f>
        <v>4728.0585241431727</v>
      </c>
      <c r="AI25">
        <f>'Coûts annuels réseaux et stocka'!AL11+'Coûts annuels réseaux et stocka'!AL16+'Coûts annuels réseaux et stocka'!AL22+'Coûts annuels réseaux et stocka'!AL27+'Coûts annuels réseaux et stocka'!AL32+'Coûts annuels réseaux et stocka'!AL41+'Coûts annuels réseaux et stocka'!AL45</f>
        <v>4750.4052004884388</v>
      </c>
      <c r="AJ25">
        <f>'Coûts annuels réseaux et stocka'!AM11+'Coûts annuels réseaux et stocka'!AM16+'Coûts annuels réseaux et stocka'!AM22+'Coûts annuels réseaux et stocka'!AM27+'Coûts annuels réseaux et stocka'!AM32+'Coûts annuels réseaux et stocka'!AM41+'Coûts annuels réseaux et stocka'!AM45</f>
        <v>4772.7354374042052</v>
      </c>
      <c r="AK25">
        <f>'Coûts annuels réseaux et stocka'!AN11+'Coûts annuels réseaux et stocka'!AN16+'Coûts annuels réseaux et stocka'!AN22+'Coûts annuels réseaux et stocka'!AN27+'Coûts annuels réseaux et stocka'!AN32+'Coûts annuels réseaux et stocka'!AN41+'Coûts annuels réseaux et stocka'!AN45</f>
        <v>4795.0492348910911</v>
      </c>
      <c r="AL25">
        <f>'Coûts annuels réseaux et stocka'!AO11+'Coûts annuels réseaux et stocka'!AO16+'Coûts annuels réseaux et stocka'!AO22+'Coûts annuels réseaux et stocka'!AO27+'Coûts annuels réseaux et stocka'!AO32+'Coûts annuels réseaux et stocka'!AO41+'Coûts annuels réseaux et stocka'!AO45</f>
        <v>4816.9233054042807</v>
      </c>
      <c r="AM25">
        <f>'Coûts annuels réseaux et stocka'!AP11+'Coûts annuels réseaux et stocka'!AP16+'Coûts annuels réseaux et stocka'!AP22+'Coûts annuels réseaux et stocka'!AP27+'Coûts annuels réseaux et stocka'!AP32+'Coûts annuels réseaux et stocka'!AP41+'Coûts annuels réseaux et stocka'!AP45</f>
        <v>4838.8039392790961</v>
      </c>
    </row>
    <row r="26" spans="1:39" x14ac:dyDescent="0.25">
      <c r="A26" t="s">
        <v>220</v>
      </c>
      <c r="B26">
        <f>'Coûts annuels réseaux et stocka'!E12+'Coûts annuels réseaux et stocka'!E13+'Coûts annuels réseaux et stocka'!E17+'Coûts annuels réseaux et stocka'!E18+'Coûts annuels réseaux et stocka'!E24+'Coûts annuels réseaux et stocka'!E28+'Coûts annuels réseaux et stocka'!E33+'Coûts annuels réseaux et stocka'!E42+'Coûts annuels réseaux et stocka'!E46</f>
        <v>9690.2539859649114</v>
      </c>
      <c r="C26">
        <f>'Coûts annuels réseaux et stocka'!F12+'Coûts annuels réseaux et stocka'!F13+'Coûts annuels réseaux et stocka'!F17+'Coûts annuels réseaux et stocka'!F18+'Coûts annuels réseaux et stocka'!F24+'Coûts annuels réseaux et stocka'!F28+'Coûts annuels réseaux et stocka'!F33+'Coûts annuels réseaux et stocka'!F42+'Coûts annuels réseaux et stocka'!F46</f>
        <v>9681.4345633331868</v>
      </c>
      <c r="D26">
        <f>'Coûts annuels réseaux et stocka'!G12+'Coûts annuels réseaux et stocka'!G13+'Coûts annuels réseaux et stocka'!G17+'Coûts annuels réseaux et stocka'!G18+'Coûts annuels réseaux et stocka'!G24+'Coûts annuels réseaux et stocka'!G28+'Coûts annuels réseaux et stocka'!G33+'Coûts annuels réseaux et stocka'!G42+'Coûts annuels réseaux et stocka'!G46</f>
        <v>9672.5851249361112</v>
      </c>
      <c r="E26">
        <f>'Coûts annuels réseaux et stocka'!H12+'Coûts annuels réseaux et stocka'!H13+'Coûts annuels réseaux et stocka'!H17+'Coûts annuels réseaux et stocka'!H18+'Coûts annuels réseaux et stocka'!H24+'Coûts annuels réseaux et stocka'!H28+'Coûts annuels réseaux et stocka'!H33+'Coûts annuels réseaux et stocka'!H42+'Coûts annuels réseaux et stocka'!H46</f>
        <v>9663.705670773681</v>
      </c>
      <c r="F26">
        <f>'Coûts annuels réseaux et stocka'!I12+'Coûts annuels réseaux et stocka'!I13+'Coûts annuels réseaux et stocka'!I17+'Coûts annuels réseaux et stocka'!I18+'Coûts annuels réseaux et stocka'!I24+'Coûts annuels réseaux et stocka'!I28+'Coûts annuels réseaux et stocka'!I33+'Coûts annuels réseaux et stocka'!I42+'Coûts annuels réseaux et stocka'!I46</f>
        <v>9654.7962008459053</v>
      </c>
      <c r="G26">
        <f>'Coûts annuels réseaux et stocka'!J12+'Coûts annuels réseaux et stocka'!J13+'Coûts annuels réseaux et stocka'!J17+'Coûts annuels réseaux et stocka'!J18+'Coûts annuels réseaux et stocka'!J24+'Coûts annuels réseaux et stocka'!J28+'Coûts annuels réseaux et stocka'!J33+'Coûts annuels réseaux et stocka'!J42+'Coûts annuels réseaux et stocka'!J46</f>
        <v>9645.8567151527823</v>
      </c>
      <c r="H26">
        <f>'Coûts annuels réseaux et stocka'!K12+'Coûts annuels réseaux et stocka'!K13+'Coûts annuels réseaux et stocka'!K17+'Coûts annuels réseaux et stocka'!K18+'Coûts annuels réseaux et stocka'!K24+'Coûts annuels réseaux et stocka'!K28+'Coûts annuels réseaux et stocka'!K33+'Coûts annuels réseaux et stocka'!K42+'Coûts annuels réseaux et stocka'!K46</f>
        <v>9636.8872136943028</v>
      </c>
      <c r="I26">
        <f>'Coûts annuels réseaux et stocka'!L12+'Coûts annuels réseaux et stocka'!L13+'Coûts annuels réseaux et stocka'!L17+'Coûts annuels réseaux et stocka'!L18+'Coûts annuels réseaux et stocka'!L24+'Coûts annuels réseaux et stocka'!L28+'Coûts annuels réseaux et stocka'!L33+'Coûts annuels réseaux et stocka'!L42+'Coûts annuels réseaux et stocka'!L46</f>
        <v>9627.8876964704777</v>
      </c>
      <c r="J26">
        <f>'Coûts annuels réseaux et stocka'!M12+'Coûts annuels réseaux et stocka'!M13+'Coûts annuels réseaux et stocka'!M17+'Coûts annuels réseaux et stocka'!M18+'Coûts annuels réseaux et stocka'!M24+'Coûts annuels réseaux et stocka'!M28+'Coûts annuels réseaux et stocka'!M33+'Coûts annuels réseaux et stocka'!M42+'Coûts annuels réseaux et stocka'!M46</f>
        <v>9618.8581634813054</v>
      </c>
      <c r="K26">
        <f>'Coûts annuels réseaux et stocka'!N12+'Coûts annuels réseaux et stocka'!N13+'Coûts annuels réseaux et stocka'!N17+'Coûts annuels réseaux et stocka'!N18+'Coûts annuels réseaux et stocka'!N24+'Coûts annuels réseaux et stocka'!N28+'Coûts annuels réseaux et stocka'!N33+'Coûts annuels réseaux et stocka'!N42+'Coûts annuels réseaux et stocka'!N46</f>
        <v>9609.7986147267784</v>
      </c>
      <c r="L26">
        <f>'Coûts annuels réseaux et stocka'!O12+'Coûts annuels réseaux et stocka'!O13+'Coûts annuels réseaux et stocka'!O17+'Coûts annuels réseaux et stocka'!O18+'Coûts annuels réseaux et stocka'!O24+'Coûts annuels réseaux et stocka'!O28+'Coûts annuels réseaux et stocka'!O33+'Coûts annuels réseaux et stocka'!O42+'Coûts annuels réseaux et stocka'!O46</f>
        <v>9600.7090502069041</v>
      </c>
      <c r="M26">
        <f>'Coûts annuels réseaux et stocka'!P12+'Coûts annuels réseaux et stocka'!P13+'Coûts annuels réseaux et stocka'!P17+'Coûts annuels réseaux et stocka'!P18+'Coûts annuels réseaux et stocka'!P24+'Coûts annuels réseaux et stocka'!P28+'Coûts annuels réseaux et stocka'!P33+'Coûts annuels réseaux et stocka'!P42+'Coûts annuels réseaux et stocka'!P46</f>
        <v>9591.5894699216788</v>
      </c>
      <c r="N26">
        <f>'Coûts annuels réseaux et stocka'!Q12+'Coûts annuels réseaux et stocka'!Q13+'Coûts annuels réseaux et stocka'!Q17+'Coûts annuels réseaux et stocka'!Q18+'Coûts annuels réseaux et stocka'!Q24+'Coûts annuels réseaux et stocka'!Q28+'Coûts annuels réseaux et stocka'!Q33+'Coûts annuels réseaux et stocka'!Q42+'Coûts annuels réseaux et stocka'!Q46</f>
        <v>9582.4398738711061</v>
      </c>
      <c r="O26">
        <f>'Coûts annuels réseaux et stocka'!R12+'Coûts annuels réseaux et stocka'!R13+'Coûts annuels réseaux et stocka'!R17+'Coûts annuels réseaux et stocka'!R18+'Coûts annuels réseaux et stocka'!R24+'Coûts annuels réseaux et stocka'!R28+'Coûts annuels réseaux et stocka'!R33+'Coûts annuels réseaux et stocka'!R42+'Coûts annuels réseaux et stocka'!R46</f>
        <v>9573.2602620551806</v>
      </c>
      <c r="P26">
        <f>'Coûts annuels réseaux et stocka'!S12+'Coûts annuels réseaux et stocka'!S13+'Coûts annuels réseaux et stocka'!S17+'Coûts annuels réseaux et stocka'!S18+'Coûts annuels réseaux et stocka'!S24+'Coûts annuels réseaux et stocka'!S28+'Coûts annuels réseaux et stocka'!S33+'Coûts annuels réseaux et stocka'!S42+'Coûts annuels réseaux et stocka'!S46</f>
        <v>9564.0506344739078</v>
      </c>
      <c r="Q26">
        <f>'Coûts annuels réseaux et stocka'!T12+'Coûts annuels réseaux et stocka'!T13+'Coûts annuels réseaux et stocka'!T17+'Coûts annuels réseaux et stocka'!T18+'Coûts annuels réseaux et stocka'!T24+'Coûts annuels réseaux et stocka'!T28+'Coûts annuels réseaux et stocka'!T33+'Coûts annuels réseaux et stocka'!T42+'Coûts annuels réseaux et stocka'!T46</f>
        <v>9554.8109911272841</v>
      </c>
      <c r="R26">
        <f>'Coûts annuels réseaux et stocka'!U12+'Coûts annuels réseaux et stocka'!U13+'Coûts annuels réseaux et stocka'!U17+'Coûts annuels réseaux et stocka'!U18+'Coûts annuels réseaux et stocka'!U24+'Coûts annuels réseaux et stocka'!U28+'Coûts annuels réseaux et stocka'!U33+'Coûts annuels réseaux et stocka'!U42+'Coûts annuels réseaux et stocka'!U46</f>
        <v>9562.9833695067427</v>
      </c>
      <c r="S26">
        <f>'Coûts annuels réseaux et stocka'!V12+'Coûts annuels réseaux et stocka'!V13+'Coûts annuels réseaux et stocka'!V17+'Coûts annuels réseaux et stocka'!V18+'Coûts annuels réseaux et stocka'!V24+'Coûts annuels réseaux et stocka'!V28+'Coûts annuels réseaux et stocka'!V33+'Coûts annuels réseaux et stocka'!V42+'Coûts annuels réseaux et stocka'!V46</f>
        <v>9571.1006388552723</v>
      </c>
      <c r="T26">
        <f>'Coûts annuels réseaux et stocka'!W12+'Coûts annuels réseaux et stocka'!W13+'Coûts annuels réseaux et stocka'!W17+'Coûts annuels réseaux et stocka'!W18+'Coûts annuels réseaux et stocka'!W24+'Coûts annuels réseaux et stocka'!W28+'Coûts annuels réseaux et stocka'!W33+'Coûts annuels réseaux et stocka'!W42+'Coûts annuels réseaux et stocka'!W46</f>
        <v>9585.3846747255084</v>
      </c>
      <c r="U26">
        <f>'Coûts annuels réseaux et stocka'!X12+'Coûts annuels réseaux et stocka'!X13+'Coûts annuels réseaux et stocka'!X17+'Coûts annuels réseaux et stocka'!X18+'Coûts annuels réseaux et stocka'!X24+'Coûts annuels réseaux et stocka'!X28+'Coûts annuels réseaux et stocka'!X33+'Coûts annuels réseaux et stocka'!X42+'Coûts annuels réseaux et stocka'!X46</f>
        <v>9599.6430703939823</v>
      </c>
      <c r="V26">
        <f>'Coûts annuels réseaux et stocka'!Y12+'Coûts annuels réseaux et stocka'!Y13+'Coûts annuels réseaux et stocka'!Y17+'Coûts annuels réseaux et stocka'!Y18+'Coûts annuels réseaux et stocka'!Y24+'Coûts annuels réseaux et stocka'!Y28+'Coûts annuels réseaux et stocka'!Y33+'Coûts annuels réseaux et stocka'!Y42+'Coûts annuels réseaux et stocka'!Y46</f>
        <v>9613.8758258607013</v>
      </c>
      <c r="W26">
        <f>'Coûts annuels réseaux et stocka'!Z12+'Coûts annuels réseaux et stocka'!Z13+'Coûts annuels réseaux et stocka'!Z17+'Coûts annuels réseaux et stocka'!Z18+'Coûts annuels réseaux et stocka'!Z24+'Coûts annuels réseaux et stocka'!Z28+'Coûts annuels réseaux et stocka'!Z33+'Coûts annuels réseaux et stocka'!Z42+'Coûts annuels réseaux et stocka'!Z46</f>
        <v>9628.0829411256618</v>
      </c>
      <c r="X26">
        <f>'Coûts annuels réseaux et stocka'!AA12+'Coûts annuels réseaux et stocka'!AA13+'Coûts annuels réseaux et stocka'!AA17+'Coûts annuels réseaux et stocka'!AA18+'Coûts annuels réseaux et stocka'!AA24+'Coûts annuels réseaux et stocka'!AA28+'Coûts annuels réseaux et stocka'!AA33+'Coûts annuels réseaux et stocka'!AA42+'Coûts annuels réseaux et stocka'!AA46</f>
        <v>9642.2644161888657</v>
      </c>
      <c r="Y26">
        <f>'Coûts annuels réseaux et stocka'!AB12+'Coûts annuels réseaux et stocka'!AB13+'Coûts annuels réseaux et stocka'!AB17+'Coûts annuels réseaux et stocka'!AB18+'Coûts annuels réseaux et stocka'!AB24+'Coûts annuels réseaux et stocka'!AB28+'Coûts annuels réseaux et stocka'!AB33+'Coûts annuels réseaux et stocka'!AB42+'Coûts annuels réseaux et stocka'!AB46</f>
        <v>9656.4202510503073</v>
      </c>
      <c r="Z26">
        <f>'Coûts annuels réseaux et stocka'!AC12+'Coûts annuels réseaux et stocka'!AC13+'Coûts annuels réseaux et stocka'!AC17+'Coûts annuels réseaux et stocka'!AC18+'Coûts annuels réseaux et stocka'!AC24+'Coûts annuels réseaux et stocka'!AC28+'Coûts annuels réseaux et stocka'!AC33+'Coûts annuels réseaux et stocka'!AC42+'Coûts annuels réseaux et stocka'!AC46</f>
        <v>9670.550445709996</v>
      </c>
      <c r="AA26">
        <f>'Coûts annuels réseaux et stocka'!AD12+'Coûts annuels réseaux et stocka'!AD13+'Coûts annuels réseaux et stocka'!AD17+'Coûts annuels réseaux et stocka'!AD18+'Coûts annuels réseaux et stocka'!AD24+'Coûts annuels réseaux et stocka'!AD28+'Coûts annuels réseaux et stocka'!AD33+'Coûts annuels réseaux et stocka'!AD42+'Coûts annuels réseaux et stocka'!AD46</f>
        <v>9684.6550001679243</v>
      </c>
      <c r="AB26">
        <f>'Coûts annuels réseaux et stocka'!AE12+'Coûts annuels réseaux et stocka'!AE13+'Coûts annuels réseaux et stocka'!AE17+'Coûts annuels réseaux et stocka'!AE18+'Coûts annuels réseaux et stocka'!AE24+'Coûts annuels réseaux et stocka'!AE28+'Coûts annuels réseaux et stocka'!AE33+'Coûts annuels réseaux et stocka'!AE42+'Coûts annuels réseaux et stocka'!AE46</f>
        <v>9698.7339144240959</v>
      </c>
      <c r="AC26">
        <f>'Coûts annuels réseaux et stocka'!AF12+'Coûts annuels réseaux et stocka'!AF13+'Coûts annuels réseaux et stocka'!AF17+'Coûts annuels réseaux et stocka'!AF18+'Coûts annuels réseaux et stocka'!AF24+'Coûts annuels réseaux et stocka'!AF28+'Coûts annuels réseaux et stocka'!AF33+'Coûts annuels réseaux et stocka'!AF42+'Coûts annuels réseaux et stocka'!AF46</f>
        <v>9712.7871884785072</v>
      </c>
      <c r="AD26">
        <f>'Coûts annuels réseaux et stocka'!AG12+'Coûts annuels réseaux et stocka'!AG13+'Coûts annuels réseaux et stocka'!AG17+'Coûts annuels réseaux et stocka'!AG18+'Coûts annuels réseaux et stocka'!AG24+'Coûts annuels réseaux et stocka'!AG28+'Coûts annuels réseaux et stocka'!AG33+'Coûts annuels réseaux et stocka'!AG42+'Coûts annuels réseaux et stocka'!AG46</f>
        <v>9726.8148223311618</v>
      </c>
      <c r="AE26">
        <f>'Coûts annuels réseaux et stocka'!AH12+'Coûts annuels réseaux et stocka'!AH13+'Coûts annuels réseaux et stocka'!AH17+'Coûts annuels réseaux et stocka'!AH18+'Coûts annuels réseaux et stocka'!AH24+'Coûts annuels réseaux et stocka'!AH28+'Coûts annuels réseaux et stocka'!AH33+'Coûts annuels réseaux et stocka'!AH42+'Coûts annuels réseaux et stocka'!AH46</f>
        <v>9740.8168159820598</v>
      </c>
      <c r="AF26">
        <f>'Coûts annuels réseaux et stocka'!AI12+'Coûts annuels réseaux et stocka'!AI13+'Coûts annuels réseaux et stocka'!AI17+'Coûts annuels réseaux et stocka'!AI18+'Coûts annuels réseaux et stocka'!AI24+'Coûts annuels réseaux et stocka'!AI28+'Coûts annuels réseaux et stocka'!AI33+'Coûts annuels réseaux et stocka'!AI42+'Coûts annuels réseaux et stocka'!AI46</f>
        <v>9754.7931694311974</v>
      </c>
      <c r="AG26">
        <f>'Coûts annuels réseaux et stocka'!AJ12+'Coûts annuels réseaux et stocka'!AJ13+'Coûts annuels réseaux et stocka'!AJ17+'Coûts annuels réseaux et stocka'!AJ18+'Coûts annuels réseaux et stocka'!AJ24+'Coûts annuels réseaux et stocka'!AJ28+'Coûts annuels réseaux et stocka'!AJ33+'Coûts annuels réseaux et stocka'!AJ42+'Coûts annuels réseaux et stocka'!AJ46</f>
        <v>9768.7438826785783</v>
      </c>
      <c r="AH26">
        <f>'Coûts annuels réseaux et stocka'!AK12+'Coûts annuels réseaux et stocka'!AK13+'Coûts annuels réseaux et stocka'!AK17+'Coûts annuels réseaux et stocka'!AK18+'Coûts annuels réseaux et stocka'!AK24+'Coûts annuels réseaux et stocka'!AK28+'Coûts annuels réseaux et stocka'!AK33+'Coûts annuels réseaux et stocka'!AK42+'Coûts annuels réseaux et stocka'!AK46</f>
        <v>9782.6689557241989</v>
      </c>
      <c r="AI26">
        <f>'Coûts annuels réseaux et stocka'!AL12+'Coûts annuels réseaux et stocka'!AL13+'Coûts annuels réseaux et stocka'!AL17+'Coûts annuels réseaux et stocka'!AL18+'Coûts annuels réseaux et stocka'!AL24+'Coûts annuels réseaux et stocka'!AL28+'Coûts annuels réseaux et stocka'!AL33+'Coûts annuels réseaux et stocka'!AL42+'Coûts annuels réseaux et stocka'!AL46</f>
        <v>9796.5683885680646</v>
      </c>
      <c r="AJ26">
        <f>'Coûts annuels réseaux et stocka'!AM12+'Coûts annuels réseaux et stocka'!AM13+'Coûts annuels réseaux et stocka'!AM17+'Coûts annuels réseaux et stocka'!AM18+'Coûts annuels réseaux et stocka'!AM24+'Coûts annuels réseaux et stocka'!AM28+'Coûts annuels réseaux et stocka'!AM33+'Coûts annuels réseaux et stocka'!AM42+'Coûts annuels réseaux et stocka'!AM46</f>
        <v>9810.4421812101737</v>
      </c>
      <c r="AK26">
        <f>'Coûts annuels réseaux et stocka'!AN12+'Coûts annuels réseaux et stocka'!AN13+'Coûts annuels réseaux et stocka'!AN17+'Coûts annuels réseaux et stocka'!AN18+'Coûts annuels réseaux et stocka'!AN24+'Coûts annuels réseaux et stocka'!AN28+'Coûts annuels réseaux et stocka'!AN33+'Coûts annuels réseaux et stocka'!AN42+'Coûts annuels réseaux et stocka'!AN46</f>
        <v>9824.2903336505187</v>
      </c>
      <c r="AL26">
        <f>'Coûts annuels réseaux et stocka'!AO12+'Coûts annuels réseaux et stocka'!AO13+'Coûts annuels réseaux et stocka'!AO17+'Coûts annuels réseaux et stocka'!AO18+'Coûts annuels réseaux et stocka'!AO24+'Coûts annuels réseaux et stocka'!AO28+'Coûts annuels réseaux et stocka'!AO33+'Coûts annuels réseaux et stocka'!AO42+'Coûts annuels réseaux et stocka'!AO46</f>
        <v>9838.1128458891108</v>
      </c>
      <c r="AM26">
        <f>'Coûts annuels réseaux et stocka'!AP12+'Coûts annuels réseaux et stocka'!AP13+'Coûts annuels réseaux et stocka'!AP17+'Coûts annuels réseaux et stocka'!AP18+'Coûts annuels réseaux et stocka'!AP24+'Coûts annuels réseaux et stocka'!AP28+'Coûts annuels réseaux et stocka'!AP33+'Coûts annuels réseaux et stocka'!AP42+'Coûts annuels réseaux et stocka'!AP46</f>
        <v>9851.9097179259443</v>
      </c>
    </row>
    <row r="27" spans="1:39" ht="15.75" thickBot="1" x14ac:dyDescent="0.3"/>
    <row r="28" spans="1:39" x14ac:dyDescent="0.25">
      <c r="A28" s="120" t="s">
        <v>207</v>
      </c>
      <c r="B28" s="121">
        <f>B4</f>
        <v>2013</v>
      </c>
      <c r="C28" s="121">
        <f t="shared" ref="C28:AM28" si="4">C4</f>
        <v>2014</v>
      </c>
      <c r="D28" s="121">
        <f t="shared" si="4"/>
        <v>2015</v>
      </c>
      <c r="E28" s="121">
        <f t="shared" si="4"/>
        <v>2016</v>
      </c>
      <c r="F28" s="121">
        <f t="shared" si="4"/>
        <v>2017</v>
      </c>
      <c r="G28" s="121">
        <f t="shared" si="4"/>
        <v>2018</v>
      </c>
      <c r="H28" s="121">
        <f t="shared" si="4"/>
        <v>2019</v>
      </c>
      <c r="I28" s="121">
        <f t="shared" si="4"/>
        <v>2020</v>
      </c>
      <c r="J28" s="121">
        <f t="shared" si="4"/>
        <v>2021</v>
      </c>
      <c r="K28" s="121">
        <f t="shared" si="4"/>
        <v>2022</v>
      </c>
      <c r="L28" s="121">
        <f t="shared" si="4"/>
        <v>2023</v>
      </c>
      <c r="M28" s="121">
        <f t="shared" si="4"/>
        <v>2024</v>
      </c>
      <c r="N28" s="121">
        <f t="shared" si="4"/>
        <v>2025</v>
      </c>
      <c r="O28" s="121">
        <f t="shared" si="4"/>
        <v>2026</v>
      </c>
      <c r="P28" s="121">
        <f t="shared" si="4"/>
        <v>2027</v>
      </c>
      <c r="Q28" s="121">
        <f t="shared" si="4"/>
        <v>2028</v>
      </c>
      <c r="R28" s="121">
        <f t="shared" si="4"/>
        <v>2029</v>
      </c>
      <c r="S28" s="121">
        <f t="shared" si="4"/>
        <v>2030</v>
      </c>
      <c r="T28" s="121">
        <f t="shared" si="4"/>
        <v>2031</v>
      </c>
      <c r="U28" s="121">
        <f t="shared" si="4"/>
        <v>2032</v>
      </c>
      <c r="V28" s="121">
        <f t="shared" si="4"/>
        <v>2033</v>
      </c>
      <c r="W28" s="121">
        <f t="shared" si="4"/>
        <v>2034</v>
      </c>
      <c r="X28" s="121">
        <f t="shared" si="4"/>
        <v>2035</v>
      </c>
      <c r="Y28" s="121">
        <f t="shared" si="4"/>
        <v>2036</v>
      </c>
      <c r="Z28" s="121">
        <f t="shared" si="4"/>
        <v>2037</v>
      </c>
      <c r="AA28" s="121">
        <f t="shared" si="4"/>
        <v>2038</v>
      </c>
      <c r="AB28" s="121">
        <f t="shared" si="4"/>
        <v>2039</v>
      </c>
      <c r="AC28" s="121">
        <f t="shared" si="4"/>
        <v>2040</v>
      </c>
      <c r="AD28" s="121">
        <f t="shared" si="4"/>
        <v>2041</v>
      </c>
      <c r="AE28" s="121">
        <f t="shared" si="4"/>
        <v>2042</v>
      </c>
      <c r="AF28" s="121">
        <f t="shared" si="4"/>
        <v>2043</v>
      </c>
      <c r="AG28" s="121">
        <f t="shared" si="4"/>
        <v>2044</v>
      </c>
      <c r="AH28" s="121">
        <f t="shared" si="4"/>
        <v>2045</v>
      </c>
      <c r="AI28" s="121">
        <f t="shared" si="4"/>
        <v>2046</v>
      </c>
      <c r="AJ28" s="121">
        <f t="shared" si="4"/>
        <v>2047</v>
      </c>
      <c r="AK28" s="121">
        <f t="shared" si="4"/>
        <v>2048</v>
      </c>
      <c r="AL28" s="121">
        <f t="shared" si="4"/>
        <v>2049</v>
      </c>
      <c r="AM28" s="121">
        <f t="shared" si="4"/>
        <v>2050</v>
      </c>
    </row>
    <row r="29" spans="1:39" x14ac:dyDescent="0.25">
      <c r="A29" s="123" t="s">
        <v>221</v>
      </c>
      <c r="B29" s="86">
        <f>B5+B$25*B100</f>
        <v>0</v>
      </c>
      <c r="C29" s="86">
        <f>C5+C$25*C100</f>
        <v>0</v>
      </c>
      <c r="D29" s="86">
        <f t="shared" ref="D29:AM29" si="5">D5+D$25*D100</f>
        <v>0</v>
      </c>
      <c r="E29" s="86">
        <f t="shared" si="5"/>
        <v>0</v>
      </c>
      <c r="F29" s="86">
        <f t="shared" si="5"/>
        <v>0</v>
      </c>
      <c r="G29" s="86">
        <f t="shared" si="5"/>
        <v>0</v>
      </c>
      <c r="H29" s="86">
        <f t="shared" si="5"/>
        <v>0</v>
      </c>
      <c r="I29" s="86">
        <f t="shared" si="5"/>
        <v>0</v>
      </c>
      <c r="J29" s="86">
        <f t="shared" si="5"/>
        <v>0</v>
      </c>
      <c r="K29" s="86">
        <f t="shared" si="5"/>
        <v>0</v>
      </c>
      <c r="L29" s="86">
        <f t="shared" si="5"/>
        <v>0</v>
      </c>
      <c r="M29" s="86">
        <f t="shared" si="5"/>
        <v>0</v>
      </c>
      <c r="N29" s="86">
        <f t="shared" si="5"/>
        <v>0</v>
      </c>
      <c r="O29" s="86">
        <f t="shared" si="5"/>
        <v>0</v>
      </c>
      <c r="P29" s="86">
        <f t="shared" si="5"/>
        <v>0</v>
      </c>
      <c r="Q29" s="86">
        <f t="shared" si="5"/>
        <v>0</v>
      </c>
      <c r="R29" s="86">
        <f t="shared" si="5"/>
        <v>0</v>
      </c>
      <c r="S29" s="86">
        <f t="shared" si="5"/>
        <v>0</v>
      </c>
      <c r="T29" s="86">
        <f t="shared" si="5"/>
        <v>0</v>
      </c>
      <c r="U29" s="86">
        <f t="shared" si="5"/>
        <v>0</v>
      </c>
      <c r="V29" s="86">
        <f t="shared" si="5"/>
        <v>0</v>
      </c>
      <c r="W29" s="86">
        <f t="shared" si="5"/>
        <v>0</v>
      </c>
      <c r="X29" s="86">
        <f t="shared" si="5"/>
        <v>0</v>
      </c>
      <c r="Y29" s="86">
        <f t="shared" si="5"/>
        <v>0</v>
      </c>
      <c r="Z29" s="86">
        <f t="shared" si="5"/>
        <v>0</v>
      </c>
      <c r="AA29" s="86">
        <f t="shared" si="5"/>
        <v>0</v>
      </c>
      <c r="AB29" s="86">
        <f t="shared" si="5"/>
        <v>0</v>
      </c>
      <c r="AC29" s="86">
        <f t="shared" si="5"/>
        <v>0</v>
      </c>
      <c r="AD29" s="86">
        <f t="shared" si="5"/>
        <v>0</v>
      </c>
      <c r="AE29" s="86">
        <f t="shared" si="5"/>
        <v>0</v>
      </c>
      <c r="AF29" s="86">
        <f t="shared" si="5"/>
        <v>0</v>
      </c>
      <c r="AG29" s="86">
        <f t="shared" si="5"/>
        <v>0</v>
      </c>
      <c r="AH29" s="86">
        <f t="shared" si="5"/>
        <v>0</v>
      </c>
      <c r="AI29" s="86">
        <f t="shared" si="5"/>
        <v>0</v>
      </c>
      <c r="AJ29" s="86">
        <f t="shared" si="5"/>
        <v>0</v>
      </c>
      <c r="AK29" s="86">
        <f t="shared" si="5"/>
        <v>0</v>
      </c>
      <c r="AL29" s="86">
        <f t="shared" si="5"/>
        <v>0</v>
      </c>
      <c r="AM29" s="86">
        <f t="shared" si="5"/>
        <v>0</v>
      </c>
    </row>
    <row r="30" spans="1:39" x14ac:dyDescent="0.25">
      <c r="A30" s="123" t="s">
        <v>222</v>
      </c>
      <c r="B30" s="86">
        <f t="shared" ref="B30:B33" si="6">B6+B$25*B101</f>
        <v>1033.0159769900636</v>
      </c>
      <c r="C30" s="86">
        <f t="shared" ref="C30:AM30" si="7">C6+C$25*C101</f>
        <v>1326.2676327380398</v>
      </c>
      <c r="D30" s="86">
        <f t="shared" si="7"/>
        <v>1620.1604306455972</v>
      </c>
      <c r="E30" s="86">
        <f t="shared" si="7"/>
        <v>1913.050669873556</v>
      </c>
      <c r="F30" s="86">
        <f t="shared" si="7"/>
        <v>2205.3049316465708</v>
      </c>
      <c r="G30" s="86">
        <f t="shared" si="7"/>
        <v>2556.8132120171581</v>
      </c>
      <c r="H30" s="86">
        <f t="shared" si="7"/>
        <v>2906.3058569511863</v>
      </c>
      <c r="I30" s="86">
        <f t="shared" si="7"/>
        <v>3253.4851629143909</v>
      </c>
      <c r="J30" s="86">
        <f t="shared" si="7"/>
        <v>3596.1398414413261</v>
      </c>
      <c r="K30" s="86">
        <f t="shared" si="7"/>
        <v>3933.1527997798257</v>
      </c>
      <c r="L30" s="86">
        <f t="shared" si="7"/>
        <v>4267.0841571923129</v>
      </c>
      <c r="M30" s="86">
        <f t="shared" si="7"/>
        <v>4577.572207385203</v>
      </c>
      <c r="N30" s="86">
        <f t="shared" si="7"/>
        <v>4885.5376470435076</v>
      </c>
      <c r="O30" s="86">
        <f t="shared" si="7"/>
        <v>5190.9878679265857</v>
      </c>
      <c r="P30" s="86">
        <f t="shared" si="7"/>
        <v>5493.9304303758536</v>
      </c>
      <c r="Q30" s="86">
        <f t="shared" si="7"/>
        <v>5794.3730681483539</v>
      </c>
      <c r="R30" s="86">
        <f t="shared" si="7"/>
        <v>6094.130070276</v>
      </c>
      <c r="S30" s="86">
        <f t="shared" si="7"/>
        <v>6391.6045051602086</v>
      </c>
      <c r="T30" s="86">
        <f t="shared" si="7"/>
        <v>6691.3807489609499</v>
      </c>
      <c r="U30" s="86">
        <f t="shared" si="7"/>
        <v>6991.0942529427293</v>
      </c>
      <c r="V30" s="86">
        <f t="shared" si="7"/>
        <v>7247.1342308054791</v>
      </c>
      <c r="W30" s="86">
        <f t="shared" si="7"/>
        <v>7510.5076961301556</v>
      </c>
      <c r="X30" s="86">
        <f t="shared" si="7"/>
        <v>7790.0068961467823</v>
      </c>
      <c r="Y30" s="86">
        <f t="shared" si="7"/>
        <v>8068.6521552700624</v>
      </c>
      <c r="Z30" s="86">
        <f t="shared" si="7"/>
        <v>8346.0022930575087</v>
      </c>
      <c r="AA30" s="86">
        <f t="shared" si="7"/>
        <v>8600.5545297403387</v>
      </c>
      <c r="AB30" s="86">
        <f t="shared" si="7"/>
        <v>8857.7875005362312</v>
      </c>
      <c r="AC30" s="86">
        <f t="shared" si="7"/>
        <v>9118.8025171709141</v>
      </c>
      <c r="AD30" s="86">
        <f t="shared" si="7"/>
        <v>9390.4660835392369</v>
      </c>
      <c r="AE30" s="86">
        <f t="shared" si="7"/>
        <v>9654.1050762571158</v>
      </c>
      <c r="AF30" s="86">
        <f t="shared" si="7"/>
        <v>9920.3699197986534</v>
      </c>
      <c r="AG30" s="86">
        <f t="shared" si="7"/>
        <v>10194.109093033783</v>
      </c>
      <c r="AH30" s="86">
        <f t="shared" si="7"/>
        <v>10470.122944893175</v>
      </c>
      <c r="AI30" s="86">
        <f t="shared" si="7"/>
        <v>10748.437249371058</v>
      </c>
      <c r="AJ30" s="86">
        <f t="shared" si="7"/>
        <v>11029.078443942093</v>
      </c>
      <c r="AK30" s="86">
        <f t="shared" si="7"/>
        <v>11312.07365104899</v>
      </c>
      <c r="AL30" s="86">
        <f t="shared" si="7"/>
        <v>11597.264225159144</v>
      </c>
      <c r="AM30" s="86">
        <f t="shared" si="7"/>
        <v>11884.863642398466</v>
      </c>
    </row>
    <row r="31" spans="1:39" x14ac:dyDescent="0.25">
      <c r="A31" s="123" t="s">
        <v>223</v>
      </c>
      <c r="B31" s="86">
        <f t="shared" si="6"/>
        <v>720.13750362112705</v>
      </c>
      <c r="C31" s="86">
        <f t="shared" ref="C31:AM31" si="8">C7+C$25*C102</f>
        <v>924.14120397751287</v>
      </c>
      <c r="D31" s="86">
        <f t="shared" si="8"/>
        <v>1123.7023622276097</v>
      </c>
      <c r="E31" s="86">
        <f t="shared" si="8"/>
        <v>1319.0112532158962</v>
      </c>
      <c r="F31" s="86">
        <f t="shared" si="8"/>
        <v>1510.1754583045115</v>
      </c>
      <c r="G31" s="86">
        <f t="shared" si="8"/>
        <v>1697.4092496880064</v>
      </c>
      <c r="H31" s="86">
        <f t="shared" si="8"/>
        <v>1880.4201567857353</v>
      </c>
      <c r="I31" s="86">
        <f t="shared" si="8"/>
        <v>2059.1242721555927</v>
      </c>
      <c r="J31" s="86">
        <f t="shared" si="8"/>
        <v>2232.9091899721252</v>
      </c>
      <c r="K31" s="86">
        <f t="shared" si="8"/>
        <v>2401.4809616571206</v>
      </c>
      <c r="L31" s="86">
        <f t="shared" si="8"/>
        <v>2565.5566008886103</v>
      </c>
      <c r="M31" s="86">
        <f t="shared" si="8"/>
        <v>2725.2211115258538</v>
      </c>
      <c r="N31" s="86">
        <f t="shared" si="8"/>
        <v>2880.4060666894497</v>
      </c>
      <c r="O31" s="86">
        <f t="shared" si="8"/>
        <v>3031.1134593278243</v>
      </c>
      <c r="P31" s="86">
        <f t="shared" si="8"/>
        <v>3177.3453278420907</v>
      </c>
      <c r="Q31" s="86">
        <f t="shared" si="8"/>
        <v>3319.10375738927</v>
      </c>
      <c r="R31" s="86">
        <f t="shared" si="8"/>
        <v>3456.8833639950572</v>
      </c>
      <c r="S31" s="86">
        <f t="shared" si="8"/>
        <v>3590.2481102297183</v>
      </c>
      <c r="T31" s="86">
        <f t="shared" si="8"/>
        <v>3721.6954033068828</v>
      </c>
      <c r="U31" s="86">
        <f t="shared" si="8"/>
        <v>3850.5805304267897</v>
      </c>
      <c r="V31" s="86">
        <f t="shared" si="8"/>
        <v>3976.9082898258157</v>
      </c>
      <c r="W31" s="86">
        <f t="shared" si="8"/>
        <v>4100.6216592633727</v>
      </c>
      <c r="X31" s="86">
        <f t="shared" si="8"/>
        <v>4225.7806616418093</v>
      </c>
      <c r="Y31" s="86">
        <f t="shared" si="8"/>
        <v>4347.766890437194</v>
      </c>
      <c r="Z31" s="86">
        <f t="shared" si="8"/>
        <v>4466.4613956370404</v>
      </c>
      <c r="AA31" s="86">
        <f t="shared" si="8"/>
        <v>4580.9334012745667</v>
      </c>
      <c r="AB31" s="86">
        <f t="shared" si="8"/>
        <v>4605.9731397623473</v>
      </c>
      <c r="AC31" s="86">
        <f t="shared" si="8"/>
        <v>4630.9432957156369</v>
      </c>
      <c r="AD31" s="86">
        <f t="shared" si="8"/>
        <v>4657.7068091968267</v>
      </c>
      <c r="AE31" s="86">
        <f t="shared" si="8"/>
        <v>4681.1964301860953</v>
      </c>
      <c r="AF31" s="86">
        <f t="shared" si="8"/>
        <v>4704.3028031554377</v>
      </c>
      <c r="AG31" s="86">
        <f t="shared" si="8"/>
        <v>4727.0325359781436</v>
      </c>
      <c r="AH31" s="86">
        <f t="shared" si="8"/>
        <v>4749.3924044674141</v>
      </c>
      <c r="AI31" s="86">
        <f t="shared" si="8"/>
        <v>4771.3893577457402</v>
      </c>
      <c r="AJ31" s="86">
        <f t="shared" si="8"/>
        <v>4793.030523821617</v>
      </c>
      <c r="AK31" s="86">
        <f t="shared" si="8"/>
        <v>4814.3232153829786</v>
      </c>
      <c r="AL31" s="86">
        <f t="shared" si="8"/>
        <v>4835.2244148313275</v>
      </c>
      <c r="AM31" s="86">
        <f t="shared" si="8"/>
        <v>4855.7919363163237</v>
      </c>
    </row>
    <row r="32" spans="1:39" x14ac:dyDescent="0.25">
      <c r="A32" s="123" t="s">
        <v>224</v>
      </c>
      <c r="B32" s="86">
        <f t="shared" si="6"/>
        <v>4622.9492744164227</v>
      </c>
      <c r="C32" s="86">
        <f t="shared" ref="C32:AM32" si="9">C8+C$25*C103</f>
        <v>4612.7032598169653</v>
      </c>
      <c r="D32" s="86">
        <f t="shared" si="9"/>
        <v>4602.1698895904619</v>
      </c>
      <c r="E32" s="86">
        <f t="shared" si="9"/>
        <v>4592.6445056199618</v>
      </c>
      <c r="F32" s="86">
        <f t="shared" si="9"/>
        <v>4584.1446495348846</v>
      </c>
      <c r="G32" s="86">
        <f t="shared" si="9"/>
        <v>4577.3164899626718</v>
      </c>
      <c r="H32" s="86">
        <f t="shared" si="9"/>
        <v>4569.7906371049921</v>
      </c>
      <c r="I32" s="86">
        <f t="shared" si="9"/>
        <v>4561.1332762266866</v>
      </c>
      <c r="J32" s="86">
        <f t="shared" si="9"/>
        <v>4548.7305069274198</v>
      </c>
      <c r="K32" s="86">
        <f t="shared" si="9"/>
        <v>4532.1272869953127</v>
      </c>
      <c r="L32" s="86">
        <f t="shared" si="9"/>
        <v>4514.7987583818867</v>
      </c>
      <c r="M32" s="86">
        <f t="shared" si="9"/>
        <v>4497.0350462538263</v>
      </c>
      <c r="N32" s="86">
        <f t="shared" si="9"/>
        <v>4478.5511474615741</v>
      </c>
      <c r="O32" s="86">
        <f t="shared" si="9"/>
        <v>4459.3473115079378</v>
      </c>
      <c r="P32" s="86">
        <f t="shared" si="9"/>
        <v>4439.4237935860774</v>
      </c>
      <c r="Q32" s="86">
        <f t="shared" si="9"/>
        <v>4418.7808547426575</v>
      </c>
      <c r="R32" s="86">
        <f t="shared" si="9"/>
        <v>4398.6708589882528</v>
      </c>
      <c r="S32" s="86">
        <f t="shared" si="9"/>
        <v>4377.8433619963189</v>
      </c>
      <c r="T32" s="86">
        <f t="shared" si="9"/>
        <v>4358.697263534008</v>
      </c>
      <c r="U32" s="86">
        <f t="shared" si="9"/>
        <v>4339.5821034663504</v>
      </c>
      <c r="V32" s="86">
        <f>V8+V$25*V103</f>
        <v>4320.4984824979601</v>
      </c>
      <c r="W32" s="86">
        <f t="shared" si="9"/>
        <v>4301.3235941010425</v>
      </c>
      <c r="X32" s="86">
        <f t="shared" si="9"/>
        <v>4289.8136766889347</v>
      </c>
      <c r="Y32" s="86">
        <f t="shared" si="9"/>
        <v>4276.5716557140058</v>
      </c>
      <c r="Z32" s="86">
        <f t="shared" si="9"/>
        <v>4261.5826394901187</v>
      </c>
      <c r="AA32" s="86">
        <f t="shared" si="9"/>
        <v>4243.462555647362</v>
      </c>
      <c r="AB32" s="86">
        <f t="shared" si="9"/>
        <v>4225.3868858220003</v>
      </c>
      <c r="AC32" s="86">
        <f t="shared" si="9"/>
        <v>4207.8155614405932</v>
      </c>
      <c r="AD32" s="86">
        <f t="shared" si="9"/>
        <v>4193.5169010267155</v>
      </c>
      <c r="AE32" s="86">
        <f t="shared" si="9"/>
        <v>4174.7276992719426</v>
      </c>
      <c r="AF32" s="86">
        <f t="shared" si="9"/>
        <v>4155.9810589940143</v>
      </c>
      <c r="AG32" s="86">
        <f t="shared" si="9"/>
        <v>4139.0956205404391</v>
      </c>
      <c r="AH32" s="86">
        <f t="shared" si="9"/>
        <v>4126.9621770432168</v>
      </c>
      <c r="AI32" s="86">
        <f t="shared" si="9"/>
        <v>4115.6052098177024</v>
      </c>
      <c r="AJ32" s="86">
        <f t="shared" si="9"/>
        <v>4105.0256112393708</v>
      </c>
      <c r="AK32" s="86">
        <f t="shared" si="9"/>
        <v>4095.2242968042415</v>
      </c>
      <c r="AL32" s="86">
        <f t="shared" si="9"/>
        <v>4086.1426079008838</v>
      </c>
      <c r="AM32" s="86">
        <f t="shared" si="9"/>
        <v>4077.8439505930405</v>
      </c>
    </row>
    <row r="33" spans="1:39" x14ac:dyDescent="0.25">
      <c r="A33" s="123" t="s">
        <v>225</v>
      </c>
      <c r="B33" s="86">
        <f t="shared" si="6"/>
        <v>377.13718484382792</v>
      </c>
      <c r="C33" s="86">
        <f>C9+C$25*C104</f>
        <v>429.08840556326226</v>
      </c>
      <c r="D33" s="86">
        <f t="shared" ref="D33:AM33" si="10">D9+D$25*D104</f>
        <v>481.03998510065003</v>
      </c>
      <c r="E33" s="86">
        <f t="shared" si="10"/>
        <v>532.75306984669987</v>
      </c>
      <c r="F33" s="86">
        <f t="shared" si="10"/>
        <v>584.294347081458</v>
      </c>
      <c r="G33" s="86">
        <f t="shared" si="10"/>
        <v>635.81905831509766</v>
      </c>
      <c r="H33" s="86">
        <f t="shared" si="10"/>
        <v>687.06075125511666</v>
      </c>
      <c r="I33" s="86">
        <f t="shared" si="10"/>
        <v>737.95200373280045</v>
      </c>
      <c r="J33" s="86">
        <f t="shared" si="10"/>
        <v>788.02098789096044</v>
      </c>
      <c r="K33" s="86">
        <f t="shared" si="10"/>
        <v>837.07055933680522</v>
      </c>
      <c r="L33" s="86">
        <f t="shared" si="10"/>
        <v>885.66835335593441</v>
      </c>
      <c r="M33" s="86">
        <f t="shared" si="10"/>
        <v>933.87719489848303</v>
      </c>
      <c r="N33" s="86">
        <f t="shared" si="10"/>
        <v>981.64462344082608</v>
      </c>
      <c r="O33" s="86">
        <f t="shared" si="10"/>
        <v>1028.9718715994909</v>
      </c>
      <c r="P33" s="86">
        <f t="shared" si="10"/>
        <v>1075.8602001029892</v>
      </c>
      <c r="Q33" s="86">
        <f t="shared" si="10"/>
        <v>1122.3108985978438</v>
      </c>
      <c r="R33" s="86">
        <f t="shared" si="10"/>
        <v>1168.673545131893</v>
      </c>
      <c r="S33" s="86">
        <f t="shared" si="10"/>
        <v>1214.6345932955242</v>
      </c>
      <c r="T33" s="86">
        <f t="shared" si="10"/>
        <v>1260.7827842471822</v>
      </c>
      <c r="U33" s="86">
        <f t="shared" si="10"/>
        <v>1306.6617944367576</v>
      </c>
      <c r="V33" s="86">
        <f t="shared" si="10"/>
        <v>1344.6142881027667</v>
      </c>
      <c r="W33" s="86">
        <f t="shared" si="10"/>
        <v>1382.4818018896092</v>
      </c>
      <c r="X33" s="86">
        <f t="shared" si="10"/>
        <v>1423.0337290772788</v>
      </c>
      <c r="Y33" s="86">
        <f t="shared" si="10"/>
        <v>1463.0901737109052</v>
      </c>
      <c r="Z33" s="86">
        <f t="shared" si="10"/>
        <v>1502.5775665252536</v>
      </c>
      <c r="AA33" s="86">
        <f t="shared" si="10"/>
        <v>1540.8737413172446</v>
      </c>
      <c r="AB33" s="86">
        <f t="shared" si="10"/>
        <v>1579.1635419316754</v>
      </c>
      <c r="AC33" s="86">
        <f t="shared" si="10"/>
        <v>1617.6473120990693</v>
      </c>
      <c r="AD33" s="86">
        <f t="shared" si="10"/>
        <v>1657.5702427678882</v>
      </c>
      <c r="AE33" s="86">
        <f t="shared" si="10"/>
        <v>1695.5368220216246</v>
      </c>
      <c r="AF33" s="86">
        <f t="shared" si="10"/>
        <v>1733.4878750074458</v>
      </c>
      <c r="AG33" s="86">
        <f t="shared" si="10"/>
        <v>1771.427488621797</v>
      </c>
      <c r="AH33" s="86">
        <f t="shared" si="10"/>
        <v>1809.3598536300956</v>
      </c>
      <c r="AI33" s="86">
        <f t="shared" si="10"/>
        <v>1847.2892679876368</v>
      </c>
      <c r="AJ33" s="86">
        <f t="shared" si="10"/>
        <v>1885.2201402887263</v>
      </c>
      <c r="AK33" s="86">
        <f t="shared" si="10"/>
        <v>1923.1569933498604</v>
      </c>
      <c r="AL33" s="86">
        <f t="shared" si="10"/>
        <v>1961.0712672892421</v>
      </c>
      <c r="AM33" s="86">
        <f t="shared" si="10"/>
        <v>1999.0007796768114</v>
      </c>
    </row>
    <row r="34" spans="1:39" x14ac:dyDescent="0.25">
      <c r="A34" s="125" t="s">
        <v>226</v>
      </c>
      <c r="B34" s="126">
        <f>B25*B105</f>
        <v>3229.593893948309</v>
      </c>
      <c r="C34" s="126">
        <f>C25*C105</f>
        <v>3180.5893144987708</v>
      </c>
      <c r="D34" s="126">
        <f t="shared" ref="D34:AM34" si="11">D25*D105</f>
        <v>3133.5346213188623</v>
      </c>
      <c r="E34" s="126">
        <f t="shared" si="11"/>
        <v>3096.198765639454</v>
      </c>
      <c r="F34" s="126">
        <f t="shared" si="11"/>
        <v>3068.0233559642888</v>
      </c>
      <c r="G34" s="126">
        <f t="shared" si="11"/>
        <v>3052.1295653454031</v>
      </c>
      <c r="H34" s="126">
        <f t="shared" si="11"/>
        <v>3033.9555208065935</v>
      </c>
      <c r="I34" s="126">
        <f t="shared" si="11"/>
        <v>3011.0269273709605</v>
      </c>
      <c r="J34" s="126">
        <f t="shared" si="11"/>
        <v>2969.110350444073</v>
      </c>
      <c r="K34" s="126">
        <f t="shared" si="11"/>
        <v>2906.911875103835</v>
      </c>
      <c r="L34" s="126">
        <f t="shared" si="11"/>
        <v>2843.9687340298119</v>
      </c>
      <c r="M34" s="126">
        <f t="shared" si="11"/>
        <v>2781.7531107530554</v>
      </c>
      <c r="N34" s="126">
        <f t="shared" si="11"/>
        <v>2718.7235346542057</v>
      </c>
      <c r="O34" s="126">
        <f t="shared" si="11"/>
        <v>2654.8691389061387</v>
      </c>
      <c r="P34" s="126">
        <f t="shared" si="11"/>
        <v>2590.1788088446533</v>
      </c>
      <c r="Q34" s="126">
        <f t="shared" si="11"/>
        <v>2524.6411748624992</v>
      </c>
      <c r="R34" s="126">
        <f t="shared" si="11"/>
        <v>2463.8041777570452</v>
      </c>
      <c r="S34" s="126">
        <f t="shared" si="11"/>
        <v>2401.7629723508226</v>
      </c>
      <c r="T34" s="126">
        <f t="shared" si="11"/>
        <v>2345.451580910822</v>
      </c>
      <c r="U34" s="126">
        <f t="shared" si="11"/>
        <v>2287.5134495205816</v>
      </c>
      <c r="V34" s="126">
        <f t="shared" si="11"/>
        <v>2227.9224151316462</v>
      </c>
      <c r="W34" s="126">
        <f t="shared" si="11"/>
        <v>2166.1882938391414</v>
      </c>
      <c r="X34" s="126">
        <f t="shared" si="11"/>
        <v>2130.3719870488262</v>
      </c>
      <c r="Y34" s="126">
        <f t="shared" si="11"/>
        <v>2084.5771188007138</v>
      </c>
      <c r="Z34" s="126">
        <f t="shared" si="11"/>
        <v>2029.4522805009824</v>
      </c>
      <c r="AA34" s="126">
        <f t="shared" si="11"/>
        <v>1961.2937358104834</v>
      </c>
      <c r="AB34" s="126">
        <f t="shared" si="11"/>
        <v>1891.0963437079856</v>
      </c>
      <c r="AC34" s="126">
        <f t="shared" si="11"/>
        <v>1820.1567921833239</v>
      </c>
      <c r="AD34" s="126">
        <f t="shared" si="11"/>
        <v>1755.874984950317</v>
      </c>
      <c r="AE34" s="126">
        <f t="shared" si="11"/>
        <v>1676.5071554952563</v>
      </c>
      <c r="AF34" s="126">
        <f t="shared" si="11"/>
        <v>1595.1811640503893</v>
      </c>
      <c r="AG34" s="126">
        <f t="shared" si="11"/>
        <v>1511.8609802724338</v>
      </c>
      <c r="AH34" s="126">
        <f t="shared" si="11"/>
        <v>1426.509658102563</v>
      </c>
      <c r="AI34" s="126">
        <f t="shared" si="11"/>
        <v>1339.0893064890961</v>
      </c>
      <c r="AJ34" s="126">
        <f t="shared" si="11"/>
        <v>1249.5610589796963</v>
      </c>
      <c r="AK34" s="126">
        <f t="shared" si="11"/>
        <v>1157.8850421318209</v>
      </c>
      <c r="AL34" s="126">
        <f t="shared" si="11"/>
        <v>1063.9268500249848</v>
      </c>
      <c r="AM34" s="126">
        <f t="shared" si="11"/>
        <v>967.76025908525355</v>
      </c>
    </row>
    <row r="35" spans="1:39" x14ac:dyDescent="0.25">
      <c r="A35" s="127" t="s">
        <v>213</v>
      </c>
      <c r="B35" s="86">
        <f>SUM(B29:B33)</f>
        <v>6753.2399398714406</v>
      </c>
      <c r="C35" s="86">
        <f t="shared" ref="C35:AM35" si="12">SUM(C29:C33)</f>
        <v>7292.2005020957804</v>
      </c>
      <c r="D35" s="86">
        <f t="shared" si="12"/>
        <v>7827.0726675643182</v>
      </c>
      <c r="E35" s="86">
        <f t="shared" si="12"/>
        <v>8357.4594985561143</v>
      </c>
      <c r="F35" s="86">
        <f t="shared" si="12"/>
        <v>8883.9193865674242</v>
      </c>
      <c r="G35" s="86">
        <f t="shared" si="12"/>
        <v>9467.3580099829342</v>
      </c>
      <c r="H35" s="86">
        <f t="shared" si="12"/>
        <v>10043.577402097029</v>
      </c>
      <c r="I35" s="86">
        <f t="shared" si="12"/>
        <v>10611.694715029471</v>
      </c>
      <c r="J35" s="86">
        <f t="shared" si="12"/>
        <v>11165.800526231831</v>
      </c>
      <c r="K35" s="86">
        <f t="shared" si="12"/>
        <v>11703.831607769063</v>
      </c>
      <c r="L35" s="86">
        <f t="shared" si="12"/>
        <v>12233.107869818745</v>
      </c>
      <c r="M35" s="86">
        <f t="shared" si="12"/>
        <v>12733.705560063367</v>
      </c>
      <c r="N35" s="86">
        <f t="shared" si="12"/>
        <v>13226.139484635358</v>
      </c>
      <c r="O35" s="86">
        <f t="shared" si="12"/>
        <v>13710.420510361839</v>
      </c>
      <c r="P35" s="86">
        <f t="shared" si="12"/>
        <v>14186.559751907009</v>
      </c>
      <c r="Q35" s="86">
        <f t="shared" si="12"/>
        <v>14654.568578878125</v>
      </c>
      <c r="R35" s="86">
        <f t="shared" si="12"/>
        <v>15118.357838391203</v>
      </c>
      <c r="S35" s="86">
        <f t="shared" si="12"/>
        <v>15574.330570681772</v>
      </c>
      <c r="T35" s="86">
        <f t="shared" si="12"/>
        <v>16032.556200049023</v>
      </c>
      <c r="U35" s="86">
        <f t="shared" si="12"/>
        <v>16487.918681272626</v>
      </c>
      <c r="V35" s="86">
        <f t="shared" si="12"/>
        <v>16889.155291232022</v>
      </c>
      <c r="W35" s="86">
        <f t="shared" si="12"/>
        <v>17294.934751384179</v>
      </c>
      <c r="X35" s="86">
        <f t="shared" si="12"/>
        <v>17728.634963554807</v>
      </c>
      <c r="Y35" s="86">
        <f t="shared" si="12"/>
        <v>18156.080875132167</v>
      </c>
      <c r="Z35" s="86">
        <f t="shared" si="12"/>
        <v>18576.623894709923</v>
      </c>
      <c r="AA35" s="86">
        <f t="shared" si="12"/>
        <v>18965.824227979512</v>
      </c>
      <c r="AB35" s="86">
        <f t="shared" si="12"/>
        <v>19268.311068052251</v>
      </c>
      <c r="AC35" s="86">
        <f t="shared" si="12"/>
        <v>19575.208686426216</v>
      </c>
      <c r="AD35" s="86">
        <f t="shared" si="12"/>
        <v>19899.260036530668</v>
      </c>
      <c r="AE35" s="86">
        <f t="shared" si="12"/>
        <v>20205.566027736779</v>
      </c>
      <c r="AF35" s="86">
        <f t="shared" si="12"/>
        <v>20514.141656955551</v>
      </c>
      <c r="AG35" s="86">
        <f t="shared" si="12"/>
        <v>20831.664738174164</v>
      </c>
      <c r="AH35" s="86">
        <f t="shared" si="12"/>
        <v>21155.837380033903</v>
      </c>
      <c r="AI35" s="86">
        <f t="shared" si="12"/>
        <v>21482.721084922137</v>
      </c>
      <c r="AJ35" s="86">
        <f t="shared" si="12"/>
        <v>21812.354719291809</v>
      </c>
      <c r="AK35" s="86">
        <f t="shared" si="12"/>
        <v>22144.778156586071</v>
      </c>
      <c r="AL35" s="86">
        <f t="shared" si="12"/>
        <v>22479.702515180597</v>
      </c>
      <c r="AM35" s="86">
        <f>SUM(AM29:AM33)</f>
        <v>22817.50030898464</v>
      </c>
    </row>
    <row r="36" spans="1:39" x14ac:dyDescent="0.25">
      <c r="A36" s="128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124"/>
    </row>
    <row r="37" spans="1:39" x14ac:dyDescent="0.25">
      <c r="A37" s="129" t="s">
        <v>214</v>
      </c>
      <c r="B37" s="130">
        <f>B28</f>
        <v>2013</v>
      </c>
      <c r="C37" s="130">
        <f t="shared" ref="C37:AM37" si="13">C28</f>
        <v>2014</v>
      </c>
      <c r="D37" s="130">
        <f t="shared" si="13"/>
        <v>2015</v>
      </c>
      <c r="E37" s="130">
        <f t="shared" si="13"/>
        <v>2016</v>
      </c>
      <c r="F37" s="130">
        <f t="shared" si="13"/>
        <v>2017</v>
      </c>
      <c r="G37" s="130">
        <f t="shared" si="13"/>
        <v>2018</v>
      </c>
      <c r="H37" s="130">
        <f t="shared" si="13"/>
        <v>2019</v>
      </c>
      <c r="I37" s="130">
        <f t="shared" si="13"/>
        <v>2020</v>
      </c>
      <c r="J37" s="130">
        <f t="shared" si="13"/>
        <v>2021</v>
      </c>
      <c r="K37" s="130">
        <f t="shared" si="13"/>
        <v>2022</v>
      </c>
      <c r="L37" s="130">
        <f t="shared" si="13"/>
        <v>2023</v>
      </c>
      <c r="M37" s="130">
        <f t="shared" si="13"/>
        <v>2024</v>
      </c>
      <c r="N37" s="130">
        <f t="shared" si="13"/>
        <v>2025</v>
      </c>
      <c r="O37" s="130">
        <f t="shared" si="13"/>
        <v>2026</v>
      </c>
      <c r="P37" s="130">
        <f t="shared" si="13"/>
        <v>2027</v>
      </c>
      <c r="Q37" s="130">
        <f t="shared" si="13"/>
        <v>2028</v>
      </c>
      <c r="R37" s="130">
        <f t="shared" si="13"/>
        <v>2029</v>
      </c>
      <c r="S37" s="130">
        <f t="shared" si="13"/>
        <v>2030</v>
      </c>
      <c r="T37" s="130">
        <f t="shared" si="13"/>
        <v>2031</v>
      </c>
      <c r="U37" s="130">
        <f t="shared" si="13"/>
        <v>2032</v>
      </c>
      <c r="V37" s="130">
        <f t="shared" si="13"/>
        <v>2033</v>
      </c>
      <c r="W37" s="130">
        <f t="shared" si="13"/>
        <v>2034</v>
      </c>
      <c r="X37" s="130">
        <f t="shared" si="13"/>
        <v>2035</v>
      </c>
      <c r="Y37" s="130">
        <f t="shared" si="13"/>
        <v>2036</v>
      </c>
      <c r="Z37" s="130">
        <f t="shared" si="13"/>
        <v>2037</v>
      </c>
      <c r="AA37" s="130">
        <f t="shared" si="13"/>
        <v>2038</v>
      </c>
      <c r="AB37" s="130">
        <f t="shared" si="13"/>
        <v>2039</v>
      </c>
      <c r="AC37" s="130">
        <f t="shared" si="13"/>
        <v>2040</v>
      </c>
      <c r="AD37" s="130">
        <f t="shared" si="13"/>
        <v>2041</v>
      </c>
      <c r="AE37" s="130">
        <f t="shared" si="13"/>
        <v>2042</v>
      </c>
      <c r="AF37" s="130">
        <f t="shared" si="13"/>
        <v>2043</v>
      </c>
      <c r="AG37" s="130">
        <f t="shared" si="13"/>
        <v>2044</v>
      </c>
      <c r="AH37" s="130">
        <f t="shared" si="13"/>
        <v>2045</v>
      </c>
      <c r="AI37" s="130">
        <f t="shared" si="13"/>
        <v>2046</v>
      </c>
      <c r="AJ37" s="130">
        <f t="shared" si="13"/>
        <v>2047</v>
      </c>
      <c r="AK37" s="130">
        <f t="shared" si="13"/>
        <v>2048</v>
      </c>
      <c r="AL37" s="130">
        <f t="shared" si="13"/>
        <v>2049</v>
      </c>
      <c r="AM37" s="130">
        <f t="shared" si="13"/>
        <v>2050</v>
      </c>
    </row>
    <row r="38" spans="1:39" x14ac:dyDescent="0.25">
      <c r="A38" s="123" t="s">
        <v>227</v>
      </c>
      <c r="B38" s="86">
        <f t="shared" ref="B38:B42" si="14">B13+B$26*B100</f>
        <v>0</v>
      </c>
      <c r="C38" s="86">
        <f t="shared" ref="C38:AL38" si="15">C13+C$26*C100</f>
        <v>0</v>
      </c>
      <c r="D38" s="86">
        <f t="shared" si="15"/>
        <v>0</v>
      </c>
      <c r="E38" s="86">
        <f t="shared" si="15"/>
        <v>0</v>
      </c>
      <c r="F38" s="86">
        <f t="shared" si="15"/>
        <v>0</v>
      </c>
      <c r="G38" s="86">
        <f t="shared" si="15"/>
        <v>0</v>
      </c>
      <c r="H38" s="86">
        <f t="shared" si="15"/>
        <v>0</v>
      </c>
      <c r="I38" s="86">
        <f t="shared" si="15"/>
        <v>0</v>
      </c>
      <c r="J38" s="86">
        <f t="shared" si="15"/>
        <v>0</v>
      </c>
      <c r="K38" s="86">
        <f t="shared" si="15"/>
        <v>0</v>
      </c>
      <c r="L38" s="86">
        <f t="shared" si="15"/>
        <v>0</v>
      </c>
      <c r="M38" s="86">
        <f t="shared" si="15"/>
        <v>0</v>
      </c>
      <c r="N38" s="86">
        <f t="shared" si="15"/>
        <v>0</v>
      </c>
      <c r="O38" s="86">
        <f t="shared" si="15"/>
        <v>0</v>
      </c>
      <c r="P38" s="86">
        <f t="shared" si="15"/>
        <v>0</v>
      </c>
      <c r="Q38" s="86">
        <f t="shared" si="15"/>
        <v>0</v>
      </c>
      <c r="R38" s="86">
        <f t="shared" si="15"/>
        <v>0</v>
      </c>
      <c r="S38" s="86">
        <f t="shared" si="15"/>
        <v>0</v>
      </c>
      <c r="T38" s="86">
        <f t="shared" si="15"/>
        <v>0</v>
      </c>
      <c r="U38" s="86">
        <f t="shared" si="15"/>
        <v>0</v>
      </c>
      <c r="V38" s="86">
        <f t="shared" si="15"/>
        <v>0</v>
      </c>
      <c r="W38" s="86">
        <f t="shared" si="15"/>
        <v>0</v>
      </c>
      <c r="X38" s="86">
        <f t="shared" si="15"/>
        <v>0</v>
      </c>
      <c r="Y38" s="86">
        <f t="shared" si="15"/>
        <v>0</v>
      </c>
      <c r="Z38" s="86">
        <f t="shared" si="15"/>
        <v>0</v>
      </c>
      <c r="AA38" s="86">
        <f t="shared" si="15"/>
        <v>0</v>
      </c>
      <c r="AB38" s="86">
        <f t="shared" si="15"/>
        <v>0</v>
      </c>
      <c r="AC38" s="86">
        <f t="shared" si="15"/>
        <v>0</v>
      </c>
      <c r="AD38" s="86">
        <f t="shared" si="15"/>
        <v>0</v>
      </c>
      <c r="AE38" s="86">
        <f t="shared" si="15"/>
        <v>0</v>
      </c>
      <c r="AF38" s="86">
        <f t="shared" si="15"/>
        <v>0</v>
      </c>
      <c r="AG38" s="86">
        <f t="shared" si="15"/>
        <v>0</v>
      </c>
      <c r="AH38" s="86">
        <f t="shared" si="15"/>
        <v>0</v>
      </c>
      <c r="AI38" s="86">
        <f t="shared" si="15"/>
        <v>0</v>
      </c>
      <c r="AJ38" s="86">
        <f t="shared" si="15"/>
        <v>0</v>
      </c>
      <c r="AK38" s="86">
        <f t="shared" si="15"/>
        <v>0</v>
      </c>
      <c r="AL38" s="86">
        <f t="shared" si="15"/>
        <v>0</v>
      </c>
      <c r="AM38" s="86">
        <v>0</v>
      </c>
    </row>
    <row r="39" spans="1:39" x14ac:dyDescent="0.25">
      <c r="A39" s="123" t="s">
        <v>228</v>
      </c>
      <c r="B39" s="86">
        <f>B14+B$26*B101</f>
        <v>637.15088753954171</v>
      </c>
      <c r="C39" s="86">
        <f>C14+C$26*C101</f>
        <v>819.81715870536868</v>
      </c>
      <c r="D39" s="86">
        <f t="shared" ref="D39:AM39" si="16">D14+D$26*D101</f>
        <v>1003.3563193330008</v>
      </c>
      <c r="E39" s="86">
        <f t="shared" si="16"/>
        <v>1186.8996995895718</v>
      </c>
      <c r="F39" s="86">
        <f t="shared" si="16"/>
        <v>1370.4627615507729</v>
      </c>
      <c r="G39" s="86">
        <f t="shared" si="16"/>
        <v>1602.8049307425763</v>
      </c>
      <c r="H39" s="86">
        <f t="shared" si="16"/>
        <v>1834.1641043741097</v>
      </c>
      <c r="I39" s="86">
        <f t="shared" si="16"/>
        <v>2064.5511228292221</v>
      </c>
      <c r="J39" s="86">
        <f t="shared" si="16"/>
        <v>2293.9770430652106</v>
      </c>
      <c r="K39" s="86">
        <f t="shared" si="16"/>
        <v>2522.4531440484548</v>
      </c>
      <c r="L39" s="86">
        <f t="shared" si="16"/>
        <v>2749.990932354593</v>
      </c>
      <c r="M39" s="86">
        <f t="shared" si="16"/>
        <v>2959.4767185615183</v>
      </c>
      <c r="N39" s="86">
        <f t="shared" si="16"/>
        <v>3168.4787217649446</v>
      </c>
      <c r="O39" s="86">
        <f t="shared" si="16"/>
        <v>3377.0118265533174</v>
      </c>
      <c r="P39" s="86">
        <f t="shared" si="16"/>
        <v>3585.091256984264</v>
      </c>
      <c r="Q39" s="86">
        <f t="shared" si="16"/>
        <v>3792.7325863178321</v>
      </c>
      <c r="R39" s="86">
        <f t="shared" si="16"/>
        <v>4003.2827122351837</v>
      </c>
      <c r="S39" s="86">
        <f t="shared" si="16"/>
        <v>4213.8092196367425</v>
      </c>
      <c r="T39" s="86">
        <f t="shared" si="16"/>
        <v>4426.5772709602716</v>
      </c>
      <c r="U39" s="86">
        <f t="shared" si="16"/>
        <v>4640.4308690003563</v>
      </c>
      <c r="V39" s="86">
        <f t="shared" si="16"/>
        <v>4838.6058121087699</v>
      </c>
      <c r="W39" s="86">
        <f t="shared" si="16"/>
        <v>5040.841772195794</v>
      </c>
      <c r="X39" s="86">
        <f t="shared" si="16"/>
        <v>5244.8029738684709</v>
      </c>
      <c r="Y39" s="86">
        <f t="shared" si="16"/>
        <v>5450.5186308670873</v>
      </c>
      <c r="Z39" s="86">
        <f t="shared" si="16"/>
        <v>5658.018663488243</v>
      </c>
      <c r="AA39" s="86">
        <f t="shared" si="16"/>
        <v>5854.8739172258829</v>
      </c>
      <c r="AB39" s="86">
        <f t="shared" si="16"/>
        <v>6054.2664422489443</v>
      </c>
      <c r="AC39" s="86">
        <f t="shared" si="16"/>
        <v>6256.2284106578772</v>
      </c>
      <c r="AD39" s="86">
        <f t="shared" si="16"/>
        <v>6460.7927919451386</v>
      </c>
      <c r="AE39" s="86">
        <f t="shared" si="16"/>
        <v>6667.9933778536169</v>
      </c>
      <c r="AF39" s="86">
        <f t="shared" si="16"/>
        <v>6877.8648081708461</v>
      </c>
      <c r="AG39" s="86">
        <f t="shared" si="16"/>
        <v>7093.7684818830539</v>
      </c>
      <c r="AH39" s="86">
        <f t="shared" si="16"/>
        <v>7312.1385923594762</v>
      </c>
      <c r="AI39" s="86">
        <f t="shared" si="16"/>
        <v>7533.0124882777309</v>
      </c>
      <c r="AJ39" s="86">
        <f t="shared" si="16"/>
        <v>7756.4284797541295</v>
      </c>
      <c r="AK39" s="86">
        <f t="shared" si="16"/>
        <v>7982.4258694810324</v>
      </c>
      <c r="AL39" s="86">
        <f t="shared" si="16"/>
        <v>8211.0449850822424</v>
      </c>
      <c r="AM39" s="86">
        <f t="shared" si="16"/>
        <v>8442.3272127422879</v>
      </c>
    </row>
    <row r="40" spans="1:39" x14ac:dyDescent="0.25">
      <c r="A40" s="123" t="s">
        <v>229</v>
      </c>
      <c r="B40" s="86">
        <f t="shared" si="14"/>
        <v>220.61735110470147</v>
      </c>
      <c r="C40" s="86">
        <f t="shared" ref="C40:AM40" si="17">C15+C$26*C102</f>
        <v>284.05562670112573</v>
      </c>
      <c r="D40" s="86">
        <f t="shared" si="17"/>
        <v>346.81445821973222</v>
      </c>
      <c r="E40" s="86">
        <f t="shared" si="17"/>
        <v>408.8982738521637</v>
      </c>
      <c r="F40" s="86">
        <f t="shared" si="17"/>
        <v>470.31161128625712</v>
      </c>
      <c r="G40" s="86">
        <f t="shared" si="17"/>
        <v>530.79303193803241</v>
      </c>
      <c r="H40" s="86">
        <f t="shared" si="17"/>
        <v>590.54433486195148</v>
      </c>
      <c r="I40" s="86">
        <f t="shared" si="17"/>
        <v>649.56829886751018</v>
      </c>
      <c r="J40" s="86">
        <f t="shared" si="17"/>
        <v>707.86775828035252</v>
      </c>
      <c r="K40" s="86">
        <f t="shared" si="17"/>
        <v>765.44560433563367</v>
      </c>
      <c r="L40" s="86">
        <f t="shared" si="17"/>
        <v>822.30478661356108</v>
      </c>
      <c r="M40" s="86">
        <f t="shared" si="17"/>
        <v>878.64027365555205</v>
      </c>
      <c r="N40" s="86">
        <f t="shared" si="17"/>
        <v>934.29375566454223</v>
      </c>
      <c r="O40" s="86">
        <f t="shared" si="17"/>
        <v>989.26924578755882</v>
      </c>
      <c r="P40" s="86">
        <f t="shared" si="17"/>
        <v>1043.5708486984963</v>
      </c>
      <c r="Q40" s="86">
        <f t="shared" si="17"/>
        <v>1097.2027632223676</v>
      </c>
      <c r="R40" s="86">
        <f t="shared" si="17"/>
        <v>1151.0774249642925</v>
      </c>
      <c r="S40" s="86">
        <f t="shared" si="17"/>
        <v>1204.3941356554037</v>
      </c>
      <c r="T40" s="86">
        <f t="shared" si="17"/>
        <v>1257.8768063799616</v>
      </c>
      <c r="U40" s="86">
        <f t="shared" si="17"/>
        <v>1311.210190822108</v>
      </c>
      <c r="V40" s="86">
        <f t="shared" si="17"/>
        <v>1364.401626786856</v>
      </c>
      <c r="W40" s="86">
        <f t="shared" si="17"/>
        <v>1417.4586263877222</v>
      </c>
      <c r="X40" s="86">
        <f t="shared" si="17"/>
        <v>1470.3888812534901</v>
      </c>
      <c r="Y40" s="86">
        <f t="shared" si="17"/>
        <v>1523.2002679227305</v>
      </c>
      <c r="Z40" s="86">
        <f t="shared" si="17"/>
        <v>1575.9008534340323</v>
      </c>
      <c r="AA40" s="86">
        <f t="shared" si="17"/>
        <v>1628.4989011202681</v>
      </c>
      <c r="AB40" s="86">
        <f t="shared" si="17"/>
        <v>1663.4667259877706</v>
      </c>
      <c r="AC40" s="86">
        <f t="shared" si="17"/>
        <v>1698.7754528058149</v>
      </c>
      <c r="AD40" s="86">
        <f t="shared" si="17"/>
        <v>1734.4339707298609</v>
      </c>
      <c r="AE40" s="86">
        <f t="shared" si="17"/>
        <v>1770.4513906085588</v>
      </c>
      <c r="AF40" s="86">
        <f t="shared" si="17"/>
        <v>1806.8370519383202</v>
      </c>
      <c r="AG40" s="86">
        <f t="shared" si="17"/>
        <v>1843.6005300813463</v>
      </c>
      <c r="AH40" s="86">
        <f t="shared" si="17"/>
        <v>1880.7516437588242</v>
      </c>
      <c r="AI40" s="86">
        <f t="shared" si="17"/>
        <v>1918.3004628316132</v>
      </c>
      <c r="AJ40" s="86">
        <f t="shared" si="17"/>
        <v>1956.2573163813631</v>
      </c>
      <c r="AK40" s="86">
        <f t="shared" si="17"/>
        <v>1994.6328011057008</v>
      </c>
      <c r="AL40" s="86">
        <f t="shared" si="17"/>
        <v>2033.4377900418058</v>
      </c>
      <c r="AM40" s="86">
        <f t="shared" si="17"/>
        <v>2072.6834416334636</v>
      </c>
    </row>
    <row r="41" spans="1:39" x14ac:dyDescent="0.25">
      <c r="A41" s="123" t="s">
        <v>230</v>
      </c>
      <c r="B41" s="86">
        <f t="shared" si="14"/>
        <v>2354.9022151321924</v>
      </c>
      <c r="C41" s="86">
        <f t="shared" ref="C41:AM41" si="18">C16+C$26*C103</f>
        <v>2354.5619014159761</v>
      </c>
      <c r="D41" s="86">
        <f t="shared" si="18"/>
        <v>2354.0543492540382</v>
      </c>
      <c r="E41" s="86">
        <f t="shared" si="18"/>
        <v>2353.3802806831245</v>
      </c>
      <c r="F41" s="86">
        <f t="shared" si="18"/>
        <v>2352.540435593834</v>
      </c>
      <c r="G41" s="86">
        <f t="shared" si="18"/>
        <v>2349.9285336152484</v>
      </c>
      <c r="H41" s="86">
        <f t="shared" si="18"/>
        <v>2347.1285878847707</v>
      </c>
      <c r="I41" s="86">
        <f t="shared" si="18"/>
        <v>2344.14087923841</v>
      </c>
      <c r="J41" s="86">
        <f t="shared" si="18"/>
        <v>2340.965694122825</v>
      </c>
      <c r="K41" s="86">
        <f t="shared" si="18"/>
        <v>2337.6033247361438</v>
      </c>
      <c r="L41" s="86">
        <f t="shared" si="18"/>
        <v>2334.0540691730453</v>
      </c>
      <c r="M41" s="86">
        <f t="shared" si="18"/>
        <v>2330.984763759795</v>
      </c>
      <c r="N41" s="86">
        <f t="shared" si="18"/>
        <v>2327.7383317357253</v>
      </c>
      <c r="O41" s="86">
        <f t="shared" si="18"/>
        <v>2324.3152755179817</v>
      </c>
      <c r="P41" s="86">
        <f t="shared" si="18"/>
        <v>2320.7161089822193</v>
      </c>
      <c r="Q41" s="86">
        <f t="shared" si="18"/>
        <v>2316.94135779113</v>
      </c>
      <c r="R41" s="86">
        <f t="shared" si="18"/>
        <v>2315.3004308073182</v>
      </c>
      <c r="S41" s="86">
        <f t="shared" si="18"/>
        <v>2313.4947497505436</v>
      </c>
      <c r="T41" s="86">
        <f t="shared" si="18"/>
        <v>2312.5580153487581</v>
      </c>
      <c r="U41" s="86">
        <f t="shared" si="18"/>
        <v>2311.6714118271871</v>
      </c>
      <c r="V41" s="86">
        <f t="shared" si="18"/>
        <v>2310.8358578262469</v>
      </c>
      <c r="W41" s="86">
        <f t="shared" si="18"/>
        <v>2310.0522938085255</v>
      </c>
      <c r="X41" s="86">
        <f t="shared" si="18"/>
        <v>2309.3216827106321</v>
      </c>
      <c r="Y41" s="86">
        <f t="shared" si="18"/>
        <v>2308.6450106185489</v>
      </c>
      <c r="Z41" s="86">
        <f t="shared" si="18"/>
        <v>2308.0232874674939</v>
      </c>
      <c r="AA41" s="86">
        <f t="shared" si="18"/>
        <v>2307.4575477673143</v>
      </c>
      <c r="AB41" s="86">
        <f t="shared" si="18"/>
        <v>2306.9488513545311</v>
      </c>
      <c r="AC41" s="86">
        <f t="shared" si="18"/>
        <v>2306.4982841721639</v>
      </c>
      <c r="AD41" s="86">
        <f t="shared" si="18"/>
        <v>2306.1069590785482</v>
      </c>
      <c r="AE41" s="86">
        <f t="shared" si="18"/>
        <v>2305.7760166864136</v>
      </c>
      <c r="AF41" s="86">
        <f t="shared" si="18"/>
        <v>2305.5066262335436</v>
      </c>
      <c r="AG41" s="86">
        <f t="shared" si="18"/>
        <v>2305.7794527558444</v>
      </c>
      <c r="AH41" s="86">
        <f t="shared" si="18"/>
        <v>2307.4248870502679</v>
      </c>
      <c r="AI41" s="86">
        <f t="shared" si="18"/>
        <v>2309.3401943477334</v>
      </c>
      <c r="AJ41" s="86">
        <f t="shared" si="18"/>
        <v>2311.5266677749792</v>
      </c>
      <c r="AK41" s="86">
        <f t="shared" si="18"/>
        <v>2313.9856339623402</v>
      </c>
      <c r="AL41" s="86">
        <f t="shared" si="18"/>
        <v>2316.7184541358765</v>
      </c>
      <c r="AM41" s="86">
        <f t="shared" si="18"/>
        <v>2319.7265252525035</v>
      </c>
    </row>
    <row r="42" spans="1:39" x14ac:dyDescent="0.25">
      <c r="A42" s="123" t="s">
        <v>231</v>
      </c>
      <c r="B42" s="86">
        <f t="shared" si="14"/>
        <v>230.06917976588517</v>
      </c>
      <c r="C42" s="86">
        <f t="shared" ref="C42:AM42" si="19">C17+C$26*C104</f>
        <v>268.51262062145582</v>
      </c>
      <c r="D42" s="86">
        <f t="shared" si="19"/>
        <v>307.06224013984951</v>
      </c>
      <c r="E42" s="86">
        <f t="shared" si="19"/>
        <v>345.55971343619808</v>
      </c>
      <c r="F42" s="86">
        <f t="shared" si="19"/>
        <v>384.00785332169437</v>
      </c>
      <c r="G42" s="86">
        <f t="shared" si="19"/>
        <v>422.18724760044222</v>
      </c>
      <c r="H42" s="86">
        <f t="shared" si="19"/>
        <v>460.27987921023566</v>
      </c>
      <c r="I42" s="86">
        <f t="shared" si="19"/>
        <v>498.28746435464706</v>
      </c>
      <c r="J42" s="86">
        <f t="shared" si="19"/>
        <v>536.21175352423779</v>
      </c>
      <c r="K42" s="86">
        <f t="shared" si="19"/>
        <v>574.05453235710524</v>
      </c>
      <c r="L42" s="86">
        <f t="shared" si="19"/>
        <v>611.81762252547878</v>
      </c>
      <c r="M42" s="86">
        <f t="shared" si="19"/>
        <v>649.64517314228215</v>
      </c>
      <c r="N42" s="86">
        <f t="shared" si="19"/>
        <v>687.41589775501973</v>
      </c>
      <c r="O42" s="86">
        <f t="shared" si="19"/>
        <v>725.13227845067809</v>
      </c>
      <c r="P42" s="86">
        <f t="shared" si="19"/>
        <v>762.79685392459749</v>
      </c>
      <c r="Q42" s="86">
        <f t="shared" si="19"/>
        <v>800.41222110354272</v>
      </c>
      <c r="R42" s="86">
        <f t="shared" si="19"/>
        <v>838.62322697392983</v>
      </c>
      <c r="S42" s="86">
        <f t="shared" si="19"/>
        <v>876.85401701905846</v>
      </c>
      <c r="T42" s="86">
        <f t="shared" si="19"/>
        <v>915.3923024359317</v>
      </c>
      <c r="U42" s="86">
        <f t="shared" si="19"/>
        <v>954.01452157520089</v>
      </c>
      <c r="V42" s="86">
        <f t="shared" si="19"/>
        <v>989.66488617343077</v>
      </c>
      <c r="W42" s="86">
        <f t="shared" si="19"/>
        <v>1025.4947877884067</v>
      </c>
      <c r="X42" s="86">
        <f t="shared" si="19"/>
        <v>1061.5077984174932</v>
      </c>
      <c r="Y42" s="86">
        <f t="shared" si="19"/>
        <v>1097.7087896125558</v>
      </c>
      <c r="Z42" s="86">
        <f t="shared" si="19"/>
        <v>1134.102750747611</v>
      </c>
      <c r="AA42" s="86">
        <f t="shared" si="19"/>
        <v>1170.6947926025159</v>
      </c>
      <c r="AB42" s="86">
        <f t="shared" si="19"/>
        <v>1207.4901510782618</v>
      </c>
      <c r="AC42" s="86">
        <f t="shared" si="19"/>
        <v>1244.4941910495418</v>
      </c>
      <c r="AD42" s="86">
        <f t="shared" si="19"/>
        <v>1281.712410360552</v>
      </c>
      <c r="AE42" s="86">
        <f t="shared" si="19"/>
        <v>1319.1504439702708</v>
      </c>
      <c r="AF42" s="86">
        <f t="shared" si="19"/>
        <v>1356.8140682537842</v>
      </c>
      <c r="AG42" s="86">
        <f t="shared" si="19"/>
        <v>1394.7092054665573</v>
      </c>
      <c r="AH42" s="86">
        <f t="shared" si="19"/>
        <v>1432.8419283788926</v>
      </c>
      <c r="AI42" s="86">
        <f t="shared" si="19"/>
        <v>1471.2184650881975</v>
      </c>
      <c r="AJ42" s="86">
        <f t="shared" si="19"/>
        <v>1509.8452040170678</v>
      </c>
      <c r="AK42" s="86">
        <f t="shared" si="19"/>
        <v>1548.7286991056162</v>
      </c>
      <c r="AL42" s="86">
        <f t="shared" si="19"/>
        <v>1587.8756752069098</v>
      </c>
      <c r="AM42" s="86">
        <f t="shared" si="19"/>
        <v>1627.2930336948384</v>
      </c>
    </row>
    <row r="43" spans="1:39" x14ac:dyDescent="0.25">
      <c r="A43" s="125" t="s">
        <v>232</v>
      </c>
      <c r="B43" s="126">
        <f>B26*B105</f>
        <v>7999.2125246098649</v>
      </c>
      <c r="C43" s="126">
        <f>C26*C105</f>
        <v>7865.491425238064</v>
      </c>
      <c r="D43" s="126">
        <f t="shared" ref="D43:AM43" si="20">D26*D105</f>
        <v>7730.4339459795201</v>
      </c>
      <c r="E43" s="126">
        <f t="shared" si="20"/>
        <v>7594.017102699172</v>
      </c>
      <c r="F43" s="126">
        <f t="shared" si="20"/>
        <v>7456.2173429317063</v>
      </c>
      <c r="G43" s="126">
        <f t="shared" si="20"/>
        <v>7307.5619149304921</v>
      </c>
      <c r="H43" s="126">
        <f t="shared" si="20"/>
        <v>7157.7462541261802</v>
      </c>
      <c r="I43" s="126">
        <f t="shared" si="20"/>
        <v>7006.7547442858513</v>
      </c>
      <c r="J43" s="126">
        <f t="shared" si="20"/>
        <v>6854.5714571893459</v>
      </c>
      <c r="K43" s="126">
        <f t="shared" si="20"/>
        <v>6701.1801447988964</v>
      </c>
      <c r="L43" s="126">
        <f t="shared" si="20"/>
        <v>6546.5642311917545</v>
      </c>
      <c r="M43" s="126">
        <f t="shared" si="20"/>
        <v>6394.1100258028255</v>
      </c>
      <c r="N43" s="126">
        <f t="shared" si="20"/>
        <v>6240.2671403940185</v>
      </c>
      <c r="O43" s="126">
        <f t="shared" si="20"/>
        <v>6085.013692725729</v>
      </c>
      <c r="P43" s="126">
        <f t="shared" si="20"/>
        <v>5928.3273014954457</v>
      </c>
      <c r="Q43" s="126">
        <f t="shared" si="20"/>
        <v>5770.185072028642</v>
      </c>
      <c r="R43" s="126">
        <f t="shared" si="20"/>
        <v>5620.8154526814551</v>
      </c>
      <c r="S43" s="126">
        <f t="shared" si="20"/>
        <v>5469.3588588622551</v>
      </c>
      <c r="T43" s="126">
        <f t="shared" si="20"/>
        <v>5319.2347575118247</v>
      </c>
      <c r="U43" s="126">
        <f t="shared" si="20"/>
        <v>5166.7643628520955</v>
      </c>
      <c r="V43" s="126">
        <f t="shared" si="20"/>
        <v>5011.9076644856486</v>
      </c>
      <c r="W43" s="126">
        <f t="shared" si="20"/>
        <v>4854.623701573817</v>
      </c>
      <c r="X43" s="126">
        <f t="shared" si="20"/>
        <v>4694.8705344461086</v>
      </c>
      <c r="Y43" s="126">
        <f t="shared" si="20"/>
        <v>4532.6052151858048</v>
      </c>
      <c r="Z43" s="126">
        <f t="shared" si="20"/>
        <v>4367.7837571484943</v>
      </c>
      <c r="AA43" s="126">
        <f t="shared" si="20"/>
        <v>4200.3611033680017</v>
      </c>
      <c r="AB43" s="126">
        <f t="shared" si="20"/>
        <v>4030.2910938021337</v>
      </c>
      <c r="AC43" s="126">
        <f t="shared" si="20"/>
        <v>3857.5264313681896</v>
      </c>
      <c r="AD43" s="126">
        <f t="shared" si="20"/>
        <v>3682.0186467157209</v>
      </c>
      <c r="AE43" s="126">
        <f t="shared" si="20"/>
        <v>3503.7180616814826</v>
      </c>
      <c r="AF43" s="126">
        <f t="shared" si="20"/>
        <v>3322.5737513686563</v>
      </c>
      <c r="AG43" s="126">
        <f t="shared" si="20"/>
        <v>3138.5335047895633</v>
      </c>
      <c r="AH43" s="126">
        <f t="shared" si="20"/>
        <v>2951.5437840079712</v>
      </c>
      <c r="AI43" s="126">
        <f t="shared" si="20"/>
        <v>2761.5496817138387</v>
      </c>
      <c r="AJ43" s="126">
        <f t="shared" si="20"/>
        <v>2568.4948771598688</v>
      </c>
      <c r="AK43" s="126">
        <f t="shared" si="20"/>
        <v>2372.3215903856176</v>
      </c>
      <c r="AL43" s="126">
        <f t="shared" si="20"/>
        <v>2172.9705346509872</v>
      </c>
      <c r="AM43" s="126">
        <f t="shared" si="20"/>
        <v>1970.3808669968544</v>
      </c>
    </row>
    <row r="44" spans="1:39" x14ac:dyDescent="0.25">
      <c r="A44" s="128" t="s">
        <v>215</v>
      </c>
      <c r="B44" s="86">
        <f>SUM(B38:B42)</f>
        <v>3442.7396335423205</v>
      </c>
      <c r="C44" s="86">
        <f t="shared" ref="C44:AM44" si="21">SUM(C38:C42)</f>
        <v>3726.9473074439261</v>
      </c>
      <c r="D44" s="86">
        <f t="shared" si="21"/>
        <v>4011.2873669466208</v>
      </c>
      <c r="E44" s="86">
        <f t="shared" si="21"/>
        <v>4294.7379675610582</v>
      </c>
      <c r="F44" s="86">
        <f t="shared" si="21"/>
        <v>4577.3226617525588</v>
      </c>
      <c r="G44" s="86">
        <f t="shared" si="21"/>
        <v>4905.7137438962991</v>
      </c>
      <c r="H44" s="86">
        <f t="shared" si="21"/>
        <v>5232.1169063310672</v>
      </c>
      <c r="I44" s="86">
        <f t="shared" si="21"/>
        <v>5556.5477652897898</v>
      </c>
      <c r="J44" s="86">
        <f t="shared" si="21"/>
        <v>5879.0222489926255</v>
      </c>
      <c r="K44" s="86">
        <f t="shared" si="21"/>
        <v>6199.5566054773371</v>
      </c>
      <c r="L44" s="86">
        <f t="shared" si="21"/>
        <v>6518.1674106666778</v>
      </c>
      <c r="M44" s="86">
        <f t="shared" si="21"/>
        <v>6818.7469291191474</v>
      </c>
      <c r="N44" s="86">
        <f t="shared" si="21"/>
        <v>7117.9267069202315</v>
      </c>
      <c r="O44" s="86">
        <f t="shared" si="21"/>
        <v>7415.7286263095366</v>
      </c>
      <c r="P44" s="86">
        <f t="shared" si="21"/>
        <v>7712.1750685895777</v>
      </c>
      <c r="Q44" s="86">
        <f t="shared" si="21"/>
        <v>8007.2889284348721</v>
      </c>
      <c r="R44" s="86">
        <f t="shared" si="21"/>
        <v>8308.2837949807254</v>
      </c>
      <c r="S44" s="86">
        <f t="shared" si="21"/>
        <v>8608.5521220617484</v>
      </c>
      <c r="T44" s="86">
        <f t="shared" si="21"/>
        <v>8912.4043951249223</v>
      </c>
      <c r="U44" s="86">
        <f t="shared" si="21"/>
        <v>9217.3269932248513</v>
      </c>
      <c r="V44" s="86">
        <f t="shared" si="21"/>
        <v>9503.5081828953025</v>
      </c>
      <c r="W44" s="86">
        <f t="shared" si="21"/>
        <v>9793.8474801804477</v>
      </c>
      <c r="X44" s="86">
        <f t="shared" si="21"/>
        <v>10086.021336250085</v>
      </c>
      <c r="Y44" s="86">
        <f t="shared" si="21"/>
        <v>10380.072699020922</v>
      </c>
      <c r="Z44" s="86">
        <f t="shared" si="21"/>
        <v>10676.045555137378</v>
      </c>
      <c r="AA44" s="86">
        <f t="shared" si="21"/>
        <v>10961.52515871598</v>
      </c>
      <c r="AB44" s="86">
        <f t="shared" si="21"/>
        <v>11232.172170669508</v>
      </c>
      <c r="AC44" s="86">
        <f t="shared" si="21"/>
        <v>11505.996338685398</v>
      </c>
      <c r="AD44" s="86">
        <f t="shared" si="21"/>
        <v>11783.046132114101</v>
      </c>
      <c r="AE44" s="86">
        <f t="shared" si="21"/>
        <v>12063.37122911886</v>
      </c>
      <c r="AF44" s="86">
        <f t="shared" si="21"/>
        <v>12347.022554596493</v>
      </c>
      <c r="AG44" s="86">
        <f t="shared" si="21"/>
        <v>12637.857670186802</v>
      </c>
      <c r="AH44" s="86">
        <f t="shared" si="21"/>
        <v>12933.157051547463</v>
      </c>
      <c r="AI44" s="86">
        <f t="shared" si="21"/>
        <v>13231.871610545275</v>
      </c>
      <c r="AJ44" s="86">
        <f t="shared" si="21"/>
        <v>13534.05766792754</v>
      </c>
      <c r="AK44" s="86">
        <f t="shared" si="21"/>
        <v>13839.773003654689</v>
      </c>
      <c r="AL44" s="86">
        <f t="shared" si="21"/>
        <v>14149.076904466834</v>
      </c>
      <c r="AM44" s="86">
        <f>SUM(AM38:AM42)</f>
        <v>14462.030213323094</v>
      </c>
    </row>
    <row r="45" spans="1:39" x14ac:dyDescent="0.25">
      <c r="A45" s="128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124"/>
    </row>
    <row r="46" spans="1:39" x14ac:dyDescent="0.25">
      <c r="A46" s="128" t="s">
        <v>233</v>
      </c>
      <c r="B46" s="86">
        <f>B44+B35</f>
        <v>10195.979573413761</v>
      </c>
      <c r="C46" s="86">
        <f t="shared" ref="C46:AM46" si="22">C44+C35</f>
        <v>11019.147809539707</v>
      </c>
      <c r="D46" s="86">
        <f t="shared" si="22"/>
        <v>11838.360034510939</v>
      </c>
      <c r="E46" s="86">
        <f t="shared" si="22"/>
        <v>12652.197466117173</v>
      </c>
      <c r="F46" s="86">
        <f t="shared" si="22"/>
        <v>13461.242048319982</v>
      </c>
      <c r="G46" s="86">
        <f t="shared" si="22"/>
        <v>14373.071753879234</v>
      </c>
      <c r="H46" s="86">
        <f t="shared" si="22"/>
        <v>15275.694308428097</v>
      </c>
      <c r="I46" s="86">
        <f t="shared" si="22"/>
        <v>16168.242480319261</v>
      </c>
      <c r="J46" s="86">
        <f t="shared" si="22"/>
        <v>17044.822775224457</v>
      </c>
      <c r="K46" s="86">
        <f t="shared" si="22"/>
        <v>17903.388213246399</v>
      </c>
      <c r="L46" s="86">
        <f t="shared" si="22"/>
        <v>18751.275280485424</v>
      </c>
      <c r="M46" s="86">
        <f t="shared" si="22"/>
        <v>19552.452489182513</v>
      </c>
      <c r="N46" s="86">
        <f t="shared" si="22"/>
        <v>20344.06619155559</v>
      </c>
      <c r="O46" s="86">
        <f t="shared" si="22"/>
        <v>21126.149136671374</v>
      </c>
      <c r="P46" s="86">
        <f t="shared" si="22"/>
        <v>21898.734820496586</v>
      </c>
      <c r="Q46" s="86">
        <f t="shared" si="22"/>
        <v>22661.857507312998</v>
      </c>
      <c r="R46" s="86">
        <f t="shared" si="22"/>
        <v>23426.641633371928</v>
      </c>
      <c r="S46" s="86">
        <f t="shared" si="22"/>
        <v>24182.882692743522</v>
      </c>
      <c r="T46" s="86">
        <f t="shared" si="22"/>
        <v>24944.960595173943</v>
      </c>
      <c r="U46" s="86">
        <f t="shared" si="22"/>
        <v>25705.245674497477</v>
      </c>
      <c r="V46" s="86">
        <f t="shared" si="22"/>
        <v>26392.663474127323</v>
      </c>
      <c r="W46" s="86">
        <f t="shared" si="22"/>
        <v>27088.782231564626</v>
      </c>
      <c r="X46" s="86">
        <f t="shared" si="22"/>
        <v>27814.65629980489</v>
      </c>
      <c r="Y46" s="86">
        <f t="shared" si="22"/>
        <v>28536.15357415309</v>
      </c>
      <c r="Z46" s="86">
        <f t="shared" si="22"/>
        <v>29252.669449847301</v>
      </c>
      <c r="AA46" s="86">
        <f t="shared" si="22"/>
        <v>29927.349386695492</v>
      </c>
      <c r="AB46" s="86">
        <f t="shared" si="22"/>
        <v>30500.483238721761</v>
      </c>
      <c r="AC46" s="86">
        <f t="shared" si="22"/>
        <v>31081.205025111616</v>
      </c>
      <c r="AD46" s="86">
        <f t="shared" si="22"/>
        <v>31682.306168644769</v>
      </c>
      <c r="AE46" s="86">
        <f t="shared" si="22"/>
        <v>32268.937256855639</v>
      </c>
      <c r="AF46" s="86">
        <f t="shared" si="22"/>
        <v>32861.164211552044</v>
      </c>
      <c r="AG46" s="86">
        <f t="shared" si="22"/>
        <v>33469.522408360965</v>
      </c>
      <c r="AH46" s="86">
        <f t="shared" si="22"/>
        <v>34088.994431581363</v>
      </c>
      <c r="AI46" s="86">
        <f t="shared" si="22"/>
        <v>34714.592695467414</v>
      </c>
      <c r="AJ46" s="86">
        <f t="shared" si="22"/>
        <v>35346.412387219345</v>
      </c>
      <c r="AK46" s="86">
        <f t="shared" si="22"/>
        <v>35984.551160240764</v>
      </c>
      <c r="AL46" s="86">
        <f t="shared" si="22"/>
        <v>36628.779419647428</v>
      </c>
      <c r="AM46" s="124">
        <f t="shared" si="22"/>
        <v>37279.53052230773</v>
      </c>
    </row>
    <row r="47" spans="1:39" x14ac:dyDescent="0.25">
      <c r="A47" s="123" t="s">
        <v>234</v>
      </c>
      <c r="B47" s="86">
        <f>B34+B43</f>
        <v>11228.806418558173</v>
      </c>
      <c r="C47" s="86">
        <f t="shared" ref="C47:AM47" si="23">C34+C43</f>
        <v>11046.080739736835</v>
      </c>
      <c r="D47" s="86">
        <f t="shared" si="23"/>
        <v>10863.968567298383</v>
      </c>
      <c r="E47" s="86">
        <f t="shared" si="23"/>
        <v>10690.215868338626</v>
      </c>
      <c r="F47" s="86">
        <f t="shared" si="23"/>
        <v>10524.240698895996</v>
      </c>
      <c r="G47" s="86">
        <f t="shared" si="23"/>
        <v>10359.691480275895</v>
      </c>
      <c r="H47" s="86">
        <f t="shared" si="23"/>
        <v>10191.701774932773</v>
      </c>
      <c r="I47" s="86">
        <f t="shared" si="23"/>
        <v>10017.781671656812</v>
      </c>
      <c r="J47" s="86">
        <f t="shared" si="23"/>
        <v>9823.6818076334184</v>
      </c>
      <c r="K47" s="86">
        <f t="shared" si="23"/>
        <v>9608.0920199027314</v>
      </c>
      <c r="L47" s="86">
        <f t="shared" si="23"/>
        <v>9390.532965221566</v>
      </c>
      <c r="M47" s="86">
        <f t="shared" si="23"/>
        <v>9175.8631365558813</v>
      </c>
      <c r="N47" s="86">
        <f t="shared" si="23"/>
        <v>8958.9906750482241</v>
      </c>
      <c r="O47" s="86">
        <f t="shared" si="23"/>
        <v>8739.8828316318686</v>
      </c>
      <c r="P47" s="86">
        <f t="shared" si="23"/>
        <v>8518.5061103400985</v>
      </c>
      <c r="Q47" s="86">
        <f t="shared" si="23"/>
        <v>8294.8262468911416</v>
      </c>
      <c r="R47" s="86">
        <f t="shared" si="23"/>
        <v>8084.6196304385003</v>
      </c>
      <c r="S47" s="86">
        <f t="shared" si="23"/>
        <v>7871.1218312130777</v>
      </c>
      <c r="T47" s="86">
        <f t="shared" si="23"/>
        <v>7664.6863384226472</v>
      </c>
      <c r="U47" s="86">
        <f t="shared" si="23"/>
        <v>7454.2778123726766</v>
      </c>
      <c r="V47" s="86">
        <f t="shared" si="23"/>
        <v>7239.8300796172953</v>
      </c>
      <c r="W47" s="86">
        <f t="shared" si="23"/>
        <v>7020.8119954129579</v>
      </c>
      <c r="X47" s="86">
        <f t="shared" si="23"/>
        <v>6825.2425214949344</v>
      </c>
      <c r="Y47" s="86">
        <f t="shared" si="23"/>
        <v>6617.1823339865186</v>
      </c>
      <c r="Z47" s="86">
        <f t="shared" si="23"/>
        <v>6397.2360376494762</v>
      </c>
      <c r="AA47" s="86">
        <f t="shared" si="23"/>
        <v>6161.6548391784854</v>
      </c>
      <c r="AB47" s="86">
        <f t="shared" si="23"/>
        <v>5921.3874375101195</v>
      </c>
      <c r="AC47" s="86">
        <f t="shared" si="23"/>
        <v>5677.6832235515139</v>
      </c>
      <c r="AD47" s="86">
        <f t="shared" si="23"/>
        <v>5437.8936316660383</v>
      </c>
      <c r="AE47" s="86">
        <f t="shared" si="23"/>
        <v>5180.2252171767386</v>
      </c>
      <c r="AF47" s="86">
        <f t="shared" si="23"/>
        <v>4917.7549154190456</v>
      </c>
      <c r="AG47" s="86">
        <f t="shared" si="23"/>
        <v>4650.3944850619973</v>
      </c>
      <c r="AH47" s="86">
        <f t="shared" si="23"/>
        <v>4378.053442110534</v>
      </c>
      <c r="AI47" s="86">
        <f t="shared" si="23"/>
        <v>4100.6389882029343</v>
      </c>
      <c r="AJ47" s="86">
        <f t="shared" si="23"/>
        <v>3818.0559361395653</v>
      </c>
      <c r="AK47" s="86">
        <f t="shared" si="23"/>
        <v>3530.2066325174383</v>
      </c>
      <c r="AL47" s="86">
        <f t="shared" si="23"/>
        <v>3236.8973846759718</v>
      </c>
      <c r="AM47" s="86">
        <f t="shared" si="23"/>
        <v>2938.1411260821078</v>
      </c>
    </row>
    <row r="48" spans="1:39" ht="15.75" thickBot="1" x14ac:dyDescent="0.3">
      <c r="A48" s="131" t="s">
        <v>217</v>
      </c>
      <c r="B48" s="132">
        <f>B46+B47-('Coûts annuel génération élec'!E4+'Coûts annuel génération élec'!E5+'Coûts annuels réseaux et stocka'!E4+'Coûts annuels réseaux et stocka'!E5+'Coûts annuels réseaux et stocka'!E6)</f>
        <v>0</v>
      </c>
      <c r="C48" s="132">
        <f>C46+C47-('Coûts annuel génération élec'!F4+'Coûts annuel génération élec'!F5+'Coûts annuels réseaux et stocka'!F4+'Coûts annuels réseaux et stocka'!F5+'Coûts annuels réseaux et stocka'!F6)</f>
        <v>0</v>
      </c>
      <c r="D48" s="132">
        <f>D46+D47-('Coûts annuel génération élec'!G4+'Coûts annuel génération élec'!G5+'Coûts annuels réseaux et stocka'!G4+'Coûts annuels réseaux et stocka'!G5+'Coûts annuels réseaux et stocka'!G6)</f>
        <v>0</v>
      </c>
      <c r="E48" s="132">
        <f>E46+E47-('Coûts annuel génération élec'!H4+'Coûts annuel génération élec'!H5+'Coûts annuels réseaux et stocka'!H4+'Coûts annuels réseaux et stocka'!H5+'Coûts annuels réseaux et stocka'!H6)</f>
        <v>0</v>
      </c>
      <c r="F48" s="132">
        <f>F46+F47-('Coûts annuel génération élec'!I4+'Coûts annuel génération élec'!I5+'Coûts annuels réseaux et stocka'!I4+'Coûts annuels réseaux et stocka'!I5+'Coûts annuels réseaux et stocka'!I6)</f>
        <v>0</v>
      </c>
      <c r="G48" s="132">
        <f>G46+G47-('Coûts annuel génération élec'!J4+'Coûts annuel génération élec'!J5+'Coûts annuels réseaux et stocka'!J4+'Coûts annuels réseaux et stocka'!J5+'Coûts annuels réseaux et stocka'!J6)</f>
        <v>0</v>
      </c>
      <c r="H48" s="132">
        <f>H46+H47-('Coûts annuel génération élec'!K4+'Coûts annuel génération élec'!K5+'Coûts annuels réseaux et stocka'!K4+'Coûts annuels réseaux et stocka'!K5+'Coûts annuels réseaux et stocka'!K6)</f>
        <v>0</v>
      </c>
      <c r="I48" s="132">
        <f>I46+I47-('Coûts annuel génération élec'!L4+'Coûts annuel génération élec'!L5+'Coûts annuels réseaux et stocka'!L4+'Coûts annuels réseaux et stocka'!L5+'Coûts annuels réseaux et stocka'!L6)</f>
        <v>0</v>
      </c>
      <c r="J48" s="132">
        <f>J46+J47-('Coûts annuel génération élec'!M4+'Coûts annuel génération élec'!M5+'Coûts annuels réseaux et stocka'!M4+'Coûts annuels réseaux et stocka'!M5+'Coûts annuels réseaux et stocka'!M6)</f>
        <v>0</v>
      </c>
      <c r="K48" s="132">
        <f>K46+K47-('Coûts annuel génération élec'!N4+'Coûts annuel génération élec'!N5+'Coûts annuels réseaux et stocka'!N4+'Coûts annuels réseaux et stocka'!N5+'Coûts annuels réseaux et stocka'!N6)</f>
        <v>0</v>
      </c>
      <c r="L48" s="132">
        <f>L46+L47-('Coûts annuel génération élec'!O4+'Coûts annuel génération élec'!O5+'Coûts annuels réseaux et stocka'!O4+'Coûts annuels réseaux et stocka'!O5+'Coûts annuels réseaux et stocka'!O6)</f>
        <v>0</v>
      </c>
      <c r="M48" s="132">
        <f>M46+M47-('Coûts annuel génération élec'!P4+'Coûts annuel génération élec'!P5+'Coûts annuels réseaux et stocka'!P4+'Coûts annuels réseaux et stocka'!P5+'Coûts annuels réseaux et stocka'!P6)</f>
        <v>0</v>
      </c>
      <c r="N48" s="132">
        <f>N46+N47-('Coûts annuel génération élec'!Q4+'Coûts annuel génération élec'!Q5+'Coûts annuels réseaux et stocka'!Q4+'Coûts annuels réseaux et stocka'!Q5+'Coûts annuels réseaux et stocka'!Q6)</f>
        <v>0</v>
      </c>
      <c r="O48" s="132">
        <f>O46+O47-('Coûts annuel génération élec'!R4+'Coûts annuel génération élec'!R5+'Coûts annuels réseaux et stocka'!R4+'Coûts annuels réseaux et stocka'!R5+'Coûts annuels réseaux et stocka'!R6)</f>
        <v>0</v>
      </c>
      <c r="P48" s="132">
        <f>P46+P47-('Coûts annuel génération élec'!S4+'Coûts annuel génération élec'!S5+'Coûts annuels réseaux et stocka'!S4+'Coûts annuels réseaux et stocka'!S5+'Coûts annuels réseaux et stocka'!S6)</f>
        <v>0</v>
      </c>
      <c r="Q48" s="132">
        <f>Q46+Q47-('Coûts annuel génération élec'!T4+'Coûts annuel génération élec'!T5+'Coûts annuels réseaux et stocka'!T4+'Coûts annuels réseaux et stocka'!T5+'Coûts annuels réseaux et stocka'!T6)</f>
        <v>0</v>
      </c>
      <c r="R48" s="132">
        <f>R46+R47-('Coûts annuel génération élec'!U4+'Coûts annuel génération élec'!U5+'Coûts annuels réseaux et stocka'!U4+'Coûts annuels réseaux et stocka'!U5+'Coûts annuels réseaux et stocka'!U6)</f>
        <v>0</v>
      </c>
      <c r="S48" s="132">
        <f>S46+S47-('Coûts annuel génération élec'!V4+'Coûts annuel génération élec'!V5+'Coûts annuels réseaux et stocka'!V4+'Coûts annuels réseaux et stocka'!V5+'Coûts annuels réseaux et stocka'!V6)</f>
        <v>0</v>
      </c>
      <c r="T48" s="132">
        <f>T46+T47-('Coûts annuel génération élec'!W4+'Coûts annuel génération élec'!W5+'Coûts annuels réseaux et stocka'!W4+'Coûts annuels réseaux et stocka'!W5+'Coûts annuels réseaux et stocka'!W6)</f>
        <v>0</v>
      </c>
      <c r="U48" s="132">
        <f>U46+U47-('Coûts annuel génération élec'!X4+'Coûts annuel génération élec'!X5+'Coûts annuels réseaux et stocka'!X4+'Coûts annuels réseaux et stocka'!X5+'Coûts annuels réseaux et stocka'!X6)</f>
        <v>0</v>
      </c>
      <c r="V48" s="132">
        <f>V46+V47-('Coûts annuel génération élec'!Y4+'Coûts annuel génération élec'!Y5+'Coûts annuels réseaux et stocka'!Y4+'Coûts annuels réseaux et stocka'!Y5+'Coûts annuels réseaux et stocka'!Y6)</f>
        <v>0</v>
      </c>
      <c r="W48" s="132">
        <f>W46+W47-('Coûts annuel génération élec'!Z4+'Coûts annuel génération élec'!Z5+'Coûts annuels réseaux et stocka'!Z4+'Coûts annuels réseaux et stocka'!Z5+'Coûts annuels réseaux et stocka'!Z6)</f>
        <v>0</v>
      </c>
      <c r="X48" s="132">
        <f>X46+X47-('Coûts annuel génération élec'!AA4+'Coûts annuel génération élec'!AA5+'Coûts annuels réseaux et stocka'!AA4+'Coûts annuels réseaux et stocka'!AA5+'Coûts annuels réseaux et stocka'!AA6)</f>
        <v>0</v>
      </c>
      <c r="Y48" s="132">
        <f>Y46+Y47-('Coûts annuel génération élec'!AB4+'Coûts annuel génération élec'!AB5+'Coûts annuels réseaux et stocka'!AB4+'Coûts annuels réseaux et stocka'!AB5+'Coûts annuels réseaux et stocka'!AB6)</f>
        <v>0</v>
      </c>
      <c r="Z48" s="132">
        <f>Z46+Z47-('Coûts annuel génération élec'!AC4+'Coûts annuel génération élec'!AC5+'Coûts annuels réseaux et stocka'!AC4+'Coûts annuels réseaux et stocka'!AC5+'Coûts annuels réseaux et stocka'!AC6)</f>
        <v>0</v>
      </c>
      <c r="AA48" s="132">
        <f>AA46+AA47-('Coûts annuel génération élec'!AD4+'Coûts annuel génération élec'!AD5+'Coûts annuels réseaux et stocka'!AD4+'Coûts annuels réseaux et stocka'!AD5+'Coûts annuels réseaux et stocka'!AD6)</f>
        <v>0</v>
      </c>
      <c r="AB48" s="132">
        <f>AB46+AB47-('Coûts annuel génération élec'!AE4+'Coûts annuel génération élec'!AE5+'Coûts annuels réseaux et stocka'!AE4+'Coûts annuels réseaux et stocka'!AE5+'Coûts annuels réseaux et stocka'!AE6)</f>
        <v>0</v>
      </c>
      <c r="AC48" s="132">
        <f>AC46+AC47-('Coûts annuel génération élec'!AF4+'Coûts annuel génération élec'!AF5+'Coûts annuels réseaux et stocka'!AF4+'Coûts annuels réseaux et stocka'!AF5+'Coûts annuels réseaux et stocka'!AF6)</f>
        <v>0</v>
      </c>
      <c r="AD48" s="132">
        <f>AD46+AD47-('Coûts annuel génération élec'!AG4+'Coûts annuel génération élec'!AG5+'Coûts annuels réseaux et stocka'!AG4+'Coûts annuels réseaux et stocka'!AG5+'Coûts annuels réseaux et stocka'!AG6)</f>
        <v>0</v>
      </c>
      <c r="AE48" s="132">
        <f>AE46+AE47-('Coûts annuel génération élec'!AH4+'Coûts annuel génération élec'!AH5+'Coûts annuels réseaux et stocka'!AH4+'Coûts annuels réseaux et stocka'!AH5+'Coûts annuels réseaux et stocka'!AH6)</f>
        <v>0</v>
      </c>
      <c r="AF48" s="132">
        <f>AF46+AF47-('Coûts annuel génération élec'!AI4+'Coûts annuel génération élec'!AI5+'Coûts annuels réseaux et stocka'!AI4+'Coûts annuels réseaux et stocka'!AI5+'Coûts annuels réseaux et stocka'!AI6)</f>
        <v>0</v>
      </c>
      <c r="AG48" s="132">
        <f>AG46+AG47-('Coûts annuel génération élec'!AJ4+'Coûts annuel génération élec'!AJ5+'Coûts annuels réseaux et stocka'!AJ4+'Coûts annuels réseaux et stocka'!AJ5+'Coûts annuels réseaux et stocka'!AJ6)</f>
        <v>0</v>
      </c>
      <c r="AH48" s="132">
        <f>AH46+AH47-('Coûts annuel génération élec'!AK4+'Coûts annuel génération élec'!AK5+'Coûts annuels réseaux et stocka'!AK4+'Coûts annuels réseaux et stocka'!AK5+'Coûts annuels réseaux et stocka'!AK6)</f>
        <v>0</v>
      </c>
      <c r="AI48" s="132">
        <f>AI46+AI47-('Coûts annuel génération élec'!AL4+'Coûts annuel génération élec'!AL5+'Coûts annuels réseaux et stocka'!AL4+'Coûts annuels réseaux et stocka'!AL5+'Coûts annuels réseaux et stocka'!AL6)</f>
        <v>0</v>
      </c>
      <c r="AJ48" s="132">
        <f>AJ46+AJ47-('Coûts annuel génération élec'!AM4+'Coûts annuel génération élec'!AM5+'Coûts annuels réseaux et stocka'!AM4+'Coûts annuels réseaux et stocka'!AM5+'Coûts annuels réseaux et stocka'!AM6)</f>
        <v>0</v>
      </c>
      <c r="AK48" s="132">
        <f>AK46+AK47-('Coûts annuel génération élec'!AN4+'Coûts annuel génération élec'!AN5+'Coûts annuels réseaux et stocka'!AN4+'Coûts annuels réseaux et stocka'!AN5+'Coûts annuels réseaux et stocka'!AN6)</f>
        <v>0</v>
      </c>
      <c r="AL48" s="132">
        <f>AL46+AL47-('Coûts annuel génération élec'!AO4+'Coûts annuel génération élec'!AO5+'Coûts annuels réseaux et stocka'!AO4+'Coûts annuels réseaux et stocka'!AO5+'Coûts annuels réseaux et stocka'!AO6)</f>
        <v>0</v>
      </c>
      <c r="AM48" s="132">
        <f>AM46+AM47-('Coûts annuel génération élec'!AP4+'Coûts annuel génération élec'!AP5+'Coûts annuels réseaux et stocka'!AP4+'Coûts annuels réseaux et stocka'!AP5+'Coûts annuels réseaux et stocka'!AP6-'Coûts annuels réseaux et stocka'!AP35)</f>
        <v>0</v>
      </c>
    </row>
    <row r="63" spans="1:39" ht="15.75" thickBot="1" x14ac:dyDescent="0.3"/>
    <row r="64" spans="1:39" x14ac:dyDescent="0.25">
      <c r="A64" s="120" t="s">
        <v>235</v>
      </c>
      <c r="B64" s="121">
        <f t="shared" ref="B64:AM64" si="24">B110</f>
        <v>2013</v>
      </c>
      <c r="C64" s="121">
        <f t="shared" si="24"/>
        <v>2014</v>
      </c>
      <c r="D64" s="121">
        <f t="shared" si="24"/>
        <v>2015</v>
      </c>
      <c r="E64" s="121">
        <f t="shared" si="24"/>
        <v>2016</v>
      </c>
      <c r="F64" s="121">
        <f t="shared" si="24"/>
        <v>2017</v>
      </c>
      <c r="G64" s="121">
        <f t="shared" si="24"/>
        <v>2018</v>
      </c>
      <c r="H64" s="121">
        <f t="shared" si="24"/>
        <v>2019</v>
      </c>
      <c r="I64" s="121">
        <f t="shared" si="24"/>
        <v>2020</v>
      </c>
      <c r="J64" s="121">
        <f t="shared" si="24"/>
        <v>2021</v>
      </c>
      <c r="K64" s="121">
        <f t="shared" si="24"/>
        <v>2022</v>
      </c>
      <c r="L64" s="121">
        <f t="shared" si="24"/>
        <v>2023</v>
      </c>
      <c r="M64" s="121">
        <f t="shared" si="24"/>
        <v>2024</v>
      </c>
      <c r="N64" s="121">
        <f t="shared" si="24"/>
        <v>2025</v>
      </c>
      <c r="O64" s="121">
        <f t="shared" si="24"/>
        <v>2026</v>
      </c>
      <c r="P64" s="121">
        <f t="shared" si="24"/>
        <v>2027</v>
      </c>
      <c r="Q64" s="121">
        <f t="shared" si="24"/>
        <v>2028</v>
      </c>
      <c r="R64" s="121">
        <f t="shared" si="24"/>
        <v>2029</v>
      </c>
      <c r="S64" s="121">
        <f t="shared" si="24"/>
        <v>2030</v>
      </c>
      <c r="T64" s="121">
        <f t="shared" si="24"/>
        <v>2031</v>
      </c>
      <c r="U64" s="121">
        <f t="shared" si="24"/>
        <v>2032</v>
      </c>
      <c r="V64" s="121">
        <f t="shared" si="24"/>
        <v>2033</v>
      </c>
      <c r="W64" s="121">
        <f t="shared" si="24"/>
        <v>2034</v>
      </c>
      <c r="X64" s="121">
        <f t="shared" si="24"/>
        <v>2035</v>
      </c>
      <c r="Y64" s="121">
        <f t="shared" si="24"/>
        <v>2036</v>
      </c>
      <c r="Z64" s="121">
        <f t="shared" si="24"/>
        <v>2037</v>
      </c>
      <c r="AA64" s="121">
        <f t="shared" si="24"/>
        <v>2038</v>
      </c>
      <c r="AB64" s="121">
        <f t="shared" si="24"/>
        <v>2039</v>
      </c>
      <c r="AC64" s="121">
        <f t="shared" si="24"/>
        <v>2040</v>
      </c>
      <c r="AD64" s="121">
        <f t="shared" si="24"/>
        <v>2041</v>
      </c>
      <c r="AE64" s="121">
        <f t="shared" si="24"/>
        <v>2042</v>
      </c>
      <c r="AF64" s="121">
        <f t="shared" si="24"/>
        <v>2043</v>
      </c>
      <c r="AG64" s="121">
        <f t="shared" si="24"/>
        <v>2044</v>
      </c>
      <c r="AH64" s="121">
        <f t="shared" si="24"/>
        <v>2045</v>
      </c>
      <c r="AI64" s="121">
        <f t="shared" si="24"/>
        <v>2046</v>
      </c>
      <c r="AJ64" s="121">
        <f t="shared" si="24"/>
        <v>2047</v>
      </c>
      <c r="AK64" s="121">
        <f t="shared" si="24"/>
        <v>2048</v>
      </c>
      <c r="AL64" s="121">
        <f t="shared" si="24"/>
        <v>2049</v>
      </c>
      <c r="AM64" s="122">
        <f t="shared" si="24"/>
        <v>2050</v>
      </c>
    </row>
    <row r="65" spans="1:39" x14ac:dyDescent="0.25">
      <c r="A65" s="123" t="s">
        <v>208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</row>
    <row r="66" spans="1:39" x14ac:dyDescent="0.25">
      <c r="A66" s="123" t="s">
        <v>209</v>
      </c>
      <c r="B66" s="86">
        <f t="shared" ref="B66:AD69" si="25">(B30+B39)/B112</f>
        <v>112.94832383374623</v>
      </c>
      <c r="C66" s="86">
        <f t="shared" si="25"/>
        <v>112.93437350596692</v>
      </c>
      <c r="D66" s="86">
        <f t="shared" si="25"/>
        <v>112.99069613892303</v>
      </c>
      <c r="E66" s="86">
        <f t="shared" si="25"/>
        <v>112.993318952614</v>
      </c>
      <c r="F66" s="86">
        <f t="shared" si="25"/>
        <v>112.97577127995535</v>
      </c>
      <c r="G66" s="86">
        <f t="shared" si="25"/>
        <v>113.96163442037447</v>
      </c>
      <c r="H66" s="86">
        <f t="shared" si="25"/>
        <v>114.64373754318873</v>
      </c>
      <c r="I66" s="86">
        <f t="shared" si="25"/>
        <v>115.11152656624247</v>
      </c>
      <c r="J66" s="86">
        <f t="shared" si="25"/>
        <v>115.38297779816682</v>
      </c>
      <c r="K66" s="86">
        <f t="shared" si="25"/>
        <v>115.48940830931286</v>
      </c>
      <c r="L66" s="86">
        <f t="shared" si="25"/>
        <v>115.51267182430504</v>
      </c>
      <c r="M66" s="86">
        <f t="shared" si="25"/>
        <v>115.34547653122571</v>
      </c>
      <c r="N66" s="86">
        <f t="shared" si="25"/>
        <v>115.15726977402946</v>
      </c>
      <c r="O66" s="86">
        <f t="shared" si="25"/>
        <v>114.95223727237999</v>
      </c>
      <c r="P66" s="86">
        <f t="shared" si="25"/>
        <v>114.73359872385429</v>
      </c>
      <c r="Q66" s="86">
        <f t="shared" si="25"/>
        <v>114.5038731158976</v>
      </c>
      <c r="R66" s="86">
        <f t="shared" si="25"/>
        <v>114.32322635675891</v>
      </c>
      <c r="S66" s="86">
        <f t="shared" si="25"/>
        <v>114.13563086140603</v>
      </c>
      <c r="T66" s="86">
        <f t="shared" si="25"/>
        <v>114.01230970830717</v>
      </c>
      <c r="U66" s="86">
        <f t="shared" si="25"/>
        <v>113.91010646951881</v>
      </c>
      <c r="V66" s="86">
        <f t="shared" si="25"/>
        <v>113.26049331393352</v>
      </c>
      <c r="W66" s="86">
        <f t="shared" si="25"/>
        <v>112.76690203258966</v>
      </c>
      <c r="X66" s="86">
        <f t="shared" si="25"/>
        <v>112.46647886833173</v>
      </c>
      <c r="Y66" s="86">
        <f t="shared" si="25"/>
        <v>112.19644702221963</v>
      </c>
      <c r="Z66" s="86">
        <f t="shared" si="25"/>
        <v>111.9501689738958</v>
      </c>
      <c r="AA66" s="86">
        <f t="shared" si="25"/>
        <v>111.46347560858848</v>
      </c>
      <c r="AB66" s="86">
        <f t="shared" si="25"/>
        <v>111.04895571161268</v>
      </c>
      <c r="AC66" s="86">
        <f t="shared" si="25"/>
        <v>110.70760547673646</v>
      </c>
      <c r="AD66" s="86">
        <f t="shared" si="25"/>
        <v>110.48048138282554</v>
      </c>
      <c r="AE66" s="86">
        <f t="shared" ref="AE66:AM69" si="26">(AE30+AE39)/AE112</f>
        <v>110.23106650403693</v>
      </c>
      <c r="AF66" s="86">
        <f t="shared" si="26"/>
        <v>110.03136304787924</v>
      </c>
      <c r="AG66" s="86">
        <f t="shared" si="26"/>
        <v>109.92921709937242</v>
      </c>
      <c r="AH66" s="86">
        <f t="shared" si="26"/>
        <v>109.86216354376292</v>
      </c>
      <c r="AI66" s="86">
        <f t="shared" si="26"/>
        <v>109.82767478050398</v>
      </c>
      <c r="AJ66" s="86">
        <f t="shared" si="26"/>
        <v>109.82350436695128</v>
      </c>
      <c r="AK66" s="86">
        <f t="shared" si="26"/>
        <v>109.8476505338991</v>
      </c>
      <c r="AL66" s="86">
        <f t="shared" si="26"/>
        <v>109.89729072216925</v>
      </c>
      <c r="AM66" s="124">
        <f t="shared" si="26"/>
        <v>109.97190204112803</v>
      </c>
    </row>
    <row r="67" spans="1:39" x14ac:dyDescent="0.25">
      <c r="A67" s="123" t="s">
        <v>210</v>
      </c>
      <c r="B67" s="86">
        <f t="shared" si="25"/>
        <v>219.90529563483605</v>
      </c>
      <c r="C67" s="86">
        <f t="shared" si="25"/>
        <v>219.04959835399941</v>
      </c>
      <c r="D67" s="86">
        <f t="shared" si="25"/>
        <v>217.74909227922981</v>
      </c>
      <c r="E67" s="86">
        <f t="shared" si="25"/>
        <v>216.2348192620918</v>
      </c>
      <c r="F67" s="86">
        <f t="shared" si="25"/>
        <v>214.60493290977061</v>
      </c>
      <c r="G67" s="86">
        <f t="shared" si="25"/>
        <v>212.89594076587508</v>
      </c>
      <c r="H67" s="86">
        <f t="shared" si="25"/>
        <v>211.12519105084499</v>
      </c>
      <c r="I67" s="86">
        <f t="shared" si="25"/>
        <v>209.30413310265988</v>
      </c>
      <c r="J67" s="86">
        <f t="shared" si="25"/>
        <v>207.40294952603901</v>
      </c>
      <c r="K67" s="86">
        <f t="shared" si="25"/>
        <v>205.42205809081432</v>
      </c>
      <c r="L67" s="86">
        <f t="shared" si="25"/>
        <v>203.42245861509494</v>
      </c>
      <c r="M67" s="86">
        <f t="shared" si="25"/>
        <v>201.42368130516755</v>
      </c>
      <c r="N67" s="86">
        <f t="shared" si="25"/>
        <v>199.41371390894037</v>
      </c>
      <c r="O67" s="86">
        <f t="shared" si="25"/>
        <v>197.39489124330765</v>
      </c>
      <c r="P67" s="86">
        <f t="shared" si="25"/>
        <v>195.36901946624491</v>
      </c>
      <c r="Q67" s="86">
        <f t="shared" si="25"/>
        <v>193.33751946549174</v>
      </c>
      <c r="R67" s="86">
        <f t="shared" si="25"/>
        <v>191.35969118329609</v>
      </c>
      <c r="S67" s="86">
        <f t="shared" si="25"/>
        <v>189.37881496350425</v>
      </c>
      <c r="T67" s="86">
        <f t="shared" si="25"/>
        <v>187.51662270716514</v>
      </c>
      <c r="U67" s="86">
        <f t="shared" si="25"/>
        <v>185.72271969906672</v>
      </c>
      <c r="V67" s="86">
        <f t="shared" si="25"/>
        <v>183.98879007672812</v>
      </c>
      <c r="W67" s="86">
        <f t="shared" si="25"/>
        <v>182.30584141808382</v>
      </c>
      <c r="X67" s="86">
        <f t="shared" si="25"/>
        <v>180.79697539291928</v>
      </c>
      <c r="Y67" s="86">
        <f t="shared" si="25"/>
        <v>179.30164480874205</v>
      </c>
      <c r="Z67" s="86">
        <f t="shared" si="25"/>
        <v>177.81510766531881</v>
      </c>
      <c r="AA67" s="86">
        <f t="shared" si="25"/>
        <v>176.31024315807733</v>
      </c>
      <c r="AB67" s="86">
        <f t="shared" si="25"/>
        <v>171.97082799289061</v>
      </c>
      <c r="AC67" s="86">
        <f t="shared" si="25"/>
        <v>167.92356803381847</v>
      </c>
      <c r="AD67" s="86">
        <f t="shared" si="25"/>
        <v>164.18868043932477</v>
      </c>
      <c r="AE67" s="86">
        <f t="shared" si="26"/>
        <v>160.61137179084804</v>
      </c>
      <c r="AF67" s="86">
        <f t="shared" si="26"/>
        <v>157.2475484176469</v>
      </c>
      <c r="AG67" s="86">
        <f t="shared" si="26"/>
        <v>154.07900249305703</v>
      </c>
      <c r="AH67" s="86">
        <f t="shared" si="26"/>
        <v>151.08958966035479</v>
      </c>
      <c r="AI67" s="86">
        <f t="shared" si="26"/>
        <v>148.26494632060869</v>
      </c>
      <c r="AJ67" s="86">
        <f t="shared" si="26"/>
        <v>145.59225221783606</v>
      </c>
      <c r="AK67" s="86">
        <f t="shared" si="26"/>
        <v>143.06003007678024</v>
      </c>
      <c r="AL67" s="86">
        <f t="shared" si="26"/>
        <v>140.65694114804165</v>
      </c>
      <c r="AM67" s="124">
        <f t="shared" si="26"/>
        <v>138.37478726124226</v>
      </c>
    </row>
    <row r="68" spans="1:39" x14ac:dyDescent="0.25">
      <c r="A68" s="123" t="s">
        <v>211</v>
      </c>
      <c r="B68" s="86">
        <f t="shared" si="25"/>
        <v>108.83523273960961</v>
      </c>
      <c r="C68" s="86">
        <f t="shared" si="25"/>
        <v>108.9773681557305</v>
      </c>
      <c r="D68" s="86">
        <f t="shared" si="25"/>
        <v>109.11317897382658</v>
      </c>
      <c r="E68" s="86">
        <f t="shared" si="25"/>
        <v>109.26299870649216</v>
      </c>
      <c r="F68" s="86">
        <f t="shared" si="25"/>
        <v>109.42723558998838</v>
      </c>
      <c r="G68" s="86">
        <f t="shared" si="25"/>
        <v>109.59082409360207</v>
      </c>
      <c r="H68" s="86">
        <f t="shared" si="25"/>
        <v>109.74129814135834</v>
      </c>
      <c r="I68" s="86">
        <f t="shared" si="25"/>
        <v>109.87164650177415</v>
      </c>
      <c r="J68" s="86">
        <f t="shared" si="25"/>
        <v>109.93998916065918</v>
      </c>
      <c r="K68" s="86">
        <f t="shared" si="25"/>
        <v>109.93851049232772</v>
      </c>
      <c r="L68" s="86">
        <f t="shared" si="25"/>
        <v>109.92238274376035</v>
      </c>
      <c r="M68" s="86">
        <f t="shared" si="25"/>
        <v>109.90688172662593</v>
      </c>
      <c r="N68" s="86">
        <f t="shared" si="25"/>
        <v>109.87680453389564</v>
      </c>
      <c r="O68" s="86">
        <f t="shared" si="25"/>
        <v>109.83203535981374</v>
      </c>
      <c r="P68" s="86">
        <f t="shared" si="25"/>
        <v>109.7724573174014</v>
      </c>
      <c r="Q68" s="86">
        <f t="shared" si="25"/>
        <v>109.69795243054909</v>
      </c>
      <c r="R68" s="86">
        <f t="shared" si="25"/>
        <v>109.66656677466599</v>
      </c>
      <c r="S68" s="86">
        <f t="shared" si="25"/>
        <v>109.62054172303752</v>
      </c>
      <c r="T68" s="86">
        <f t="shared" si="25"/>
        <v>109.61614827797409</v>
      </c>
      <c r="U68" s="86">
        <f t="shared" si="25"/>
        <v>109.61306468335755</v>
      </c>
      <c r="V68" s="86">
        <f>(V32+V41)/V114</f>
        <v>109.61132779401767</v>
      </c>
      <c r="W68" s="86">
        <f t="shared" si="25"/>
        <v>109.60892931985993</v>
      </c>
      <c r="X68" s="86">
        <f t="shared" si="25"/>
        <v>109.73485524936763</v>
      </c>
      <c r="Y68" s="86">
        <f t="shared" si="25"/>
        <v>109.83355071305</v>
      </c>
      <c r="Z68" s="86">
        <f t="shared" si="25"/>
        <v>109.90453644126525</v>
      </c>
      <c r="AA68" s="86">
        <f t="shared" si="25"/>
        <v>109.9243529280033</v>
      </c>
      <c r="AB68" s="86">
        <f t="shared" si="25"/>
        <v>109.9459976277725</v>
      </c>
      <c r="AC68" s="86">
        <f t="shared" si="25"/>
        <v>109.97727035914851</v>
      </c>
      <c r="AD68" s="86">
        <f t="shared" si="25"/>
        <v>110.06515731394423</v>
      </c>
      <c r="AE68" s="86">
        <f t="shared" si="26"/>
        <v>110.07833296314962</v>
      </c>
      <c r="AF68" s="86">
        <f t="shared" si="26"/>
        <v>110.09336369770904</v>
      </c>
      <c r="AG68" s="86">
        <f t="shared" si="26"/>
        <v>110.14956421237234</v>
      </c>
      <c r="AH68" s="86">
        <f t="shared" si="26"/>
        <v>110.31111323126028</v>
      </c>
      <c r="AI68" s="86">
        <f t="shared" si="26"/>
        <v>110.4916610230664</v>
      </c>
      <c r="AJ68" s="86">
        <f t="shared" si="26"/>
        <v>110.69142302389956</v>
      </c>
      <c r="AK68" s="86">
        <f t="shared" si="26"/>
        <v>110.91061834536502</v>
      </c>
      <c r="AL68" s="86">
        <f t="shared" si="26"/>
        <v>111.14843529201778</v>
      </c>
      <c r="AM68" s="124">
        <f t="shared" si="26"/>
        <v>111.4061781834246</v>
      </c>
    </row>
    <row r="69" spans="1:39" x14ac:dyDescent="0.25">
      <c r="A69" s="123" t="s">
        <v>212</v>
      </c>
      <c r="B69" s="86">
        <f t="shared" si="25"/>
        <v>121.98170078939891</v>
      </c>
      <c r="C69" s="86">
        <f t="shared" si="25"/>
        <v>121.72421956068365</v>
      </c>
      <c r="D69" s="86">
        <f t="shared" si="25"/>
        <v>121.54298285403432</v>
      </c>
      <c r="E69" s="86">
        <f t="shared" si="25"/>
        <v>121.35930810118694</v>
      </c>
      <c r="F69" s="86">
        <f t="shared" si="25"/>
        <v>121.18258260963586</v>
      </c>
      <c r="G69" s="86">
        <f t="shared" si="25"/>
        <v>121.00367143956301</v>
      </c>
      <c r="H69" s="86">
        <f t="shared" si="25"/>
        <v>120.81420003668175</v>
      </c>
      <c r="I69" s="86">
        <f t="shared" si="25"/>
        <v>120.61008584700171</v>
      </c>
      <c r="J69" s="86">
        <f t="shared" si="25"/>
        <v>120.35161320160783</v>
      </c>
      <c r="K69" s="86">
        <f t="shared" si="25"/>
        <v>120.03261182686511</v>
      </c>
      <c r="L69" s="86">
        <f t="shared" si="25"/>
        <v>119.70953704926215</v>
      </c>
      <c r="M69" s="86">
        <f t="shared" si="25"/>
        <v>119.3986888170928</v>
      </c>
      <c r="N69" s="86">
        <f t="shared" si="25"/>
        <v>119.08569943912019</v>
      </c>
      <c r="O69" s="86">
        <f t="shared" si="25"/>
        <v>118.77114800901923</v>
      </c>
      <c r="P69" s="86">
        <f t="shared" si="25"/>
        <v>118.45550668442138</v>
      </c>
      <c r="Q69" s="86">
        <f t="shared" si="25"/>
        <v>118.13916557912692</v>
      </c>
      <c r="R69" s="86">
        <f t="shared" si="25"/>
        <v>117.88061620286469</v>
      </c>
      <c r="S69" s="86">
        <f t="shared" si="25"/>
        <v>117.62249636303561</v>
      </c>
      <c r="T69" s="86">
        <f t="shared" si="25"/>
        <v>117.41204128017849</v>
      </c>
      <c r="U69" s="86">
        <f t="shared" si="25"/>
        <v>117.20841754115956</v>
      </c>
      <c r="V69" s="86">
        <f t="shared" si="25"/>
        <v>116.47628954179166</v>
      </c>
      <c r="W69" s="86">
        <f t="shared" si="25"/>
        <v>115.80174359361683</v>
      </c>
      <c r="X69" s="86">
        <f t="shared" si="25"/>
        <v>115.30743476838953</v>
      </c>
      <c r="Y69" s="86">
        <f t="shared" si="25"/>
        <v>114.83272542880799</v>
      </c>
      <c r="Z69" s="86">
        <f t="shared" si="25"/>
        <v>114.37271981867327</v>
      </c>
      <c r="AA69" s="86">
        <f t="shared" si="25"/>
        <v>113.90010286414872</v>
      </c>
      <c r="AB69" s="86">
        <f t="shared" si="25"/>
        <v>113.46449139495391</v>
      </c>
      <c r="AC69" s="86">
        <f t="shared" si="25"/>
        <v>113.07070892126805</v>
      </c>
      <c r="AD69" s="86">
        <f t="shared" si="25"/>
        <v>112.76311126085652</v>
      </c>
      <c r="AE69" s="86">
        <f t="shared" si="26"/>
        <v>112.40803990056837</v>
      </c>
      <c r="AF69" s="86">
        <f t="shared" si="26"/>
        <v>112.07998504925794</v>
      </c>
      <c r="AG69" s="86">
        <f t="shared" si="26"/>
        <v>111.7771450351138</v>
      </c>
      <c r="AH69" s="86">
        <f t="shared" si="26"/>
        <v>111.4979135908183</v>
      </c>
      <c r="AI69" s="86">
        <f t="shared" si="26"/>
        <v>111.24085545974572</v>
      </c>
      <c r="AJ69" s="86">
        <f t="shared" si="26"/>
        <v>111.00468561659007</v>
      </c>
      <c r="AK69" s="86">
        <f t="shared" si="26"/>
        <v>110.78825149481759</v>
      </c>
      <c r="AL69" s="86">
        <f t="shared" si="26"/>
        <v>110.58948315518499</v>
      </c>
      <c r="AM69" s="124">
        <f t="shared" si="26"/>
        <v>110.40852686627932</v>
      </c>
    </row>
    <row r="70" spans="1:39" x14ac:dyDescent="0.25">
      <c r="A70" s="125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124"/>
    </row>
    <row r="71" spans="1:39" x14ac:dyDescent="0.25">
      <c r="A71" s="128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124"/>
    </row>
    <row r="72" spans="1:39" x14ac:dyDescent="0.25">
      <c r="A72" s="128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124"/>
    </row>
    <row r="73" spans="1:39" x14ac:dyDescent="0.25">
      <c r="A73" s="128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124"/>
    </row>
    <row r="74" spans="1:39" x14ac:dyDescent="0.25">
      <c r="A74" s="128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124"/>
    </row>
    <row r="75" spans="1:39" x14ac:dyDescent="0.25">
      <c r="A75" s="128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124"/>
    </row>
    <row r="76" spans="1:39" x14ac:dyDescent="0.25">
      <c r="A76" s="128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124"/>
    </row>
    <row r="77" spans="1:39" x14ac:dyDescent="0.25">
      <c r="A77" s="128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124"/>
    </row>
    <row r="78" spans="1:39" x14ac:dyDescent="0.25">
      <c r="A78" s="128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124"/>
    </row>
    <row r="79" spans="1:39" x14ac:dyDescent="0.25">
      <c r="A79" s="128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124"/>
    </row>
    <row r="80" spans="1:39" x14ac:dyDescent="0.25">
      <c r="A80" s="128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124"/>
    </row>
    <row r="81" spans="1:39" x14ac:dyDescent="0.25">
      <c r="A81" s="128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124"/>
    </row>
    <row r="82" spans="1:39" x14ac:dyDescent="0.25">
      <c r="A82" s="128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124"/>
    </row>
    <row r="83" spans="1:39" x14ac:dyDescent="0.25">
      <c r="A83" s="128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124"/>
    </row>
    <row r="84" spans="1:39" x14ac:dyDescent="0.25">
      <c r="A84" s="128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124"/>
    </row>
    <row r="85" spans="1:39" x14ac:dyDescent="0.25">
      <c r="A85" s="128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124"/>
    </row>
    <row r="86" spans="1:39" x14ac:dyDescent="0.25">
      <c r="A86" s="128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124"/>
    </row>
    <row r="87" spans="1:39" ht="15.75" thickBot="1" x14ac:dyDescent="0.3">
      <c r="A87" s="139" t="s">
        <v>236</v>
      </c>
      <c r="B87" s="140"/>
      <c r="C87" s="140"/>
      <c r="D87" s="140"/>
      <c r="E87" s="140"/>
      <c r="F87" s="140"/>
      <c r="G87" s="140"/>
      <c r="H87" s="140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3"/>
    </row>
    <row r="89" spans="1:39" x14ac:dyDescent="0.25">
      <c r="A89" t="s">
        <v>237</v>
      </c>
      <c r="B89">
        <f>B37</f>
        <v>2013</v>
      </c>
      <c r="C89">
        <f t="shared" ref="C89:AK89" si="27">C37</f>
        <v>2014</v>
      </c>
      <c r="D89">
        <f t="shared" si="27"/>
        <v>2015</v>
      </c>
      <c r="E89">
        <f t="shared" si="27"/>
        <v>2016</v>
      </c>
      <c r="F89">
        <f t="shared" si="27"/>
        <v>2017</v>
      </c>
      <c r="G89">
        <f t="shared" si="27"/>
        <v>2018</v>
      </c>
      <c r="H89">
        <f t="shared" si="27"/>
        <v>2019</v>
      </c>
      <c r="I89">
        <f t="shared" si="27"/>
        <v>2020</v>
      </c>
      <c r="J89">
        <f t="shared" si="27"/>
        <v>2021</v>
      </c>
      <c r="K89">
        <f t="shared" si="27"/>
        <v>2022</v>
      </c>
      <c r="L89">
        <f t="shared" si="27"/>
        <v>2023</v>
      </c>
      <c r="M89">
        <f t="shared" si="27"/>
        <v>2024</v>
      </c>
      <c r="N89">
        <f t="shared" si="27"/>
        <v>2025</v>
      </c>
      <c r="O89">
        <f t="shared" si="27"/>
        <v>2026</v>
      </c>
      <c r="P89">
        <f t="shared" si="27"/>
        <v>2027</v>
      </c>
      <c r="Q89">
        <f t="shared" si="27"/>
        <v>2028</v>
      </c>
      <c r="R89">
        <f t="shared" si="27"/>
        <v>2029</v>
      </c>
      <c r="S89">
        <f t="shared" si="27"/>
        <v>2030</v>
      </c>
      <c r="T89">
        <f t="shared" si="27"/>
        <v>2031</v>
      </c>
      <c r="U89">
        <f t="shared" si="27"/>
        <v>2032</v>
      </c>
      <c r="V89">
        <f t="shared" si="27"/>
        <v>2033</v>
      </c>
      <c r="W89">
        <f t="shared" si="27"/>
        <v>2034</v>
      </c>
      <c r="X89">
        <f t="shared" si="27"/>
        <v>2035</v>
      </c>
      <c r="Y89">
        <f t="shared" si="27"/>
        <v>2036</v>
      </c>
      <c r="Z89">
        <f t="shared" si="27"/>
        <v>2037</v>
      </c>
      <c r="AA89">
        <f t="shared" si="27"/>
        <v>2038</v>
      </c>
      <c r="AB89">
        <f t="shared" si="27"/>
        <v>2039</v>
      </c>
      <c r="AC89">
        <f t="shared" si="27"/>
        <v>2040</v>
      </c>
      <c r="AD89">
        <f t="shared" si="27"/>
        <v>2041</v>
      </c>
      <c r="AE89">
        <f t="shared" si="27"/>
        <v>2042</v>
      </c>
      <c r="AF89">
        <f t="shared" si="27"/>
        <v>2043</v>
      </c>
      <c r="AG89">
        <f t="shared" si="27"/>
        <v>2044</v>
      </c>
      <c r="AH89">
        <f t="shared" si="27"/>
        <v>2045</v>
      </c>
      <c r="AI89">
        <f t="shared" si="27"/>
        <v>2046</v>
      </c>
      <c r="AJ89">
        <f t="shared" si="27"/>
        <v>2047</v>
      </c>
      <c r="AK89">
        <f t="shared" si="27"/>
        <v>2048</v>
      </c>
      <c r="AL89">
        <f>AL37</f>
        <v>2049</v>
      </c>
      <c r="AM89">
        <f t="shared" ref="AM89" si="28">AM37</f>
        <v>2050</v>
      </c>
    </row>
    <row r="90" spans="1:39" x14ac:dyDescent="0.25">
      <c r="A90" t="s">
        <v>208</v>
      </c>
      <c r="B90">
        <f>'Données capacités de stockage'!B56/1000000</f>
        <v>0</v>
      </c>
      <c r="C90">
        <f>'Données capacités de stockage'!C56/1000000</f>
        <v>0</v>
      </c>
      <c r="D90">
        <f>'Données capacités de stockage'!D56/1000000</f>
        <v>0</v>
      </c>
      <c r="E90">
        <f>'Données capacités de stockage'!E56/1000000</f>
        <v>0</v>
      </c>
      <c r="F90">
        <f>'Données capacités de stockage'!F56/1000000</f>
        <v>0</v>
      </c>
      <c r="G90">
        <f>'Données capacités de stockage'!G56/1000000</f>
        <v>0</v>
      </c>
      <c r="H90">
        <f>'Données capacités de stockage'!H56/1000000</f>
        <v>0</v>
      </c>
      <c r="I90">
        <f>'Données capacités de stockage'!I56/1000000</f>
        <v>0</v>
      </c>
      <c r="J90">
        <f>'Données capacités de stockage'!J56/1000000</f>
        <v>0</v>
      </c>
      <c r="K90">
        <f>'Données capacités de stockage'!K56/1000000</f>
        <v>0</v>
      </c>
      <c r="L90">
        <f>'Données capacités de stockage'!L56/1000000</f>
        <v>0</v>
      </c>
      <c r="M90">
        <f>'Données capacités de stockage'!M56/1000000</f>
        <v>0</v>
      </c>
      <c r="N90">
        <f>'Données capacités de stockage'!N56/1000000</f>
        <v>0</v>
      </c>
      <c r="O90">
        <f>'Données capacités de stockage'!O56/1000000</f>
        <v>0</v>
      </c>
      <c r="P90">
        <f>'Données capacités de stockage'!P56/1000000</f>
        <v>0</v>
      </c>
      <c r="Q90">
        <f>'Données capacités de stockage'!Q56/1000000</f>
        <v>0</v>
      </c>
      <c r="R90">
        <f>'Données capacités de stockage'!R56/1000000</f>
        <v>0</v>
      </c>
      <c r="S90">
        <f>'Données capacités de stockage'!S56/1000000</f>
        <v>0</v>
      </c>
      <c r="T90">
        <f>'Données capacités de stockage'!T56/1000000</f>
        <v>0</v>
      </c>
      <c r="U90">
        <f>'Données capacités de stockage'!U56/1000000</f>
        <v>0</v>
      </c>
      <c r="V90">
        <f>'Données capacités de stockage'!V56/1000000</f>
        <v>0</v>
      </c>
      <c r="W90">
        <f>'Données capacités de stockage'!W56/1000000</f>
        <v>0</v>
      </c>
      <c r="X90">
        <f>'Données capacités de stockage'!X56/1000000</f>
        <v>0</v>
      </c>
      <c r="Y90">
        <f>'Données capacités de stockage'!Y56/1000000</f>
        <v>0</v>
      </c>
      <c r="Z90">
        <f>'Données capacités de stockage'!Z56/1000000</f>
        <v>0</v>
      </c>
      <c r="AA90">
        <f>'Données capacités de stockage'!AA56/1000000</f>
        <v>0</v>
      </c>
      <c r="AB90">
        <f>'Données capacités de stockage'!AB56/1000000</f>
        <v>0</v>
      </c>
      <c r="AC90">
        <f>'Données capacités de stockage'!AC56/1000000</f>
        <v>0</v>
      </c>
      <c r="AD90">
        <f>'Données capacités de stockage'!AD56/1000000</f>
        <v>0</v>
      </c>
      <c r="AE90">
        <f>'Données capacités de stockage'!AE56/1000000</f>
        <v>0</v>
      </c>
      <c r="AF90">
        <f>'Données capacités de stockage'!AF56/1000000</f>
        <v>0</v>
      </c>
      <c r="AG90">
        <f>'Données capacités de stockage'!AG56/1000000</f>
        <v>0</v>
      </c>
      <c r="AH90">
        <f>'Données capacités de stockage'!AH56/1000000</f>
        <v>0</v>
      </c>
      <c r="AI90">
        <f>'Données capacités de stockage'!AI56/1000000</f>
        <v>0</v>
      </c>
      <c r="AJ90">
        <f>'Données capacités de stockage'!AJ56/1000000</f>
        <v>0</v>
      </c>
      <c r="AK90">
        <f>'Données capacités de stockage'!AK56/1000000</f>
        <v>0</v>
      </c>
      <c r="AL90">
        <f>'Données capacités de stockage'!AL56/1000000</f>
        <v>0</v>
      </c>
      <c r="AM90">
        <v>0</v>
      </c>
    </row>
    <row r="91" spans="1:39" x14ac:dyDescent="0.25">
      <c r="A91" t="s">
        <v>209</v>
      </c>
      <c r="B91" s="42">
        <f>('Données capacités de production'!B4+'Données capacités de production'!B15)/1000000</f>
        <v>15.9</v>
      </c>
      <c r="C91" s="42">
        <f>('Données capacités de production'!C4+'Données capacités de production'!C15)/1000000</f>
        <v>20.433265654000103</v>
      </c>
      <c r="D91" s="42">
        <f>('Données capacités de production'!D4+'Données capacités de production'!D15)/1000000</f>
        <v>24.966531308000203</v>
      </c>
      <c r="E91" s="42">
        <f>('Données capacités de production'!E4+'Données capacités de production'!E15)/1000000</f>
        <v>29.499796962000303</v>
      </c>
      <c r="F91" s="42">
        <f>('Données capacités de production'!F4+'Données capacités de production'!F15)/1000000</f>
        <v>34.0330626160004</v>
      </c>
      <c r="G91" s="42">
        <f>('Données capacités de production'!G4+'Données capacités de production'!G15)/1000000</f>
        <v>39.247486253910424</v>
      </c>
      <c r="H91" s="42">
        <f>('Données capacités de production'!H4+'Données capacités de production'!H15)/1000000</f>
        <v>44.461909891820447</v>
      </c>
      <c r="I91" s="42">
        <f>('Données capacités de production'!I4+'Données capacités de production'!I15)/1000000</f>
        <v>49.676333529730464</v>
      </c>
      <c r="J91" s="42">
        <f>('Données capacités de production'!J4+'Données capacités de production'!J15)/1000000</f>
        <v>54.890757167640473</v>
      </c>
      <c r="K91" s="42">
        <f>('Données capacités de production'!K4+'Données capacités de production'!K15)/1000000</f>
        <v>60.105180805550468</v>
      </c>
      <c r="L91" s="42">
        <f>('Données capacités de production'!L4+'Données capacités de production'!L15)/1000000</f>
        <v>65.319604443460477</v>
      </c>
      <c r="M91" s="42">
        <f>('Données capacités de production'!M4+'Données capacités de production'!M15)/1000000</f>
        <v>70.261564887806514</v>
      </c>
      <c r="N91" s="42">
        <f>('Données capacités de production'!N4+'Données capacités de production'!N15)/1000000</f>
        <v>75.203525332152509</v>
      </c>
      <c r="O91" s="42">
        <f>('Données capacités de production'!O4+'Données capacités de production'!O15)/1000000</f>
        <v>80.14548577649856</v>
      </c>
      <c r="P91" s="42">
        <f>('Données capacités de production'!P4+'Données capacités de production'!P15)/1000000</f>
        <v>85.087446220844555</v>
      </c>
      <c r="Q91" s="42">
        <f>('Données capacités de production'!Q4+'Données capacités de production'!Q15)/1000000</f>
        <v>90.029406665190535</v>
      </c>
      <c r="R91" s="42">
        <f>('Données capacités de production'!R4+'Données capacités de production'!R15)/1000000</f>
        <v>94.971367109536516</v>
      </c>
      <c r="S91" s="42">
        <f>('Données capacités de production'!S4+'Données capacités de production'!S15)/1000000</f>
        <v>99.913327553882496</v>
      </c>
      <c r="T91" s="42">
        <f>('Données capacités de production'!T4+'Données capacités de production'!T15)/1000000</f>
        <v>104.85528799822845</v>
      </c>
      <c r="U91" s="42">
        <f>('Données capacités de production'!U4+'Données capacités de production'!U15)/1000000</f>
        <v>109.7972484425744</v>
      </c>
      <c r="V91" s="42">
        <f>('Données capacités de production'!V4+'Données capacités de production'!V15)/1000000</f>
        <v>114.73920888692035</v>
      </c>
      <c r="W91" s="42">
        <f>('Données capacités de production'!W4+'Données capacités de production'!W15)/1000000</f>
        <v>119.68116933126628</v>
      </c>
      <c r="X91" s="42">
        <f>('Données capacités de production'!X4+'Données capacités de production'!X15)/1000000</f>
        <v>124.6231297756122</v>
      </c>
      <c r="Y91" s="42">
        <f>('Données capacités de production'!Y4+'Données capacités de production'!Y15)/1000000</f>
        <v>129.56509021995811</v>
      </c>
      <c r="Z91" s="42">
        <f>('Données capacités de production'!Z4+'Données capacités de production'!Z15)/1000000</f>
        <v>134.50705066430399</v>
      </c>
      <c r="AA91" s="42">
        <f>('Données capacités de production'!AA4+'Données capacités de production'!AA15)/1000000</f>
        <v>139.44901110864987</v>
      </c>
      <c r="AB91" s="42">
        <f>('Données capacités de production'!AB4+'Données capacités de production'!AB15)/1000000</f>
        <v>144.39097155299578</v>
      </c>
      <c r="AC91" s="42">
        <f>('Données capacités de production'!AC4+'Données capacités de production'!AC15)/1000000</f>
        <v>149.33293199734163</v>
      </c>
      <c r="AD91" s="42">
        <f>('Données capacités de production'!AD4+'Données capacités de production'!AD15)/1000000</f>
        <v>154.27489244168746</v>
      </c>
      <c r="AE91" s="42">
        <f>('Données capacités de production'!AE4+'Données capacités de production'!AE15)/1000000</f>
        <v>159.21685288603328</v>
      </c>
      <c r="AF91" s="42">
        <f>('Données capacités de production'!AF4+'Données capacités de production'!AF15)/1000000</f>
        <v>164.15881333037908</v>
      </c>
      <c r="AG91" s="42">
        <f>('Données capacités de production'!AG4+'Données capacités de production'!AG15)/1000000</f>
        <v>169.10077377472484</v>
      </c>
      <c r="AH91" s="42">
        <f>('Données capacités de production'!AH4+'Données capacités de production'!AH15)/1000000</f>
        <v>174.04273421907061</v>
      </c>
      <c r="AI91" s="42">
        <f>('Données capacités de production'!AI4+'Données capacités de production'!AI15)/1000000</f>
        <v>178.98469466341632</v>
      </c>
      <c r="AJ91" s="42">
        <f>('Données capacités de production'!AJ4+'Données capacités de production'!AJ15)/1000000</f>
        <v>183.92665510776206</v>
      </c>
      <c r="AK91" s="42">
        <f>('Données capacités de production'!AK4+'Données capacités de production'!AK15)/1000000</f>
        <v>188.86861555210774</v>
      </c>
      <c r="AL91" s="42">
        <f>('Données capacités de production'!AL4+'Données capacités de production'!AL15)/1000000</f>
        <v>193.81057599645342</v>
      </c>
      <c r="AM91" s="42">
        <f>('Données capacités de production'!AM4+'Données capacités de production'!AM15)/1000000</f>
        <v>198.75253644079908</v>
      </c>
    </row>
    <row r="92" spans="1:39" x14ac:dyDescent="0.25">
      <c r="A92" t="s">
        <v>210</v>
      </c>
      <c r="B92" s="42">
        <f>'Données capacités de production'!B28/1000000</f>
        <v>4.5999999999999996</v>
      </c>
      <c r="C92" s="42">
        <f>'Données capacités de production'!C28/1000000</f>
        <v>5.9307863919216599</v>
      </c>
      <c r="D92" s="42">
        <f>'Données capacités de production'!D28/1000000</f>
        <v>7.2615727838433202</v>
      </c>
      <c r="E92" s="42">
        <f>'Données capacités de production'!E28/1000000</f>
        <v>8.5923591757649795</v>
      </c>
      <c r="F92" s="42">
        <f>'Données capacités de production'!F28/1000000</f>
        <v>9.9231455676866371</v>
      </c>
      <c r="G92" s="42">
        <f>'Données capacités de production'!G28/1000000</f>
        <v>11.253931959608295</v>
      </c>
      <c r="H92" s="42">
        <f>'Données capacités de production'!H28/1000000</f>
        <v>12.584718351529951</v>
      </c>
      <c r="I92" s="42">
        <f>'Données capacités de production'!I28/1000000</f>
        <v>13.915504743451605</v>
      </c>
      <c r="J92" s="42">
        <f>'Données capacités de production'!J28/1000000</f>
        <v>15.246291135373259</v>
      </c>
      <c r="K92" s="42">
        <f>'Données capacités de production'!K28/1000000</f>
        <v>16.577077527294911</v>
      </c>
      <c r="L92" s="42">
        <f>'Données capacités de production'!L28/1000000</f>
        <v>17.90786391921656</v>
      </c>
      <c r="M92" s="42">
        <f>'Données capacités de production'!M28/1000000</f>
        <v>19.238650311138205</v>
      </c>
      <c r="N92" s="42">
        <f>'Données capacités de production'!N28/1000000</f>
        <v>20.56943670305985</v>
      </c>
      <c r="O92" s="42">
        <f>'Données capacités de production'!O28/1000000</f>
        <v>21.900223094981492</v>
      </c>
      <c r="P92" s="42">
        <f>'Données capacités de production'!P28/1000000</f>
        <v>23.23100948690313</v>
      </c>
      <c r="Q92" s="42">
        <f>'Données capacités de production'!Q28/1000000</f>
        <v>24.561795878824768</v>
      </c>
      <c r="R92" s="42">
        <f>'Données capacités de production'!R28/1000000</f>
        <v>25.892582270746402</v>
      </c>
      <c r="S92" s="42">
        <f>'Données capacités de production'!S28/1000000</f>
        <v>27.223368662668033</v>
      </c>
      <c r="T92" s="42">
        <f>'Données capacités de production'!T28/1000000</f>
        <v>28.554155054589664</v>
      </c>
      <c r="U92" s="42">
        <f>'Données capacités de production'!U28/1000000</f>
        <v>29.884941446511291</v>
      </c>
      <c r="V92" s="42">
        <f>'Données capacités de production'!V28/1000000</f>
        <v>31.215727838432919</v>
      </c>
      <c r="W92" s="42">
        <f>'Données capacités de production'!W28/1000000</f>
        <v>32.546514230354546</v>
      </c>
      <c r="X92" s="42">
        <f>'Données capacités de production'!X28/1000000</f>
        <v>33.877300622276167</v>
      </c>
      <c r="Y92" s="42">
        <f>'Données capacités de production'!Y28/1000000</f>
        <v>35.20808701419778</v>
      </c>
      <c r="Z92" s="42">
        <f>'Données capacités de production'!Z28/1000000</f>
        <v>36.538873406119393</v>
      </c>
      <c r="AA92" s="42">
        <f>'Données capacités de production'!AA28/1000000</f>
        <v>37.869659798040999</v>
      </c>
      <c r="AB92" s="42">
        <f>'Données capacités de production'!AB28/1000000</f>
        <v>39.200446189962598</v>
      </c>
      <c r="AC92" s="42">
        <f>'Données capacités de production'!AC28/1000000</f>
        <v>40.531232581884197</v>
      </c>
      <c r="AD92" s="42">
        <f>'Données capacités de production'!AD28/1000000</f>
        <v>41.862018973805782</v>
      </c>
      <c r="AE92" s="42">
        <f>'Données capacités de production'!AE28/1000000</f>
        <v>43.192805365727374</v>
      </c>
      <c r="AF92" s="42">
        <f>'Données capacités de production'!AF28/1000000</f>
        <v>44.523591757648958</v>
      </c>
      <c r="AG92" s="42">
        <f>'Données capacités de production'!AG28/1000000</f>
        <v>45.854378149570543</v>
      </c>
      <c r="AH92" s="42">
        <f>'Données capacités de production'!AH28/1000000</f>
        <v>47.185164541492107</v>
      </c>
      <c r="AI92" s="42">
        <f>'Données capacités de production'!AI28/1000000</f>
        <v>48.515950933413677</v>
      </c>
      <c r="AJ92" s="42">
        <f>'Données capacités de production'!AJ28/1000000</f>
        <v>49.846737325335241</v>
      </c>
      <c r="AK92" s="42">
        <f>'Données capacités de production'!AK28/1000000</f>
        <v>51.177523717256797</v>
      </c>
      <c r="AL92" s="42">
        <f>'Données capacités de production'!AL28/1000000</f>
        <v>52.508310109178353</v>
      </c>
      <c r="AM92" s="42">
        <f>'Données capacités de production'!AM28/1000000</f>
        <v>53.839096501099903</v>
      </c>
    </row>
    <row r="93" spans="1:39" x14ac:dyDescent="0.25">
      <c r="A93" t="s">
        <v>211</v>
      </c>
      <c r="B93">
        <f>('Données capacités de production'!B77+'Données capacités de production'!B102)/1000000</f>
        <v>68.93968000000001</v>
      </c>
      <c r="C93">
        <f>('Données capacités de production'!C77+'Données capacités de production'!C102)/1000000</f>
        <v>68.745310112113714</v>
      </c>
      <c r="D93">
        <f>('Données capacités de production'!D77+'Données capacités de production'!D102)/1000000</f>
        <v>68.550940224227432</v>
      </c>
      <c r="E93">
        <f>('Données capacités de production'!E77+'Données capacités de production'!E102)/1000000</f>
        <v>68.356570336341107</v>
      </c>
      <c r="F93">
        <f>('Données capacités de production'!F77+'Données capacités de production'!F102)/1000000</f>
        <v>68.162200448454783</v>
      </c>
      <c r="G93">
        <f>('Données capacités de production'!G77+'Données capacités de production'!G102)/1000000</f>
        <v>67.967830560568473</v>
      </c>
      <c r="H93">
        <f>('Données capacités de production'!H77+'Données capacités de production'!H102)/1000000</f>
        <v>67.77346067268212</v>
      </c>
      <c r="I93">
        <f>('Données capacités de production'!I77+'Données capacités de production'!I102)/1000000</f>
        <v>67.579090784795767</v>
      </c>
      <c r="J93">
        <f>('Données capacités de production'!J77+'Données capacités de production'!J102)/1000000</f>
        <v>67.3847208969094</v>
      </c>
      <c r="K93">
        <f>('Données capacités de production'!K77+'Données capacités de production'!K102)/1000000</f>
        <v>67.190351009023047</v>
      </c>
      <c r="L93">
        <f>('Données capacités de production'!L77+'Données capacités de production'!L102)/1000000</f>
        <v>66.995981121136651</v>
      </c>
      <c r="M93">
        <f>('Données capacités de production'!M77+'Données capacités de production'!M102)/1000000</f>
        <v>66.80161123325027</v>
      </c>
      <c r="N93">
        <f>('Données capacités de production'!N77+'Données capacités de production'!N102)/1000000</f>
        <v>66.607241345363875</v>
      </c>
      <c r="O93">
        <f>('Données capacités de production'!O77+'Données capacités de production'!O102)/1000000</f>
        <v>66.412871457477465</v>
      </c>
      <c r="P93">
        <f>('Données capacités de production'!P77+'Données capacités de production'!P102)/1000000</f>
        <v>66.218501569591055</v>
      </c>
      <c r="Q93">
        <f>('Données capacités de production'!Q77+'Données capacités de production'!Q102)/1000000</f>
        <v>66.024131681704631</v>
      </c>
      <c r="R93">
        <f>('Données capacités de production'!R77+'Données capacités de production'!R102)/1000000</f>
        <v>65.829761793818193</v>
      </c>
      <c r="S93">
        <f>('Données capacités de production'!S77+'Données capacités de production'!S102)/1000000</f>
        <v>65.635391905931755</v>
      </c>
      <c r="T93">
        <f>('Données capacités de production'!T77+'Données capacités de production'!T102)/1000000</f>
        <v>65.441022018045317</v>
      </c>
      <c r="U93">
        <f>('Données capacités de production'!U77+'Données capacités de production'!U102)/1000000</f>
        <v>65.246652130158864</v>
      </c>
      <c r="V93">
        <f>('Données capacités de production'!V77+'Données capacités de production'!V102)/1000000</f>
        <v>65.052282242272398</v>
      </c>
      <c r="W93">
        <f>('Données capacités de production'!W77+'Données capacités de production'!W102)/1000000</f>
        <v>64.857912354385931</v>
      </c>
      <c r="X93">
        <f>('Données capacités de production'!X77+'Données capacités de production'!X102)/1000000</f>
        <v>64.663542466499436</v>
      </c>
      <c r="Y93">
        <f>('Données capacités de production'!Y77+'Données capacités de production'!Y102)/1000000</f>
        <v>64.469172578612941</v>
      </c>
      <c r="Z93">
        <f>('Données capacités de production'!Z77+'Données capacités de production'!Z102)/1000000</f>
        <v>64.274802690726446</v>
      </c>
      <c r="AA93">
        <f>('Données capacités de production'!AA77+'Données capacités de production'!AA102)/1000000</f>
        <v>64.080432802839937</v>
      </c>
      <c r="AB93">
        <f>('Données capacités de production'!AB77+'Données capacités de production'!AB102)/1000000</f>
        <v>63.886062914953435</v>
      </c>
      <c r="AC93">
        <f>('Données capacités de production'!AC77+'Données capacités de production'!AC102)/1000000</f>
        <v>63.691693027066911</v>
      </c>
      <c r="AD93">
        <f>('Données capacités de production'!AD77+'Données capacités de production'!AD102)/1000000</f>
        <v>63.497323139180388</v>
      </c>
      <c r="AE93">
        <f>('Données capacités de production'!AE77+'Données capacités de production'!AE102)/1000000</f>
        <v>63.302953251293864</v>
      </c>
      <c r="AF93">
        <f>('Données capacités de production'!AF77+'Données capacités de production'!AF102)/1000000</f>
        <v>63.108583363407334</v>
      </c>
      <c r="AG93">
        <f>('Données capacités de production'!AG77+'Données capacités de production'!AG102)/1000000</f>
        <v>62.914213475520796</v>
      </c>
      <c r="AH93">
        <f>('Données capacités de production'!AH77+'Données capacités de production'!AH102)/1000000</f>
        <v>62.719843587634259</v>
      </c>
      <c r="AI93">
        <f>('Données capacités de production'!AI77+'Données capacités de production'!AI102)/1000000</f>
        <v>62.525473699747714</v>
      </c>
      <c r="AJ93">
        <f>('Données capacités de production'!AJ77+'Données capacités de production'!AJ102)/1000000</f>
        <v>62.331103811861162</v>
      </c>
      <c r="AK93">
        <f>('Données capacités de production'!AK77+'Données capacités de production'!AK102)/1000000</f>
        <v>62.136733923974603</v>
      </c>
      <c r="AL93">
        <f>('Données capacités de production'!AL77+'Données capacités de production'!AL102)/1000000</f>
        <v>61.942364036088058</v>
      </c>
      <c r="AM93">
        <f>('Données capacités de production'!AM77+'Données capacités de production'!AM102)/1000000</f>
        <v>61.747994148201499</v>
      </c>
    </row>
    <row r="94" spans="1:39" x14ac:dyDescent="0.25">
      <c r="A94" t="s">
        <v>212</v>
      </c>
      <c r="B94">
        <f>('Données capacités de production'!B89+'Données capacités de production'!B65+'Données capacités de production'!B54+'Données capacités de production'!B41+'Linéarisation mix'!B13)/1000000</f>
        <v>5.3525247250000003</v>
      </c>
      <c r="C94">
        <f>('Données capacités de production'!C89+'Données capacités de production'!C65+'Données capacités de production'!C54+'Données capacités de production'!C41+'Linéarisation mix'!C13)/1000000</f>
        <v>6.1623613855432771</v>
      </c>
      <c r="D94">
        <f>('Données capacités de production'!D89+'Données capacités de production'!D65+'Données capacités de production'!D54+'Données capacités de production'!D41+'Linéarisation mix'!D13)/1000000</f>
        <v>6.9721980460865547</v>
      </c>
      <c r="E94">
        <f>('Données capacités de production'!E89+'Données capacités de production'!E65+'Données capacités de production'!E54+'Données capacités de production'!E41+'Linéarisation mix'!E13)/1000000</f>
        <v>7.7820347066298297</v>
      </c>
      <c r="F94">
        <f>('Données capacités de production'!F89+'Données capacités de production'!F65+'Données capacités de production'!F54+'Données capacités de production'!F41+'Linéarisation mix'!F13)/1000000</f>
        <v>8.5918713671731055</v>
      </c>
      <c r="G94">
        <f>('Données capacités de production'!G89+'Données capacités de production'!G65+'Données capacités de production'!G54+'Données capacités de production'!G41+'Linéarisation mix'!G13)/1000000</f>
        <v>9.4017080277163796</v>
      </c>
      <c r="H94">
        <f>('Données capacités de production'!H89+'Données capacités de production'!H65+'Données capacités de production'!H54+'Données capacités de production'!H41+'Linéarisation mix'!H13)/1000000</f>
        <v>10.21154468825965</v>
      </c>
      <c r="I94">
        <f>('Données capacités de production'!I89+'Données capacités de production'!I65+'Données capacités de production'!I54+'Données capacités de production'!I41+'Linéarisation mix'!I13)/1000000</f>
        <v>11.021381348802922</v>
      </c>
      <c r="J94">
        <f>('Données capacités de production'!J89+'Données capacités de production'!J65+'Données capacités de production'!J54+'Données capacités de production'!J41+'Linéarisation mix'!J13)/1000000</f>
        <v>11.831218009346191</v>
      </c>
      <c r="K94">
        <f>('Données capacités de production'!K89+'Données capacités de production'!K65+'Données capacités de production'!K54+'Données capacités de production'!K41+'Linéarisation mix'!K13)/1000000</f>
        <v>12.641054669889462</v>
      </c>
      <c r="L94">
        <f>('Données capacités de production'!L89+'Données capacités de production'!L65+'Données capacités de production'!L54+'Données capacités de production'!L41+'Linéarisation mix'!L13)/1000000</f>
        <v>13.450891330432729</v>
      </c>
      <c r="M94">
        <f>('Données capacités de production'!M89+'Données capacités de production'!M65+'Données capacités de production'!M54+'Données capacités de production'!M41+'Linéarisation mix'!M13)/1000000</f>
        <v>14.260727990975994</v>
      </c>
      <c r="N94">
        <f>('Données capacités de production'!N89+'Données capacités de production'!N65+'Données capacités de production'!N54+'Données capacités de production'!N41+'Linéarisation mix'!N13)/1000000</f>
        <v>15.070564651519259</v>
      </c>
      <c r="O94">
        <f>('Données capacités de production'!O89+'Données capacités de production'!O65+'Données capacités de production'!O54+'Données capacités de production'!O41+'Linéarisation mix'!O13)/1000000</f>
        <v>15.880401312062522</v>
      </c>
      <c r="P94">
        <f>('Données capacités de production'!P89+'Données capacités de production'!P65+'Données capacités de production'!P54+'Données capacités de production'!P41+'Linéarisation mix'!P13)/1000000</f>
        <v>16.690237972605782</v>
      </c>
      <c r="Q94">
        <f>('Données capacités de production'!Q89+'Données capacités de production'!Q65+'Données capacités de production'!Q54+'Données capacités de production'!Q41+'Linéarisation mix'!Q13)/1000000</f>
        <v>17.500074633149044</v>
      </c>
      <c r="R94">
        <f>('Données capacités de production'!R89+'Données capacités de production'!R65+'Données capacités de production'!R54+'Données capacités de production'!R41+'Linéarisation mix'!R13)/1000000</f>
        <v>18.309911293692302</v>
      </c>
      <c r="S94">
        <f>('Données capacités de production'!S89+'Données capacités de production'!S65+'Données capacités de production'!S54+'Données capacités de production'!S41+'Linéarisation mix'!S13)/1000000</f>
        <v>19.119747954235553</v>
      </c>
      <c r="T94">
        <f>('Données capacités de production'!T89+'Données capacités de production'!T65+'Données capacités de production'!T54+'Données capacités de production'!T41+'Linéarisation mix'!T13)/1000000</f>
        <v>19.929584614778808</v>
      </c>
      <c r="U94">
        <f>('Données capacités de production'!U89+'Données capacités de production'!U65+'Données capacités de production'!U54+'Données capacités de production'!U41+'Linéarisation mix'!U13)/1000000</f>
        <v>20.739421275322059</v>
      </c>
      <c r="V94">
        <f>('Données capacités de production'!V89+'Données capacités de production'!V65+'Données capacités de production'!V54+'Données capacités de production'!V41+'Linéarisation mix'!V13)/1000000</f>
        <v>21.54925793586531</v>
      </c>
      <c r="W94">
        <f>('Données capacités de production'!W89+'Données capacités de production'!W65+'Données capacités de production'!W54+'Données capacités de production'!W41+'Linéarisation mix'!W13)/1000000</f>
        <v>22.359094596408553</v>
      </c>
      <c r="X94">
        <f>('Données capacités de production'!X89+'Données capacités de production'!X65+'Données capacités de production'!X54+'Données capacités de production'!X41+'Linéarisation mix'!X13)/1000000</f>
        <v>23.168931256951801</v>
      </c>
      <c r="Y94">
        <f>('Données capacités de production'!Y89+'Données capacités de production'!Y65+'Données capacités de production'!Y54+'Données capacités de production'!Y41+'Linéarisation mix'!Y13)/1000000</f>
        <v>23.978767917495045</v>
      </c>
      <c r="Z94">
        <f>('Données capacités de production'!Z89+'Données capacités de production'!Z65+'Données capacités de production'!Z54+'Données capacités de production'!Z41+'Linéarisation mix'!Z13)/1000000</f>
        <v>24.788604578038289</v>
      </c>
      <c r="AA94">
        <f>('Données capacités de production'!AA89+'Données capacités de production'!AA65+'Données capacités de production'!AA54+'Données capacités de production'!AA41+'Linéarisation mix'!AA13)/1000000</f>
        <v>25.598441238581525</v>
      </c>
      <c r="AB94">
        <f>('Données capacités de production'!AB89+'Données capacités de production'!AB65+'Données capacités de production'!AB54+'Données capacités de production'!AB41+'Linéarisation mix'!AB13)/1000000</f>
        <v>26.408277899124762</v>
      </c>
      <c r="AC94">
        <f>('Données capacités de production'!AC89+'Données capacités de production'!AC65+'Données capacités de production'!AC54+'Données capacités de production'!AC41+'Linéarisation mix'!AC13)/1000000</f>
        <v>27.218114559667995</v>
      </c>
      <c r="AD94">
        <f>('Données capacités de production'!AD89+'Données capacités de production'!AD65+'Données capacités de production'!AD54+'Données capacités de production'!AD41+'Linéarisation mix'!AD13)/1000000</f>
        <v>28.027951220211225</v>
      </c>
      <c r="AE94">
        <f>('Données capacités de production'!AE89+'Données capacités de production'!AE65+'Données capacités de production'!AE54+'Données capacités de production'!AE41+'Linéarisation mix'!AE13)/1000000</f>
        <v>28.837787880754455</v>
      </c>
      <c r="AF94">
        <f>('Données capacités de production'!AF89+'Données capacités de production'!AF65+'Données capacités de production'!AF54+'Données capacités de production'!AF41+'Linéarisation mix'!AF13)/1000000</f>
        <v>29.647624541297674</v>
      </c>
      <c r="AG94">
        <f>('Données capacités de production'!AG89+'Données capacités de production'!AG65+'Données capacités de production'!AG54+'Données capacités de production'!AG41+'Linéarisation mix'!AG13)/1000000</f>
        <v>30.457461201840896</v>
      </c>
      <c r="AH94">
        <f>('Données capacités de production'!AH89+'Données capacités de production'!AH65+'Données capacités de production'!AH54+'Données capacités de production'!AH41+'Linéarisation mix'!AH13)/1000000</f>
        <v>31.267297862384115</v>
      </c>
      <c r="AI94">
        <f>('Données capacités de production'!AI89+'Données capacités de production'!AI65+'Données capacités de production'!AI54+'Données capacités de production'!AI41+'Linéarisation mix'!AI13)/1000000</f>
        <v>32.077134522927331</v>
      </c>
      <c r="AJ94">
        <f>('Données capacités de production'!AJ89+'Données capacités de production'!AJ65+'Données capacités de production'!AJ54+'Données capacités de production'!AJ41+'Linéarisation mix'!AJ13)/1000000</f>
        <v>32.886971183470543</v>
      </c>
      <c r="AK94">
        <f>('Données capacités de production'!AK89+'Données capacités de production'!AK65+'Données capacités de production'!AK54+'Données capacités de production'!AK41+'Linéarisation mix'!AK13)/1000000</f>
        <v>33.69680784401374</v>
      </c>
      <c r="AL94">
        <f>('Données capacités de production'!AL89+'Données capacités de production'!AL65+'Données capacités de production'!AL54+'Données capacités de production'!AL41+'Linéarisation mix'!AL13)/1000000</f>
        <v>34.506644504556952</v>
      </c>
      <c r="AM94">
        <f>('Données capacités de production'!AM89+'Données capacités de production'!AM65+'Données capacités de production'!AM54+'Données capacités de production'!AM41+'Linéarisation mix'!AM13)/1000000</f>
        <v>35.316481165100157</v>
      </c>
    </row>
    <row r="95" spans="1:39" x14ac:dyDescent="0.25">
      <c r="A95" s="134" t="s">
        <v>238</v>
      </c>
      <c r="B95">
        <f>'Linéarisation mix'!B14+'Linéarisation mix'!B15+'Linéarisation mix'!B16+'Linéarisation mix'!B17</f>
        <v>448.4</v>
      </c>
      <c r="C95">
        <f>'Linéarisation mix'!C14+'Linéarisation mix'!C15+'Linéarisation mix'!C16+'Linéarisation mix'!C17</f>
        <v>438.64362073950218</v>
      </c>
      <c r="D95">
        <f>'Linéarisation mix'!D14+'Linéarisation mix'!D15+'Linéarisation mix'!D16+'Linéarisation mix'!D17</f>
        <v>428.88724147900444</v>
      </c>
      <c r="E95">
        <f>'Linéarisation mix'!E14+'Linéarisation mix'!E15+'Linéarisation mix'!E16+'Linéarisation mix'!E17</f>
        <v>419.13086221850665</v>
      </c>
      <c r="F95">
        <f>'Linéarisation mix'!F14+'Linéarisation mix'!F15+'Linéarisation mix'!F16+'Linéarisation mix'!F17</f>
        <v>409.37448295800885</v>
      </c>
      <c r="G95">
        <f>'Linéarisation mix'!G14+'Linéarisation mix'!G15+'Linéarisation mix'!G16+'Linéarisation mix'!G17</f>
        <v>399.61810369751117</v>
      </c>
      <c r="H95">
        <f>'Linéarisation mix'!H14+'Linéarisation mix'!H15+'Linéarisation mix'!H16+'Linéarisation mix'!H17</f>
        <v>389.86172443701355</v>
      </c>
      <c r="I95">
        <f>'Linéarisation mix'!I14+'Linéarisation mix'!I15+'Linéarisation mix'!I16+'Linéarisation mix'!I17</f>
        <v>380.10534517651581</v>
      </c>
      <c r="J95">
        <f>'Linéarisation mix'!J14+'Linéarisation mix'!J15+'Linéarisation mix'!J16+'Linéarisation mix'!J17</f>
        <v>370.34896591601824</v>
      </c>
      <c r="K95">
        <f>'Linéarisation mix'!K14+'Linéarisation mix'!K15+'Linéarisation mix'!K16+'Linéarisation mix'!K17</f>
        <v>360.59258665552068</v>
      </c>
      <c r="L95">
        <f>'Linéarisation mix'!L14+'Linéarisation mix'!L15+'Linéarisation mix'!L16+'Linéarisation mix'!L17</f>
        <v>350.83620739502322</v>
      </c>
      <c r="M95">
        <f>'Linéarisation mix'!M14+'Linéarisation mix'!M15+'Linéarisation mix'!M16+'Linéarisation mix'!M17</f>
        <v>341.07982813452571</v>
      </c>
      <c r="N95">
        <f>'Linéarisation mix'!N14+'Linéarisation mix'!N15+'Linéarisation mix'!N16+'Linéarisation mix'!N17</f>
        <v>331.32344887402826</v>
      </c>
      <c r="O95">
        <f>'Linéarisation mix'!O14+'Linéarisation mix'!O15+'Linéarisation mix'!O16+'Linéarisation mix'!O17</f>
        <v>321.56706961353086</v>
      </c>
      <c r="P95">
        <f>'Linéarisation mix'!P14+'Linéarisation mix'!P15+'Linéarisation mix'!P16+'Linéarisation mix'!P17</f>
        <v>311.81069035303346</v>
      </c>
      <c r="Q95">
        <f>'Linéarisation mix'!Q14+'Linéarisation mix'!Q15+'Linéarisation mix'!Q16+'Linéarisation mix'!Q17</f>
        <v>302.05431109253618</v>
      </c>
      <c r="R95">
        <f>'Linéarisation mix'!R14+'Linéarisation mix'!R15+'Linéarisation mix'!R16+'Linéarisation mix'!R17</f>
        <v>292.29793183203884</v>
      </c>
      <c r="S95">
        <f>'Linéarisation mix'!S14+'Linéarisation mix'!S15+'Linéarisation mix'!S16+'Linéarisation mix'!S17</f>
        <v>282.54155257154162</v>
      </c>
      <c r="T95">
        <f>'Linéarisation mix'!T14+'Linéarisation mix'!T15+'Linéarisation mix'!T16+'Linéarisation mix'!T17</f>
        <v>272.78517331104439</v>
      </c>
      <c r="U95">
        <f>'Linéarisation mix'!U14+'Linéarisation mix'!U15+'Linéarisation mix'!U16+'Linéarisation mix'!U17</f>
        <v>263.02879405054716</v>
      </c>
      <c r="V95">
        <f>'Linéarisation mix'!V14+'Linéarisation mix'!V15+'Linéarisation mix'!V16+'Linéarisation mix'!V17</f>
        <v>253.27241479004994</v>
      </c>
      <c r="W95">
        <f>'Linéarisation mix'!W14+'Linéarisation mix'!W15+'Linéarisation mix'!W16+'Linéarisation mix'!W17</f>
        <v>243.51603552955274</v>
      </c>
      <c r="X95">
        <f>'Linéarisation mix'!X14+'Linéarisation mix'!X15+'Linéarisation mix'!X16+'Linéarisation mix'!X17</f>
        <v>233.7596562690556</v>
      </c>
      <c r="Y95">
        <f>'Linéarisation mix'!Y14+'Linéarisation mix'!Y15+'Linéarisation mix'!Y16+'Linéarisation mix'!Y17</f>
        <v>224.00327700855843</v>
      </c>
      <c r="Z95">
        <f>'Linéarisation mix'!Z14+'Linéarisation mix'!Z15+'Linéarisation mix'!Z16+'Linéarisation mix'!Z17</f>
        <v>214.24689774806131</v>
      </c>
      <c r="AA95">
        <f>'Linéarisation mix'!AA14+'Linéarisation mix'!AA15+'Linéarisation mix'!AA16+'Linéarisation mix'!AA17</f>
        <v>204.49051848756423</v>
      </c>
      <c r="AB95">
        <f>'Linéarisation mix'!AB14+'Linéarisation mix'!AB15+'Linéarisation mix'!AB16+'Linéarisation mix'!AB17</f>
        <v>194.73413922706712</v>
      </c>
      <c r="AC95">
        <f>'Linéarisation mix'!AC14+'Linéarisation mix'!AC15+'Linéarisation mix'!AC16+'Linéarisation mix'!AC17</f>
        <v>184.97775996657009</v>
      </c>
      <c r="AD95">
        <f>'Linéarisation mix'!AD14+'Linéarisation mix'!AD15+'Linéarisation mix'!AD16+'Linéarisation mix'!AD17</f>
        <v>175.22138070607309</v>
      </c>
      <c r="AE95">
        <f>'Linéarisation mix'!AE14+'Linéarisation mix'!AE15+'Linéarisation mix'!AE16+'Linéarisation mix'!AE17</f>
        <v>165.46500144557606</v>
      </c>
      <c r="AF95">
        <f>'Linéarisation mix'!AF14+'Linéarisation mix'!AF15+'Linéarisation mix'!AF16+'Linéarisation mix'!AF17</f>
        <v>155.70862218507907</v>
      </c>
      <c r="AG95">
        <f>'Linéarisation mix'!AG14+'Linéarisation mix'!AG15+'Linéarisation mix'!AG16+'Linéarisation mix'!AG17</f>
        <v>145.95224292458209</v>
      </c>
      <c r="AH95">
        <f>'Linéarisation mix'!AH14+'Linéarisation mix'!AH15+'Linéarisation mix'!AH16+'Linéarisation mix'!AH17</f>
        <v>136.19586366408512</v>
      </c>
      <c r="AI95">
        <f>'Linéarisation mix'!AI14+'Linéarisation mix'!AI15+'Linéarisation mix'!AI16+'Linéarisation mix'!AI17</f>
        <v>126.43948440358818</v>
      </c>
      <c r="AJ95">
        <f>'Linéarisation mix'!AJ14+'Linéarisation mix'!AJ15+'Linéarisation mix'!AJ16+'Linéarisation mix'!AJ17</f>
        <v>116.68310514309125</v>
      </c>
      <c r="AK95">
        <f>'Linéarisation mix'!AK14+'Linéarisation mix'!AK15+'Linéarisation mix'!AK16+'Linéarisation mix'!AK17</f>
        <v>106.92672588259433</v>
      </c>
      <c r="AL95">
        <f>'Linéarisation mix'!AL14+'Linéarisation mix'!AL15+'Linéarisation mix'!AL16+'Linéarisation mix'!AL17</f>
        <v>97.170346622097412</v>
      </c>
      <c r="AM95">
        <f>'Linéarisation mix'!AM14+'Linéarisation mix'!AM15+'Linéarisation mix'!AM16+'Linéarisation mix'!AM17</f>
        <v>87.413967361600498</v>
      </c>
    </row>
    <row r="96" spans="1:39" x14ac:dyDescent="0.25">
      <c r="A96" t="s">
        <v>239</v>
      </c>
      <c r="B96">
        <f>SUM(B90:B95)</f>
        <v>543.19220472500001</v>
      </c>
      <c r="C96">
        <f t="shared" ref="C96:AK96" si="29">SUM(C90:C95)</f>
        <v>539.91534428308091</v>
      </c>
      <c r="D96">
        <f t="shared" si="29"/>
        <v>536.63848384116193</v>
      </c>
      <c r="E96">
        <f t="shared" si="29"/>
        <v>533.36162339924283</v>
      </c>
      <c r="F96">
        <f t="shared" si="29"/>
        <v>530.08476295732385</v>
      </c>
      <c r="G96">
        <f t="shared" si="29"/>
        <v>527.48906049931475</v>
      </c>
      <c r="H96">
        <f t="shared" si="29"/>
        <v>524.89335804130565</v>
      </c>
      <c r="I96">
        <f t="shared" si="29"/>
        <v>522.29765558329655</v>
      </c>
      <c r="J96">
        <f t="shared" si="29"/>
        <v>519.70195312528756</v>
      </c>
      <c r="K96">
        <f t="shared" si="29"/>
        <v>517.10625066727857</v>
      </c>
      <c r="L96">
        <f t="shared" si="29"/>
        <v>514.5105482092697</v>
      </c>
      <c r="M96">
        <f t="shared" si="29"/>
        <v>511.64238255769669</v>
      </c>
      <c r="N96">
        <f t="shared" si="29"/>
        <v>508.77421690612374</v>
      </c>
      <c r="O96">
        <f t="shared" si="29"/>
        <v>505.9060512545509</v>
      </c>
      <c r="P96">
        <f t="shared" si="29"/>
        <v>503.03788560297801</v>
      </c>
      <c r="Q96">
        <f t="shared" si="29"/>
        <v>500.16971995140517</v>
      </c>
      <c r="R96">
        <f t="shared" si="29"/>
        <v>497.30155429983222</v>
      </c>
      <c r="S96">
        <f t="shared" si="29"/>
        <v>494.43338864825944</v>
      </c>
      <c r="T96">
        <f t="shared" si="29"/>
        <v>491.56522299668666</v>
      </c>
      <c r="U96">
        <f t="shared" si="29"/>
        <v>488.69705734511376</v>
      </c>
      <c r="V96">
        <f t="shared" si="29"/>
        <v>485.82889169354087</v>
      </c>
      <c r="W96">
        <f t="shared" si="29"/>
        <v>482.96072604196809</v>
      </c>
      <c r="X96">
        <f t="shared" si="29"/>
        <v>480.09256039039519</v>
      </c>
      <c r="Y96">
        <f t="shared" si="29"/>
        <v>477.2243947388223</v>
      </c>
      <c r="Z96">
        <f t="shared" si="29"/>
        <v>474.35622908724946</v>
      </c>
      <c r="AA96">
        <f t="shared" si="29"/>
        <v>471.48806343567651</v>
      </c>
      <c r="AB96">
        <f t="shared" si="29"/>
        <v>468.61989778410373</v>
      </c>
      <c r="AC96">
        <f t="shared" si="29"/>
        <v>465.75173213253083</v>
      </c>
      <c r="AD96">
        <f t="shared" si="29"/>
        <v>462.88356648095794</v>
      </c>
      <c r="AE96">
        <f t="shared" si="29"/>
        <v>460.01540082938504</v>
      </c>
      <c r="AF96">
        <f t="shared" si="29"/>
        <v>457.14723517781204</v>
      </c>
      <c r="AG96">
        <f t="shared" si="29"/>
        <v>454.27906952623914</v>
      </c>
      <c r="AH96">
        <f t="shared" si="29"/>
        <v>451.41090387466625</v>
      </c>
      <c r="AI96">
        <f t="shared" si="29"/>
        <v>448.54273822309324</v>
      </c>
      <c r="AJ96">
        <f t="shared" si="29"/>
        <v>445.67457257152029</v>
      </c>
      <c r="AK96">
        <f t="shared" si="29"/>
        <v>442.80640691994722</v>
      </c>
      <c r="AL96">
        <f>SUM(AL90:AL95)</f>
        <v>439.93824126837421</v>
      </c>
      <c r="AM96">
        <f t="shared" ref="AM96" si="30">SUM(AM90:AM95)</f>
        <v>437.07007561680109</v>
      </c>
    </row>
    <row r="99" spans="1:39" x14ac:dyDescent="0.25">
      <c r="A99" t="s">
        <v>240</v>
      </c>
      <c r="B99">
        <f>B89</f>
        <v>2013</v>
      </c>
      <c r="C99">
        <f t="shared" ref="C99:AM99" si="31">C89</f>
        <v>2014</v>
      </c>
      <c r="D99">
        <f t="shared" si="31"/>
        <v>2015</v>
      </c>
      <c r="E99">
        <f t="shared" si="31"/>
        <v>2016</v>
      </c>
      <c r="F99">
        <f t="shared" si="31"/>
        <v>2017</v>
      </c>
      <c r="G99">
        <f t="shared" si="31"/>
        <v>2018</v>
      </c>
      <c r="H99">
        <f t="shared" si="31"/>
        <v>2019</v>
      </c>
      <c r="I99">
        <f t="shared" si="31"/>
        <v>2020</v>
      </c>
      <c r="J99">
        <f t="shared" si="31"/>
        <v>2021</v>
      </c>
      <c r="K99">
        <f t="shared" si="31"/>
        <v>2022</v>
      </c>
      <c r="L99">
        <f t="shared" si="31"/>
        <v>2023</v>
      </c>
      <c r="M99">
        <f t="shared" si="31"/>
        <v>2024</v>
      </c>
      <c r="N99">
        <f t="shared" si="31"/>
        <v>2025</v>
      </c>
      <c r="O99">
        <f t="shared" si="31"/>
        <v>2026</v>
      </c>
      <c r="P99">
        <f t="shared" si="31"/>
        <v>2027</v>
      </c>
      <c r="Q99">
        <f t="shared" si="31"/>
        <v>2028</v>
      </c>
      <c r="R99">
        <f t="shared" si="31"/>
        <v>2029</v>
      </c>
      <c r="S99">
        <f t="shared" si="31"/>
        <v>2030</v>
      </c>
      <c r="T99">
        <f t="shared" si="31"/>
        <v>2031</v>
      </c>
      <c r="U99">
        <f t="shared" si="31"/>
        <v>2032</v>
      </c>
      <c r="V99">
        <f t="shared" si="31"/>
        <v>2033</v>
      </c>
      <c r="W99">
        <f t="shared" si="31"/>
        <v>2034</v>
      </c>
      <c r="X99">
        <f t="shared" si="31"/>
        <v>2035</v>
      </c>
      <c r="Y99">
        <f t="shared" si="31"/>
        <v>2036</v>
      </c>
      <c r="Z99">
        <f t="shared" si="31"/>
        <v>2037</v>
      </c>
      <c r="AA99">
        <f t="shared" si="31"/>
        <v>2038</v>
      </c>
      <c r="AB99">
        <f t="shared" si="31"/>
        <v>2039</v>
      </c>
      <c r="AC99">
        <f t="shared" si="31"/>
        <v>2040</v>
      </c>
      <c r="AD99">
        <f t="shared" si="31"/>
        <v>2041</v>
      </c>
      <c r="AE99">
        <f t="shared" si="31"/>
        <v>2042</v>
      </c>
      <c r="AF99">
        <f t="shared" si="31"/>
        <v>2043</v>
      </c>
      <c r="AG99">
        <f t="shared" si="31"/>
        <v>2044</v>
      </c>
      <c r="AH99">
        <f t="shared" si="31"/>
        <v>2045</v>
      </c>
      <c r="AI99">
        <f t="shared" si="31"/>
        <v>2046</v>
      </c>
      <c r="AJ99">
        <f t="shared" si="31"/>
        <v>2047</v>
      </c>
      <c r="AK99">
        <f t="shared" si="31"/>
        <v>2048</v>
      </c>
      <c r="AL99">
        <f t="shared" si="31"/>
        <v>2049</v>
      </c>
      <c r="AM99">
        <f t="shared" si="31"/>
        <v>2050</v>
      </c>
    </row>
    <row r="100" spans="1:39" x14ac:dyDescent="0.25">
      <c r="A100" t="s">
        <v>208</v>
      </c>
      <c r="B100" s="69">
        <f t="shared" ref="B100:AM105" si="32">B90/B$96</f>
        <v>0</v>
      </c>
      <c r="C100" s="69">
        <f t="shared" si="32"/>
        <v>0</v>
      </c>
      <c r="D100" s="69">
        <f t="shared" si="32"/>
        <v>0</v>
      </c>
      <c r="E100" s="69">
        <f t="shared" si="32"/>
        <v>0</v>
      </c>
      <c r="F100" s="69">
        <f t="shared" si="32"/>
        <v>0</v>
      </c>
      <c r="G100" s="69">
        <f t="shared" si="32"/>
        <v>0</v>
      </c>
      <c r="H100" s="69">
        <f t="shared" si="32"/>
        <v>0</v>
      </c>
      <c r="I100" s="69">
        <f t="shared" si="32"/>
        <v>0</v>
      </c>
      <c r="J100" s="69">
        <f t="shared" si="32"/>
        <v>0</v>
      </c>
      <c r="K100" s="69">
        <f t="shared" si="32"/>
        <v>0</v>
      </c>
      <c r="L100" s="69">
        <f t="shared" si="32"/>
        <v>0</v>
      </c>
      <c r="M100" s="69">
        <f t="shared" si="32"/>
        <v>0</v>
      </c>
      <c r="N100" s="69">
        <f t="shared" si="32"/>
        <v>0</v>
      </c>
      <c r="O100" s="69">
        <f t="shared" si="32"/>
        <v>0</v>
      </c>
      <c r="P100" s="69">
        <f t="shared" si="32"/>
        <v>0</v>
      </c>
      <c r="Q100" s="69">
        <f t="shared" si="32"/>
        <v>0</v>
      </c>
      <c r="R100" s="69">
        <f t="shared" si="32"/>
        <v>0</v>
      </c>
      <c r="S100" s="69">
        <f t="shared" si="32"/>
        <v>0</v>
      </c>
      <c r="T100" s="69">
        <f t="shared" si="32"/>
        <v>0</v>
      </c>
      <c r="U100" s="69">
        <f t="shared" si="32"/>
        <v>0</v>
      </c>
      <c r="V100" s="69">
        <f t="shared" si="32"/>
        <v>0</v>
      </c>
      <c r="W100" s="69">
        <f t="shared" si="32"/>
        <v>0</v>
      </c>
      <c r="X100" s="69">
        <f t="shared" si="32"/>
        <v>0</v>
      </c>
      <c r="Y100" s="69">
        <f t="shared" si="32"/>
        <v>0</v>
      </c>
      <c r="Z100" s="69">
        <f t="shared" si="32"/>
        <v>0</v>
      </c>
      <c r="AA100" s="69">
        <f t="shared" si="32"/>
        <v>0</v>
      </c>
      <c r="AB100" s="69">
        <f t="shared" si="32"/>
        <v>0</v>
      </c>
      <c r="AC100" s="69">
        <f t="shared" si="32"/>
        <v>0</v>
      </c>
      <c r="AD100" s="69">
        <f t="shared" si="32"/>
        <v>0</v>
      </c>
      <c r="AE100" s="69">
        <f t="shared" si="32"/>
        <v>0</v>
      </c>
      <c r="AF100" s="69">
        <f t="shared" si="32"/>
        <v>0</v>
      </c>
      <c r="AG100" s="69">
        <f t="shared" si="32"/>
        <v>0</v>
      </c>
      <c r="AH100" s="69">
        <f t="shared" si="32"/>
        <v>0</v>
      </c>
      <c r="AI100" s="69">
        <f t="shared" si="32"/>
        <v>0</v>
      </c>
      <c r="AJ100" s="69">
        <f t="shared" si="32"/>
        <v>0</v>
      </c>
      <c r="AK100" s="69">
        <f t="shared" si="32"/>
        <v>0</v>
      </c>
      <c r="AL100" s="69">
        <f t="shared" si="32"/>
        <v>0</v>
      </c>
      <c r="AM100" s="69">
        <f>AM90/AM$96</f>
        <v>0</v>
      </c>
    </row>
    <row r="101" spans="1:39" x14ac:dyDescent="0.25">
      <c r="A101" t="s">
        <v>209</v>
      </c>
      <c r="B101" s="69">
        <f>B91/B$96</f>
        <v>2.9271406809031137E-2</v>
      </c>
      <c r="C101" s="69">
        <f t="shared" si="32"/>
        <v>3.7845313844769739E-2</v>
      </c>
      <c r="D101" s="69">
        <f t="shared" si="32"/>
        <v>4.6523930094044416E-2</v>
      </c>
      <c r="E101" s="69">
        <f t="shared" si="32"/>
        <v>5.530918549030759E-2</v>
      </c>
      <c r="F101" s="69">
        <f t="shared" si="32"/>
        <v>6.4203057688606568E-2</v>
      </c>
      <c r="G101" s="69">
        <f t="shared" si="32"/>
        <v>7.4404360569599731E-2</v>
      </c>
      <c r="H101" s="69">
        <f t="shared" si="32"/>
        <v>8.4706558409759089E-2</v>
      </c>
      <c r="I101" s="69">
        <f t="shared" si="32"/>
        <v>9.5111155485184895E-2</v>
      </c>
      <c r="J101" s="69">
        <f t="shared" si="32"/>
        <v>0.10561968612499642</v>
      </c>
      <c r="K101" s="69">
        <f t="shared" si="32"/>
        <v>0.1162337154656131</v>
      </c>
      <c r="L101" s="69">
        <f t="shared" si="32"/>
        <v>0.12695484022786774</v>
      </c>
      <c r="M101" s="69">
        <f t="shared" si="32"/>
        <v>0.13732553690444768</v>
      </c>
      <c r="N101" s="69">
        <f t="shared" si="32"/>
        <v>0.14781316118860766</v>
      </c>
      <c r="O101" s="69">
        <f t="shared" si="32"/>
        <v>0.15841970179592235</v>
      </c>
      <c r="P101" s="69">
        <f t="shared" si="32"/>
        <v>0.16914719279811802</v>
      </c>
      <c r="Q101" s="69">
        <f t="shared" si="32"/>
        <v>0.17999771492352135</v>
      </c>
      <c r="R101" s="69">
        <f t="shared" si="32"/>
        <v>0.19097339690250906</v>
      </c>
      <c r="S101" s="69">
        <f t="shared" si="32"/>
        <v>0.20207641685978647</v>
      </c>
      <c r="T101" s="69">
        <f t="shared" si="32"/>
        <v>0.21330900375540848</v>
      </c>
      <c r="U101" s="69">
        <f t="shared" si="32"/>
        <v>0.22467343887654415</v>
      </c>
      <c r="V101" s="69">
        <f t="shared" si="32"/>
        <v>0.23617205738208225</v>
      </c>
      <c r="W101" s="69">
        <f t="shared" si="32"/>
        <v>0.24780724990227523</v>
      </c>
      <c r="X101" s="69">
        <f t="shared" si="32"/>
        <v>0.2595814641957227</v>
      </c>
      <c r="Y101" s="69">
        <f t="shared" si="32"/>
        <v>0.27149720686610568</v>
      </c>
      <c r="Z101" s="69">
        <f t="shared" si="32"/>
        <v>0.28355704514120295</v>
      </c>
      <c r="AA101" s="69">
        <f t="shared" si="32"/>
        <v>0.2957636087168396</v>
      </c>
      <c r="AB101" s="69">
        <f t="shared" si="32"/>
        <v>0.30811959166855019</v>
      </c>
      <c r="AC101" s="69">
        <f t="shared" si="32"/>
        <v>0.32062775443387631</v>
      </c>
      <c r="AD101" s="69">
        <f t="shared" si="32"/>
        <v>0.3332909258683609</v>
      </c>
      <c r="AE101" s="69">
        <f t="shared" si="32"/>
        <v>0.34611200537845727</v>
      </c>
      <c r="AF101" s="69">
        <f t="shared" si="32"/>
        <v>0.35909396513472919</v>
      </c>
      <c r="AG101" s="69">
        <f t="shared" si="32"/>
        <v>0.3722398523688919</v>
      </c>
      <c r="AH101" s="69">
        <f t="shared" si="32"/>
        <v>0.38555279175842283</v>
      </c>
      <c r="AI101" s="69">
        <f t="shared" si="32"/>
        <v>0.39903598790266021</v>
      </c>
      <c r="AJ101" s="69">
        <f t="shared" si="32"/>
        <v>0.41269272789451356</v>
      </c>
      <c r="AK101" s="69">
        <f t="shared" si="32"/>
        <v>0.42652638399211862</v>
      </c>
      <c r="AL101" s="69">
        <f t="shared" si="32"/>
        <v>0.44054041639499969</v>
      </c>
      <c r="AM101" s="69">
        <f t="shared" si="32"/>
        <v>0.45473837612953932</v>
      </c>
    </row>
    <row r="102" spans="1:39" x14ac:dyDescent="0.25">
      <c r="A102" t="s">
        <v>210</v>
      </c>
      <c r="B102" s="69">
        <f>B92/B$96</f>
        <v>8.4684573158203286E-3</v>
      </c>
      <c r="C102" s="69">
        <f t="shared" si="32"/>
        <v>1.098465982624882E-2</v>
      </c>
      <c r="D102" s="69">
        <f t="shared" si="32"/>
        <v>1.3531591569554025E-2</v>
      </c>
      <c r="E102" s="69">
        <f t="shared" si="32"/>
        <v>1.6109818927360752E-2</v>
      </c>
      <c r="F102" s="69">
        <f t="shared" si="32"/>
        <v>1.8719922286250534E-2</v>
      </c>
      <c r="G102" s="69">
        <f t="shared" si="32"/>
        <v>2.1334910621569021E-2</v>
      </c>
      <c r="H102" s="69">
        <f t="shared" si="32"/>
        <v>2.397576223576374E-2</v>
      </c>
      <c r="I102" s="69">
        <f t="shared" si="32"/>
        <v>2.6642862732958114E-2</v>
      </c>
      <c r="J102" s="69">
        <f t="shared" si="32"/>
        <v>2.9336605421026285E-2</v>
      </c>
      <c r="K102" s="69">
        <f t="shared" si="32"/>
        <v>3.2057391504944487E-2</v>
      </c>
      <c r="L102" s="69">
        <f t="shared" si="32"/>
        <v>3.4805630285995218E-2</v>
      </c>
      <c r="M102" s="69">
        <f t="shared" si="32"/>
        <v>3.7601752644032982E-2</v>
      </c>
      <c r="N102" s="69">
        <f t="shared" si="32"/>
        <v>4.0429400743110397E-2</v>
      </c>
      <c r="O102" s="69">
        <f t="shared" si="32"/>
        <v>4.3289110775949602E-2</v>
      </c>
      <c r="P102" s="69">
        <f t="shared" si="32"/>
        <v>4.6181431164089647E-2</v>
      </c>
      <c r="Q102" s="69">
        <f t="shared" si="32"/>
        <v>4.9106922908510153E-2</v>
      </c>
      <c r="R102" s="69">
        <f t="shared" si="32"/>
        <v>5.2066159952388343E-2</v>
      </c>
      <c r="S102" s="69">
        <f t="shared" si="32"/>
        <v>5.5059729556481821E-2</v>
      </c>
      <c r="T102" s="69">
        <f t="shared" si="32"/>
        <v>5.8088232687653188E-2</v>
      </c>
      <c r="U102" s="69">
        <f t="shared" si="32"/>
        <v>6.1152284421076016E-2</v>
      </c>
      <c r="V102" s="69">
        <f t="shared" si="32"/>
        <v>6.4252514356687718E-2</v>
      </c>
      <c r="W102" s="69">
        <f t="shared" si="32"/>
        <v>6.7389567050481727E-2</v>
      </c>
      <c r="X102" s="69">
        <f t="shared" si="32"/>
        <v>7.0564102461259298E-2</v>
      </c>
      <c r="Y102" s="69">
        <f t="shared" si="32"/>
        <v>7.3776796413491469E-2</v>
      </c>
      <c r="Z102" s="69">
        <f t="shared" si="32"/>
        <v>7.7028341076972998E-2</v>
      </c>
      <c r="AA102" s="69">
        <f t="shared" si="32"/>
        <v>8.0319445463983466E-2</v>
      </c>
      <c r="AB102" s="69">
        <f t="shared" si="32"/>
        <v>8.3650835944705237E-2</v>
      </c>
      <c r="AC102" s="69">
        <f t="shared" si="32"/>
        <v>8.7023256781685848E-2</v>
      </c>
      <c r="AD102" s="69">
        <f t="shared" si="32"/>
        <v>9.0437470684170199E-2</v>
      </c>
      <c r="AE102" s="69">
        <f t="shared" si="32"/>
        <v>9.3894259383170392E-2</v>
      </c>
      <c r="AF102" s="69">
        <f t="shared" si="32"/>
        <v>9.739442422818341E-2</v>
      </c>
      <c r="AG102" s="69">
        <f t="shared" si="32"/>
        <v>0.10093878680651387</v>
      </c>
      <c r="AH102" s="69">
        <f t="shared" si="32"/>
        <v>0.10452818958620684</v>
      </c>
      <c r="AI102" s="69">
        <f t="shared" si="32"/>
        <v>0.10816349658364803</v>
      </c>
      <c r="AJ102" s="69">
        <f t="shared" si="32"/>
        <v>0.11184559405694165</v>
      </c>
      <c r="AK102" s="69">
        <f t="shared" si="32"/>
        <v>0.1155753912262361</v>
      </c>
      <c r="AL102" s="69">
        <f t="shared" si="32"/>
        <v>0.11935382102222586</v>
      </c>
      <c r="AM102" s="69">
        <f t="shared" si="32"/>
        <v>0.12318184086412506</v>
      </c>
    </row>
    <row r="103" spans="1:39" x14ac:dyDescent="0.25">
      <c r="A103" t="s">
        <v>211</v>
      </c>
      <c r="B103" s="69">
        <f>B93/B$96</f>
        <v>0.12691581248832881</v>
      </c>
      <c r="C103" s="69">
        <f t="shared" si="32"/>
        <v>0.12732609072890161</v>
      </c>
      <c r="D103" s="69">
        <f t="shared" si="32"/>
        <v>0.12774137951037748</v>
      </c>
      <c r="E103" s="69">
        <f t="shared" si="32"/>
        <v>0.12816177118385108</v>
      </c>
      <c r="F103" s="69">
        <f t="shared" si="32"/>
        <v>0.12858736038398899</v>
      </c>
      <c r="G103" s="69">
        <f t="shared" si="32"/>
        <v>0.12885164006288766</v>
      </c>
      <c r="H103" s="69">
        <f t="shared" si="32"/>
        <v>0.12911853357334499</v>
      </c>
      <c r="I103" s="69">
        <f t="shared" si="32"/>
        <v>0.12938807988583473</v>
      </c>
      <c r="J103" s="69">
        <f t="shared" si="32"/>
        <v>0.12966031874939785</v>
      </c>
      <c r="K103" s="69">
        <f t="shared" si="32"/>
        <v>0.12993529071118365</v>
      </c>
      <c r="L103" s="69">
        <f t="shared" si="32"/>
        <v>0.13021303713658172</v>
      </c>
      <c r="M103" s="69">
        <f t="shared" si="32"/>
        <v>0.13056309154708701</v>
      </c>
      <c r="N103" s="69">
        <f t="shared" si="32"/>
        <v>0.13091709275364849</v>
      </c>
      <c r="O103" s="69">
        <f t="shared" si="32"/>
        <v>0.13127510788373881</v>
      </c>
      <c r="P103" s="69">
        <f t="shared" si="32"/>
        <v>0.1316372055957907</v>
      </c>
      <c r="Q103" s="69">
        <f t="shared" si="32"/>
        <v>0.13200345612309222</v>
      </c>
      <c r="R103" s="69">
        <f t="shared" si="32"/>
        <v>0.13237393131920158</v>
      </c>
      <c r="S103" s="69">
        <f t="shared" si="32"/>
        <v>0.13274870470494229</v>
      </c>
      <c r="T103" s="69">
        <f t="shared" si="32"/>
        <v>0.13312785151704357</v>
      </c>
      <c r="U103" s="69">
        <f t="shared" si="32"/>
        <v>0.1335114487584938</v>
      </c>
      <c r="V103" s="69">
        <f t="shared" si="32"/>
        <v>0.13389957525067725</v>
      </c>
      <c r="W103" s="69">
        <f t="shared" si="32"/>
        <v>0.13429231168736883</v>
      </c>
      <c r="X103" s="69">
        <f t="shared" si="32"/>
        <v>0.13468974069066433</v>
      </c>
      <c r="Y103" s="69">
        <f t="shared" si="32"/>
        <v>0.13509194686892723</v>
      </c>
      <c r="Z103" s="69">
        <f t="shared" si="32"/>
        <v>0.13549901687683799</v>
      </c>
      <c r="AA103" s="69">
        <f t="shared" si="32"/>
        <v>0.13591103947763505</v>
      </c>
      <c r="AB103" s="69">
        <f t="shared" si="32"/>
        <v>0.13632810560764144</v>
      </c>
      <c r="AC103" s="69">
        <f t="shared" si="32"/>
        <v>0.13675030844317565</v>
      </c>
      <c r="AD103" s="69">
        <f t="shared" si="32"/>
        <v>0.13717774346994999</v>
      </c>
      <c r="AE103" s="69">
        <f t="shared" si="32"/>
        <v>0.13761050855506526</v>
      </c>
      <c r="AF103" s="69">
        <f t="shared" si="32"/>
        <v>0.13804870402171548</v>
      </c>
      <c r="AG103" s="69">
        <f t="shared" si="32"/>
        <v>0.13849243272672257</v>
      </c>
      <c r="AH103" s="69">
        <f t="shared" si="32"/>
        <v>0.13894180014102706</v>
      </c>
      <c r="AI103" s="69">
        <f t="shared" si="32"/>
        <v>0.13939691443326679</v>
      </c>
      <c r="AJ103" s="69">
        <f t="shared" si="32"/>
        <v>0.13985788655658268</v>
      </c>
      <c r="AK103" s="69">
        <f t="shared" si="32"/>
        <v>0.14032483033879858</v>
      </c>
      <c r="AL103" s="69">
        <f t="shared" si="32"/>
        <v>0.14079786257612814</v>
      </c>
      <c r="AM103" s="69">
        <f t="shared" si="32"/>
        <v>0.14127710313057151</v>
      </c>
    </row>
    <row r="104" spans="1:39" x14ac:dyDescent="0.25">
      <c r="A104" t="s">
        <v>212</v>
      </c>
      <c r="B104" s="69">
        <f>B94/B$96</f>
        <v>9.8538319925077049E-3</v>
      </c>
      <c r="C104" s="69">
        <f t="shared" si="32"/>
        <v>1.1413569647156228E-2</v>
      </c>
      <c r="D104" s="69">
        <f t="shared" si="32"/>
        <v>1.2992355665923943E-2</v>
      </c>
      <c r="E104" s="69">
        <f t="shared" si="32"/>
        <v>1.4590541136111438E-2</v>
      </c>
      <c r="F104" s="69">
        <f t="shared" si="32"/>
        <v>1.6208485826378717E-2</v>
      </c>
      <c r="G104" s="69">
        <f t="shared" si="32"/>
        <v>1.7823512811463497E-2</v>
      </c>
      <c r="H104" s="69">
        <f t="shared" si="32"/>
        <v>1.9454513058357405E-2</v>
      </c>
      <c r="I104" s="69">
        <f t="shared" si="32"/>
        <v>2.1101724717669582E-2</v>
      </c>
      <c r="J104" s="69">
        <f t="shared" si="32"/>
        <v>2.2765390697875577E-2</v>
      </c>
      <c r="K104" s="69">
        <f t="shared" si="32"/>
        <v>2.4445758784732017E-2</v>
      </c>
      <c r="L104" s="69">
        <f t="shared" si="32"/>
        <v>2.614308176430578E-2</v>
      </c>
      <c r="M104" s="69">
        <f t="shared" si="32"/>
        <v>2.787245247292985E-2</v>
      </c>
      <c r="N104" s="69">
        <f t="shared" si="32"/>
        <v>2.9621321503208165E-2</v>
      </c>
      <c r="O104" s="69">
        <f t="shared" si="32"/>
        <v>3.1390020484400503E-2</v>
      </c>
      <c r="P104" s="69">
        <f t="shared" si="32"/>
        <v>3.3178888609154439E-2</v>
      </c>
      <c r="Q104" s="69">
        <f t="shared" si="32"/>
        <v>3.4988272850362261E-2</v>
      </c>
      <c r="R104" s="69">
        <f t="shared" si="32"/>
        <v>3.6818528185522059E-2</v>
      </c>
      <c r="S104" s="69">
        <f t="shared" si="32"/>
        <v>3.8670017828907922E-2</v>
      </c>
      <c r="T104" s="69">
        <f t="shared" si="32"/>
        <v>4.0543113471868085E-2</v>
      </c>
      <c r="U104" s="69">
        <f t="shared" si="32"/>
        <v>4.2438195531584823E-2</v>
      </c>
      <c r="V104" s="69">
        <f t="shared" si="32"/>
        <v>4.4355653408645987E-2</v>
      </c>
      <c r="W104" s="69">
        <f t="shared" si="32"/>
        <v>4.6295885753794404E-2</v>
      </c>
      <c r="X104" s="69">
        <f t="shared" si="32"/>
        <v>4.8259300744238988E-2</v>
      </c>
      <c r="Y104" s="69">
        <f t="shared" si="32"/>
        <v>5.0246316369929628E-2</v>
      </c>
      <c r="Z104" s="69">
        <f t="shared" si="32"/>
        <v>5.2257360730217924E-2</v>
      </c>
      <c r="AA104" s="69">
        <f t="shared" si="32"/>
        <v>5.4292872341345777E-2</v>
      </c>
      <c r="AB104" s="69">
        <f t="shared" si="32"/>
        <v>5.635330045522572E-2</v>
      </c>
      <c r="AC104" s="69">
        <f t="shared" si="32"/>
        <v>5.8439105389999947E-2</v>
      </c>
      <c r="AD104" s="69">
        <f t="shared" si="32"/>
        <v>6.0550758872888688E-2</v>
      </c>
      <c r="AE104" s="69">
        <f t="shared" si="32"/>
        <v>6.2688744395864457E-2</v>
      </c>
      <c r="AF104" s="69">
        <f t="shared" si="32"/>
        <v>6.4853557584715421E-2</v>
      </c>
      <c r="AG104" s="69">
        <f t="shared" si="32"/>
        <v>6.7045706582089568E-2</v>
      </c>
      <c r="AH104" s="69">
        <f t="shared" si="32"/>
        <v>6.9265712445141667E-2</v>
      </c>
      <c r="AI104" s="69">
        <f t="shared" si="32"/>
        <v>7.1514109558436359E-2</v>
      </c>
      <c r="AJ104" s="69">
        <f t="shared" si="32"/>
        <v>7.3791446062794974E-2</v>
      </c>
      <c r="AK104" s="69">
        <f t="shared" si="32"/>
        <v>7.6098284300808727E-2</v>
      </c>
      <c r="AL104" s="69">
        <f t="shared" si="32"/>
        <v>7.8435201279779099E-2</v>
      </c>
      <c r="AM104" s="69">
        <f t="shared" si="32"/>
        <v>8.0802789152885635E-2</v>
      </c>
    </row>
    <row r="105" spans="1:39" x14ac:dyDescent="0.25">
      <c r="A105" s="134" t="s">
        <v>238</v>
      </c>
      <c r="B105" s="69">
        <f>B95/B$96</f>
        <v>0.82549049139431196</v>
      </c>
      <c r="C105" s="69">
        <f t="shared" si="32"/>
        <v>0.81243036595292362</v>
      </c>
      <c r="D105" s="69">
        <f t="shared" si="32"/>
        <v>0.79921074316010021</v>
      </c>
      <c r="E105" s="69">
        <f t="shared" si="32"/>
        <v>0.78582868326236921</v>
      </c>
      <c r="F105" s="69">
        <f t="shared" si="32"/>
        <v>0.77228117381477501</v>
      </c>
      <c r="G105" s="69">
        <f t="shared" si="32"/>
        <v>0.75758557593448006</v>
      </c>
      <c r="H105" s="69">
        <f t="shared" si="32"/>
        <v>0.74274463272277491</v>
      </c>
      <c r="I105" s="69">
        <f t="shared" si="32"/>
        <v>0.72775617717835273</v>
      </c>
      <c r="J105" s="69">
        <f t="shared" si="32"/>
        <v>0.71261799900670386</v>
      </c>
      <c r="K105" s="69">
        <f t="shared" si="32"/>
        <v>0.69732784353352673</v>
      </c>
      <c r="L105" s="69">
        <f t="shared" si="32"/>
        <v>0.68188341058524948</v>
      </c>
      <c r="M105" s="69">
        <f t="shared" si="32"/>
        <v>0.6666371664315025</v>
      </c>
      <c r="N105" s="69">
        <f t="shared" si="32"/>
        <v>0.65121902381142527</v>
      </c>
      <c r="O105" s="69">
        <f t="shared" si="32"/>
        <v>0.6356260590599887</v>
      </c>
      <c r="P105" s="69">
        <f t="shared" si="32"/>
        <v>0.61985528183284722</v>
      </c>
      <c r="Q105" s="69">
        <f t="shared" si="32"/>
        <v>0.60390363319451401</v>
      </c>
      <c r="R105" s="69">
        <f t="shared" si="32"/>
        <v>0.58776798364037897</v>
      </c>
      <c r="S105" s="69">
        <f t="shared" si="32"/>
        <v>0.57144513104988148</v>
      </c>
      <c r="T105" s="69">
        <f t="shared" si="32"/>
        <v>0.55493179856802655</v>
      </c>
      <c r="U105" s="69">
        <f t="shared" si="32"/>
        <v>0.53822463241230123</v>
      </c>
      <c r="V105" s="69">
        <f t="shared" si="32"/>
        <v>0.5213201996019069</v>
      </c>
      <c r="W105" s="69">
        <f t="shared" si="32"/>
        <v>0.50421498560607969</v>
      </c>
      <c r="X105" s="69">
        <f t="shared" si="32"/>
        <v>0.48690539190811472</v>
      </c>
      <c r="Y105" s="69">
        <f t="shared" si="32"/>
        <v>0.469387733481546</v>
      </c>
      <c r="Z105" s="69">
        <f t="shared" si="32"/>
        <v>0.45165823617476808</v>
      </c>
      <c r="AA105" s="69">
        <f t="shared" si="32"/>
        <v>0.43371303400019623</v>
      </c>
      <c r="AB105" s="69">
        <f t="shared" si="32"/>
        <v>0.41554816632387731</v>
      </c>
      <c r="AC105" s="69">
        <f t="shared" si="32"/>
        <v>0.39715957495126225</v>
      </c>
      <c r="AD105" s="69">
        <f t="shared" si="32"/>
        <v>0.37854310110463024</v>
      </c>
      <c r="AE105" s="69">
        <f t="shared" si="32"/>
        <v>0.35969448228744266</v>
      </c>
      <c r="AF105" s="69">
        <f t="shared" si="32"/>
        <v>0.34060934903065665</v>
      </c>
      <c r="AG105" s="69">
        <f t="shared" si="32"/>
        <v>0.32128322151578215</v>
      </c>
      <c r="AH105" s="69">
        <f t="shared" si="32"/>
        <v>0.30171150606920155</v>
      </c>
      <c r="AI105" s="69">
        <f t="shared" si="32"/>
        <v>0.28188949152198856</v>
      </c>
      <c r="AJ105" s="69">
        <f t="shared" si="32"/>
        <v>0.26181234542916704</v>
      </c>
      <c r="AK105" s="69">
        <f t="shared" si="32"/>
        <v>0.24147511014203793</v>
      </c>
      <c r="AL105" s="69">
        <f t="shared" si="32"/>
        <v>0.22087269872686716</v>
      </c>
      <c r="AM105" s="69">
        <f t="shared" si="32"/>
        <v>0.19999989072287858</v>
      </c>
    </row>
    <row r="106" spans="1:39" x14ac:dyDescent="0.25">
      <c r="A106" t="s">
        <v>100</v>
      </c>
      <c r="B106" s="135">
        <f>SUM(B100:B105)</f>
        <v>1</v>
      </c>
      <c r="C106" s="135">
        <f t="shared" ref="C106:AM106" si="33">SUM(C100:C105)</f>
        <v>1</v>
      </c>
      <c r="D106" s="135">
        <f t="shared" si="33"/>
        <v>1</v>
      </c>
      <c r="E106" s="135">
        <f t="shared" si="33"/>
        <v>1</v>
      </c>
      <c r="F106" s="135">
        <f t="shared" si="33"/>
        <v>0.99999999999999978</v>
      </c>
      <c r="G106" s="135">
        <f t="shared" si="33"/>
        <v>1</v>
      </c>
      <c r="H106" s="135">
        <f t="shared" si="33"/>
        <v>1</v>
      </c>
      <c r="I106" s="135">
        <f t="shared" si="33"/>
        <v>1</v>
      </c>
      <c r="J106" s="135">
        <f t="shared" si="33"/>
        <v>1</v>
      </c>
      <c r="K106" s="135">
        <f t="shared" si="33"/>
        <v>1</v>
      </c>
      <c r="L106" s="135">
        <f t="shared" si="33"/>
        <v>1</v>
      </c>
      <c r="M106" s="135">
        <f t="shared" si="33"/>
        <v>1</v>
      </c>
      <c r="N106" s="135">
        <f t="shared" si="33"/>
        <v>1</v>
      </c>
      <c r="O106" s="135">
        <f t="shared" si="33"/>
        <v>1</v>
      </c>
      <c r="P106" s="135">
        <f t="shared" si="33"/>
        <v>1</v>
      </c>
      <c r="Q106" s="135">
        <f t="shared" si="33"/>
        <v>1</v>
      </c>
      <c r="R106" s="135">
        <f t="shared" si="33"/>
        <v>1</v>
      </c>
      <c r="S106" s="135">
        <f t="shared" si="33"/>
        <v>1</v>
      </c>
      <c r="T106" s="135">
        <f t="shared" si="33"/>
        <v>0.99999999999999978</v>
      </c>
      <c r="U106" s="135">
        <f t="shared" si="33"/>
        <v>1</v>
      </c>
      <c r="V106" s="135">
        <f t="shared" si="33"/>
        <v>1</v>
      </c>
      <c r="W106" s="135">
        <f t="shared" si="33"/>
        <v>0.99999999999999989</v>
      </c>
      <c r="X106" s="135">
        <f t="shared" si="33"/>
        <v>1</v>
      </c>
      <c r="Y106" s="135">
        <f t="shared" si="33"/>
        <v>1</v>
      </c>
      <c r="Z106" s="135">
        <f t="shared" si="33"/>
        <v>0.99999999999999989</v>
      </c>
      <c r="AA106" s="135">
        <f t="shared" si="33"/>
        <v>1.0000000000000002</v>
      </c>
      <c r="AB106" s="135">
        <f t="shared" si="33"/>
        <v>0.99999999999999978</v>
      </c>
      <c r="AC106" s="135">
        <f t="shared" si="33"/>
        <v>1</v>
      </c>
      <c r="AD106" s="135">
        <f t="shared" si="33"/>
        <v>1</v>
      </c>
      <c r="AE106" s="135">
        <f t="shared" si="33"/>
        <v>1</v>
      </c>
      <c r="AF106" s="135">
        <f t="shared" si="33"/>
        <v>1.0000000000000002</v>
      </c>
      <c r="AG106" s="135">
        <f t="shared" si="33"/>
        <v>1</v>
      </c>
      <c r="AH106" s="135">
        <f t="shared" si="33"/>
        <v>1</v>
      </c>
      <c r="AI106" s="135">
        <f t="shared" si="33"/>
        <v>1</v>
      </c>
      <c r="AJ106" s="135">
        <f t="shared" si="33"/>
        <v>1</v>
      </c>
      <c r="AK106" s="135">
        <f t="shared" si="33"/>
        <v>0.99999999999999989</v>
      </c>
      <c r="AL106" s="135">
        <f t="shared" si="33"/>
        <v>1</v>
      </c>
      <c r="AM106" s="135">
        <f t="shared" si="33"/>
        <v>1</v>
      </c>
    </row>
    <row r="108" spans="1:39" x14ac:dyDescent="0.25">
      <c r="A108" t="s">
        <v>241</v>
      </c>
      <c r="B108">
        <f>0.07</f>
        <v>7.0000000000000007E-2</v>
      </c>
      <c r="C108">
        <f t="shared" ref="C108:AM108" si="34">0.07</f>
        <v>7.0000000000000007E-2</v>
      </c>
      <c r="D108">
        <f t="shared" si="34"/>
        <v>7.0000000000000007E-2</v>
      </c>
      <c r="E108">
        <f t="shared" si="34"/>
        <v>7.0000000000000007E-2</v>
      </c>
      <c r="F108">
        <f t="shared" si="34"/>
        <v>7.0000000000000007E-2</v>
      </c>
      <c r="G108">
        <f t="shared" si="34"/>
        <v>7.0000000000000007E-2</v>
      </c>
      <c r="H108">
        <f t="shared" si="34"/>
        <v>7.0000000000000007E-2</v>
      </c>
      <c r="I108">
        <f t="shared" si="34"/>
        <v>7.0000000000000007E-2</v>
      </c>
      <c r="J108">
        <f t="shared" si="34"/>
        <v>7.0000000000000007E-2</v>
      </c>
      <c r="K108">
        <f t="shared" si="34"/>
        <v>7.0000000000000007E-2</v>
      </c>
      <c r="L108">
        <f t="shared" si="34"/>
        <v>7.0000000000000007E-2</v>
      </c>
      <c r="M108">
        <f t="shared" si="34"/>
        <v>7.0000000000000007E-2</v>
      </c>
      <c r="N108">
        <f t="shared" si="34"/>
        <v>7.0000000000000007E-2</v>
      </c>
      <c r="O108">
        <f t="shared" si="34"/>
        <v>7.0000000000000007E-2</v>
      </c>
      <c r="P108">
        <f t="shared" si="34"/>
        <v>7.0000000000000007E-2</v>
      </c>
      <c r="Q108">
        <f t="shared" si="34"/>
        <v>7.0000000000000007E-2</v>
      </c>
      <c r="R108">
        <f t="shared" si="34"/>
        <v>7.0000000000000007E-2</v>
      </c>
      <c r="S108">
        <f t="shared" si="34"/>
        <v>7.0000000000000007E-2</v>
      </c>
      <c r="T108">
        <f t="shared" si="34"/>
        <v>7.0000000000000007E-2</v>
      </c>
      <c r="U108">
        <f t="shared" si="34"/>
        <v>7.0000000000000007E-2</v>
      </c>
      <c r="V108">
        <f t="shared" si="34"/>
        <v>7.0000000000000007E-2</v>
      </c>
      <c r="W108">
        <f t="shared" si="34"/>
        <v>7.0000000000000007E-2</v>
      </c>
      <c r="X108">
        <f t="shared" si="34"/>
        <v>7.0000000000000007E-2</v>
      </c>
      <c r="Y108">
        <f t="shared" si="34"/>
        <v>7.0000000000000007E-2</v>
      </c>
      <c r="Z108">
        <f t="shared" si="34"/>
        <v>7.0000000000000007E-2</v>
      </c>
      <c r="AA108">
        <f t="shared" si="34"/>
        <v>7.0000000000000007E-2</v>
      </c>
      <c r="AB108">
        <f t="shared" si="34"/>
        <v>7.0000000000000007E-2</v>
      </c>
      <c r="AC108">
        <f t="shared" si="34"/>
        <v>7.0000000000000007E-2</v>
      </c>
      <c r="AD108">
        <f t="shared" si="34"/>
        <v>7.0000000000000007E-2</v>
      </c>
      <c r="AE108">
        <f t="shared" si="34"/>
        <v>7.0000000000000007E-2</v>
      </c>
      <c r="AF108">
        <f t="shared" si="34"/>
        <v>7.0000000000000007E-2</v>
      </c>
      <c r="AG108">
        <f t="shared" si="34"/>
        <v>7.0000000000000007E-2</v>
      </c>
      <c r="AH108">
        <f t="shared" si="34"/>
        <v>7.0000000000000007E-2</v>
      </c>
      <c r="AI108">
        <f t="shared" si="34"/>
        <v>7.0000000000000007E-2</v>
      </c>
      <c r="AJ108">
        <f t="shared" si="34"/>
        <v>7.0000000000000007E-2</v>
      </c>
      <c r="AK108">
        <f t="shared" si="34"/>
        <v>7.0000000000000007E-2</v>
      </c>
      <c r="AL108">
        <f t="shared" si="34"/>
        <v>7.0000000000000007E-2</v>
      </c>
      <c r="AM108">
        <f t="shared" si="34"/>
        <v>7.0000000000000007E-2</v>
      </c>
    </row>
    <row r="110" spans="1:39" x14ac:dyDescent="0.25">
      <c r="A110" t="s">
        <v>242</v>
      </c>
      <c r="B110">
        <f>B99</f>
        <v>2013</v>
      </c>
      <c r="C110">
        <f t="shared" ref="C110:AM110" si="35">C99</f>
        <v>2014</v>
      </c>
      <c r="D110">
        <f t="shared" si="35"/>
        <v>2015</v>
      </c>
      <c r="E110">
        <f t="shared" si="35"/>
        <v>2016</v>
      </c>
      <c r="F110">
        <f t="shared" si="35"/>
        <v>2017</v>
      </c>
      <c r="G110">
        <f t="shared" si="35"/>
        <v>2018</v>
      </c>
      <c r="H110">
        <f t="shared" si="35"/>
        <v>2019</v>
      </c>
      <c r="I110">
        <f t="shared" si="35"/>
        <v>2020</v>
      </c>
      <c r="J110">
        <f t="shared" si="35"/>
        <v>2021</v>
      </c>
      <c r="K110">
        <f t="shared" si="35"/>
        <v>2022</v>
      </c>
      <c r="L110">
        <f t="shared" si="35"/>
        <v>2023</v>
      </c>
      <c r="M110">
        <f t="shared" si="35"/>
        <v>2024</v>
      </c>
      <c r="N110">
        <f t="shared" si="35"/>
        <v>2025</v>
      </c>
      <c r="O110">
        <f t="shared" si="35"/>
        <v>2026</v>
      </c>
      <c r="P110">
        <f t="shared" si="35"/>
        <v>2027</v>
      </c>
      <c r="Q110">
        <f t="shared" si="35"/>
        <v>2028</v>
      </c>
      <c r="R110">
        <f t="shared" si="35"/>
        <v>2029</v>
      </c>
      <c r="S110">
        <f t="shared" si="35"/>
        <v>2030</v>
      </c>
      <c r="T110">
        <f t="shared" si="35"/>
        <v>2031</v>
      </c>
      <c r="U110">
        <f t="shared" si="35"/>
        <v>2032</v>
      </c>
      <c r="V110">
        <f t="shared" si="35"/>
        <v>2033</v>
      </c>
      <c r="W110">
        <f t="shared" si="35"/>
        <v>2034</v>
      </c>
      <c r="X110">
        <f t="shared" si="35"/>
        <v>2035</v>
      </c>
      <c r="Y110">
        <f t="shared" si="35"/>
        <v>2036</v>
      </c>
      <c r="Z110">
        <f t="shared" si="35"/>
        <v>2037</v>
      </c>
      <c r="AA110">
        <f t="shared" si="35"/>
        <v>2038</v>
      </c>
      <c r="AB110">
        <f t="shared" si="35"/>
        <v>2039</v>
      </c>
      <c r="AC110">
        <f t="shared" si="35"/>
        <v>2040</v>
      </c>
      <c r="AD110">
        <f t="shared" si="35"/>
        <v>2041</v>
      </c>
      <c r="AE110">
        <f t="shared" si="35"/>
        <v>2042</v>
      </c>
      <c r="AF110">
        <f t="shared" si="35"/>
        <v>2043</v>
      </c>
      <c r="AG110">
        <f t="shared" si="35"/>
        <v>2044</v>
      </c>
      <c r="AH110">
        <f t="shared" si="35"/>
        <v>2045</v>
      </c>
      <c r="AI110">
        <f t="shared" si="35"/>
        <v>2046</v>
      </c>
      <c r="AJ110">
        <f t="shared" si="35"/>
        <v>2047</v>
      </c>
      <c r="AK110">
        <f t="shared" si="35"/>
        <v>2048</v>
      </c>
      <c r="AL110">
        <f t="shared" si="35"/>
        <v>2049</v>
      </c>
      <c r="AM110">
        <f t="shared" si="35"/>
        <v>2050</v>
      </c>
    </row>
    <row r="111" spans="1:39" x14ac:dyDescent="0.25">
      <c r="A111" t="s">
        <v>208</v>
      </c>
      <c r="B111">
        <f>B90*(1-B$108)</f>
        <v>0</v>
      </c>
      <c r="C111">
        <f t="shared" ref="C111:AM116" si="36">C90*(1-C$108)</f>
        <v>0</v>
      </c>
      <c r="D111">
        <f t="shared" si="36"/>
        <v>0</v>
      </c>
      <c r="E111">
        <f t="shared" si="36"/>
        <v>0</v>
      </c>
      <c r="F111">
        <f t="shared" si="36"/>
        <v>0</v>
      </c>
      <c r="G111">
        <f t="shared" si="36"/>
        <v>0</v>
      </c>
      <c r="H111">
        <f t="shared" si="36"/>
        <v>0</v>
      </c>
      <c r="I111">
        <f t="shared" si="36"/>
        <v>0</v>
      </c>
      <c r="J111">
        <f t="shared" si="36"/>
        <v>0</v>
      </c>
      <c r="K111">
        <f t="shared" si="36"/>
        <v>0</v>
      </c>
      <c r="L111">
        <f t="shared" si="36"/>
        <v>0</v>
      </c>
      <c r="M111">
        <f t="shared" si="36"/>
        <v>0</v>
      </c>
      <c r="N111">
        <f t="shared" si="36"/>
        <v>0</v>
      </c>
      <c r="O111">
        <f t="shared" si="36"/>
        <v>0</v>
      </c>
      <c r="P111">
        <f t="shared" si="36"/>
        <v>0</v>
      </c>
      <c r="Q111">
        <f t="shared" si="36"/>
        <v>0</v>
      </c>
      <c r="R111">
        <f t="shared" si="36"/>
        <v>0</v>
      </c>
      <c r="S111">
        <f t="shared" si="36"/>
        <v>0</v>
      </c>
      <c r="T111">
        <f t="shared" si="36"/>
        <v>0</v>
      </c>
      <c r="U111">
        <f t="shared" si="36"/>
        <v>0</v>
      </c>
      <c r="V111">
        <f t="shared" si="36"/>
        <v>0</v>
      </c>
      <c r="W111">
        <f t="shared" si="36"/>
        <v>0</v>
      </c>
      <c r="X111">
        <f t="shared" si="36"/>
        <v>0</v>
      </c>
      <c r="Y111">
        <f t="shared" si="36"/>
        <v>0</v>
      </c>
      <c r="Z111">
        <f t="shared" si="36"/>
        <v>0</v>
      </c>
      <c r="AA111">
        <f t="shared" si="36"/>
        <v>0</v>
      </c>
      <c r="AB111">
        <f t="shared" si="36"/>
        <v>0</v>
      </c>
      <c r="AC111">
        <f t="shared" si="36"/>
        <v>0</v>
      </c>
      <c r="AD111">
        <f t="shared" si="36"/>
        <v>0</v>
      </c>
      <c r="AE111">
        <f t="shared" si="36"/>
        <v>0</v>
      </c>
      <c r="AF111">
        <f t="shared" si="36"/>
        <v>0</v>
      </c>
      <c r="AG111">
        <f t="shared" si="36"/>
        <v>0</v>
      </c>
      <c r="AH111">
        <f t="shared" si="36"/>
        <v>0</v>
      </c>
      <c r="AI111">
        <f t="shared" si="36"/>
        <v>0</v>
      </c>
      <c r="AJ111">
        <f t="shared" si="36"/>
        <v>0</v>
      </c>
      <c r="AK111">
        <f t="shared" si="36"/>
        <v>0</v>
      </c>
      <c r="AL111">
        <f t="shared" si="36"/>
        <v>0</v>
      </c>
      <c r="AM111">
        <f t="shared" si="36"/>
        <v>0</v>
      </c>
    </row>
    <row r="112" spans="1:39" x14ac:dyDescent="0.25">
      <c r="A112" t="s">
        <v>209</v>
      </c>
      <c r="B112">
        <f t="shared" ref="B112:Q116" si="37">B91*(1-B$108)</f>
        <v>14.786999999999999</v>
      </c>
      <c r="C112">
        <f t="shared" si="37"/>
        <v>19.002937058220095</v>
      </c>
      <c r="D112">
        <f t="shared" si="37"/>
        <v>23.218874116440187</v>
      </c>
      <c r="E112">
        <f t="shared" si="37"/>
        <v>27.434811174660279</v>
      </c>
      <c r="F112">
        <f t="shared" si="37"/>
        <v>31.650748232880371</v>
      </c>
      <c r="G112">
        <f t="shared" si="37"/>
        <v>36.500162216136694</v>
      </c>
      <c r="H112">
        <f t="shared" si="37"/>
        <v>41.349576199393013</v>
      </c>
      <c r="I112">
        <f t="shared" si="37"/>
        <v>46.198990182649325</v>
      </c>
      <c r="J112">
        <f t="shared" si="37"/>
        <v>51.048404165905637</v>
      </c>
      <c r="K112">
        <f t="shared" si="37"/>
        <v>55.897818149161928</v>
      </c>
      <c r="L112">
        <f t="shared" si="37"/>
        <v>60.74723213241824</v>
      </c>
      <c r="M112">
        <f t="shared" si="37"/>
        <v>65.343255345660054</v>
      </c>
      <c r="N112">
        <f t="shared" si="37"/>
        <v>69.939278558901833</v>
      </c>
      <c r="O112">
        <f t="shared" si="37"/>
        <v>74.535301772143654</v>
      </c>
      <c r="P112">
        <f t="shared" si="37"/>
        <v>79.131324985385433</v>
      </c>
      <c r="Q112">
        <f t="shared" si="37"/>
        <v>83.727348198627197</v>
      </c>
      <c r="R112">
        <f t="shared" si="36"/>
        <v>88.323371411868948</v>
      </c>
      <c r="S112">
        <f t="shared" si="36"/>
        <v>92.919394625110712</v>
      </c>
      <c r="T112">
        <f t="shared" si="36"/>
        <v>97.515417838352448</v>
      </c>
      <c r="U112">
        <f t="shared" si="36"/>
        <v>102.11144105159418</v>
      </c>
      <c r="V112">
        <f t="shared" si="36"/>
        <v>106.70746426483592</v>
      </c>
      <c r="W112">
        <f t="shared" si="36"/>
        <v>111.30348747807763</v>
      </c>
      <c r="X112">
        <f t="shared" si="36"/>
        <v>115.89951069131934</v>
      </c>
      <c r="Y112">
        <f t="shared" si="36"/>
        <v>120.49553390456103</v>
      </c>
      <c r="Z112">
        <f t="shared" si="36"/>
        <v>125.09155711780271</v>
      </c>
      <c r="AA112">
        <f t="shared" si="36"/>
        <v>129.68758033104436</v>
      </c>
      <c r="AB112">
        <f t="shared" si="36"/>
        <v>134.28360354428605</v>
      </c>
      <c r="AC112">
        <f t="shared" si="36"/>
        <v>138.87962675752772</v>
      </c>
      <c r="AD112">
        <f t="shared" si="36"/>
        <v>143.47564997076933</v>
      </c>
      <c r="AE112">
        <f t="shared" si="36"/>
        <v>148.07167318401093</v>
      </c>
      <c r="AF112">
        <f t="shared" si="36"/>
        <v>152.66769639725254</v>
      </c>
      <c r="AG112">
        <f t="shared" si="36"/>
        <v>157.26371961049409</v>
      </c>
      <c r="AH112">
        <f t="shared" si="36"/>
        <v>161.85974282373564</v>
      </c>
      <c r="AI112">
        <f t="shared" si="36"/>
        <v>166.45576603697717</v>
      </c>
      <c r="AJ112">
        <f t="shared" si="36"/>
        <v>171.05178925021869</v>
      </c>
      <c r="AK112">
        <f t="shared" si="36"/>
        <v>175.64781246346018</v>
      </c>
      <c r="AL112">
        <f t="shared" si="36"/>
        <v>180.24383567670168</v>
      </c>
      <c r="AM112">
        <f t="shared" si="36"/>
        <v>184.83985888994312</v>
      </c>
    </row>
    <row r="113" spans="1:39" x14ac:dyDescent="0.25">
      <c r="A113" t="s">
        <v>210</v>
      </c>
      <c r="B113">
        <f t="shared" si="37"/>
        <v>4.2779999999999996</v>
      </c>
      <c r="C113">
        <f t="shared" si="36"/>
        <v>5.5156313444871437</v>
      </c>
      <c r="D113">
        <f t="shared" si="36"/>
        <v>6.7532626889742877</v>
      </c>
      <c r="E113">
        <f t="shared" si="36"/>
        <v>7.99089403346143</v>
      </c>
      <c r="F113">
        <f t="shared" si="36"/>
        <v>9.2285253779485714</v>
      </c>
      <c r="G113">
        <f t="shared" si="36"/>
        <v>10.466156722435713</v>
      </c>
      <c r="H113">
        <f t="shared" si="36"/>
        <v>11.703788066922852</v>
      </c>
      <c r="I113">
        <f t="shared" si="36"/>
        <v>12.941419411409992</v>
      </c>
      <c r="J113">
        <f t="shared" si="36"/>
        <v>14.17905075589713</v>
      </c>
      <c r="K113">
        <f t="shared" si="36"/>
        <v>15.416682100384266</v>
      </c>
      <c r="L113">
        <f t="shared" si="36"/>
        <v>16.654313444871399</v>
      </c>
      <c r="M113">
        <f t="shared" si="36"/>
        <v>17.891944789358529</v>
      </c>
      <c r="N113">
        <f t="shared" si="36"/>
        <v>19.12957613384566</v>
      </c>
      <c r="O113">
        <f t="shared" si="36"/>
        <v>20.367207478332787</v>
      </c>
      <c r="P113">
        <f t="shared" si="36"/>
        <v>21.604838822819911</v>
      </c>
      <c r="Q113">
        <f t="shared" si="36"/>
        <v>22.842470167307031</v>
      </c>
      <c r="R113">
        <f t="shared" si="36"/>
        <v>24.080101511794151</v>
      </c>
      <c r="S113">
        <f t="shared" si="36"/>
        <v>25.317732856281268</v>
      </c>
      <c r="T113">
        <f t="shared" si="36"/>
        <v>26.555364200768384</v>
      </c>
      <c r="U113">
        <f t="shared" si="36"/>
        <v>27.792995545255501</v>
      </c>
      <c r="V113">
        <f t="shared" si="36"/>
        <v>29.030626889742614</v>
      </c>
      <c r="W113">
        <f t="shared" si="36"/>
        <v>30.268258234229727</v>
      </c>
      <c r="X113">
        <f t="shared" si="36"/>
        <v>31.505889578716832</v>
      </c>
      <c r="Y113">
        <f t="shared" si="36"/>
        <v>32.743520923203931</v>
      </c>
      <c r="Z113">
        <f t="shared" si="36"/>
        <v>33.98115226769103</v>
      </c>
      <c r="AA113">
        <f t="shared" si="36"/>
        <v>35.218783612178129</v>
      </c>
      <c r="AB113">
        <f t="shared" si="36"/>
        <v>36.456414956665213</v>
      </c>
      <c r="AC113">
        <f t="shared" si="36"/>
        <v>37.694046301152298</v>
      </c>
      <c r="AD113">
        <f t="shared" si="36"/>
        <v>38.931677645639375</v>
      </c>
      <c r="AE113">
        <f t="shared" si="36"/>
        <v>40.169308990126453</v>
      </c>
      <c r="AF113">
        <f t="shared" si="36"/>
        <v>41.40694033461353</v>
      </c>
      <c r="AG113">
        <f t="shared" si="36"/>
        <v>42.644571679100601</v>
      </c>
      <c r="AH113">
        <f t="shared" si="36"/>
        <v>43.882203023587657</v>
      </c>
      <c r="AI113">
        <f t="shared" si="36"/>
        <v>45.11983436807472</v>
      </c>
      <c r="AJ113">
        <f t="shared" si="36"/>
        <v>46.357465712561769</v>
      </c>
      <c r="AK113">
        <f t="shared" si="36"/>
        <v>47.595097057048818</v>
      </c>
      <c r="AL113">
        <f t="shared" si="36"/>
        <v>48.832728401535867</v>
      </c>
      <c r="AM113">
        <f t="shared" si="36"/>
        <v>50.070359746022909</v>
      </c>
    </row>
    <row r="114" spans="1:39" x14ac:dyDescent="0.25">
      <c r="A114" t="s">
        <v>211</v>
      </c>
      <c r="B114">
        <f t="shared" si="37"/>
        <v>64.113902400000001</v>
      </c>
      <c r="C114">
        <f t="shared" si="36"/>
        <v>63.933138404265748</v>
      </c>
      <c r="D114">
        <f t="shared" si="36"/>
        <v>63.752374408531509</v>
      </c>
      <c r="E114">
        <f t="shared" si="36"/>
        <v>63.571610412797227</v>
      </c>
      <c r="F114">
        <f t="shared" si="36"/>
        <v>63.390846417062946</v>
      </c>
      <c r="G114">
        <f t="shared" si="36"/>
        <v>63.210082421328678</v>
      </c>
      <c r="H114">
        <f t="shared" si="36"/>
        <v>63.029318425594369</v>
      </c>
      <c r="I114">
        <f t="shared" si="36"/>
        <v>62.848554429860059</v>
      </c>
      <c r="J114">
        <f t="shared" si="36"/>
        <v>62.667790434125735</v>
      </c>
      <c r="K114">
        <f t="shared" si="36"/>
        <v>62.487026438391432</v>
      </c>
      <c r="L114">
        <f t="shared" si="36"/>
        <v>62.306262442657079</v>
      </c>
      <c r="M114">
        <f t="shared" si="36"/>
        <v>62.125498446922748</v>
      </c>
      <c r="N114">
        <f t="shared" si="36"/>
        <v>61.944734451188403</v>
      </c>
      <c r="O114">
        <f t="shared" si="36"/>
        <v>61.763970455454036</v>
      </c>
      <c r="P114">
        <f t="shared" si="36"/>
        <v>61.583206459719676</v>
      </c>
      <c r="Q114">
        <f t="shared" si="36"/>
        <v>61.402442463985302</v>
      </c>
      <c r="R114">
        <f t="shared" si="36"/>
        <v>61.221678468250914</v>
      </c>
      <c r="S114">
        <f t="shared" si="36"/>
        <v>61.040914472516526</v>
      </c>
      <c r="T114">
        <f t="shared" si="36"/>
        <v>60.860150476782138</v>
      </c>
      <c r="U114">
        <f t="shared" si="36"/>
        <v>60.679386481047743</v>
      </c>
      <c r="V114">
        <f t="shared" si="36"/>
        <v>60.498622485313327</v>
      </c>
      <c r="W114">
        <f t="shared" si="36"/>
        <v>60.31785848957891</v>
      </c>
      <c r="X114">
        <f t="shared" si="36"/>
        <v>60.137094493844472</v>
      </c>
      <c r="Y114">
        <f t="shared" si="36"/>
        <v>59.956330498110034</v>
      </c>
      <c r="Z114">
        <f t="shared" si="36"/>
        <v>59.77556650237559</v>
      </c>
      <c r="AA114">
        <f t="shared" si="36"/>
        <v>59.594802506641138</v>
      </c>
      <c r="AB114">
        <f t="shared" si="36"/>
        <v>59.414038510906693</v>
      </c>
      <c r="AC114">
        <f t="shared" si="36"/>
        <v>59.233274515172226</v>
      </c>
      <c r="AD114">
        <f t="shared" si="36"/>
        <v>59.05251051943776</v>
      </c>
      <c r="AE114">
        <f t="shared" si="36"/>
        <v>58.871746523703287</v>
      </c>
      <c r="AF114">
        <f t="shared" si="36"/>
        <v>58.690982527968814</v>
      </c>
      <c r="AG114">
        <f t="shared" si="36"/>
        <v>58.510218532234333</v>
      </c>
      <c r="AH114">
        <f t="shared" si="36"/>
        <v>58.32945453649986</v>
      </c>
      <c r="AI114">
        <f t="shared" si="36"/>
        <v>58.148690540765372</v>
      </c>
      <c r="AJ114">
        <f t="shared" si="36"/>
        <v>57.967926545030878</v>
      </c>
      <c r="AK114">
        <f t="shared" si="36"/>
        <v>57.787162549296376</v>
      </c>
      <c r="AL114">
        <f t="shared" si="36"/>
        <v>57.606398553561888</v>
      </c>
      <c r="AM114">
        <f t="shared" si="36"/>
        <v>57.425634557827394</v>
      </c>
    </row>
    <row r="115" spans="1:39" x14ac:dyDescent="0.25">
      <c r="A115" t="s">
        <v>212</v>
      </c>
      <c r="B115">
        <f t="shared" si="37"/>
        <v>4.9778479942500002</v>
      </c>
      <c r="C115">
        <f t="shared" si="36"/>
        <v>5.7309960885552469</v>
      </c>
      <c r="D115">
        <f t="shared" si="36"/>
        <v>6.4841441828604953</v>
      </c>
      <c r="E115">
        <f t="shared" si="36"/>
        <v>7.2372922771657411</v>
      </c>
      <c r="F115">
        <f t="shared" si="36"/>
        <v>7.9904403714709877</v>
      </c>
      <c r="G115">
        <f t="shared" si="36"/>
        <v>8.7435884657762326</v>
      </c>
      <c r="H115">
        <f t="shared" si="36"/>
        <v>9.4967365600814748</v>
      </c>
      <c r="I115">
        <f t="shared" si="36"/>
        <v>10.249884654386717</v>
      </c>
      <c r="J115">
        <f t="shared" si="36"/>
        <v>11.003032748691957</v>
      </c>
      <c r="K115">
        <f t="shared" si="36"/>
        <v>11.756180842997198</v>
      </c>
      <c r="L115">
        <f t="shared" si="36"/>
        <v>12.509328937302437</v>
      </c>
      <c r="M115">
        <f t="shared" si="36"/>
        <v>13.262477031607673</v>
      </c>
      <c r="N115">
        <f t="shared" si="36"/>
        <v>14.01562512591291</v>
      </c>
      <c r="O115">
        <f t="shared" si="36"/>
        <v>14.768773220218145</v>
      </c>
      <c r="P115">
        <f t="shared" si="36"/>
        <v>15.521921314523377</v>
      </c>
      <c r="Q115">
        <f t="shared" si="36"/>
        <v>16.27506940882861</v>
      </c>
      <c r="R115">
        <f t="shared" si="36"/>
        <v>17.028217503133838</v>
      </c>
      <c r="S115">
        <f t="shared" si="36"/>
        <v>17.781365597439063</v>
      </c>
      <c r="T115">
        <f t="shared" si="36"/>
        <v>18.534513691744291</v>
      </c>
      <c r="U115">
        <f t="shared" si="36"/>
        <v>19.287661786049512</v>
      </c>
      <c r="V115">
        <f t="shared" si="36"/>
        <v>20.040809880354736</v>
      </c>
      <c r="W115">
        <f t="shared" si="36"/>
        <v>20.793957974659953</v>
      </c>
      <c r="X115">
        <f t="shared" si="36"/>
        <v>21.547106068965174</v>
      </c>
      <c r="Y115">
        <f t="shared" si="36"/>
        <v>22.300254163270392</v>
      </c>
      <c r="Z115">
        <f t="shared" si="36"/>
        <v>23.053402257575605</v>
      </c>
      <c r="AA115">
        <f t="shared" si="36"/>
        <v>23.806550351880816</v>
      </c>
      <c r="AB115">
        <f t="shared" si="36"/>
        <v>24.559698446186026</v>
      </c>
      <c r="AC115">
        <f t="shared" si="36"/>
        <v>25.312846540491233</v>
      </c>
      <c r="AD115">
        <f t="shared" si="36"/>
        <v>26.065994634796439</v>
      </c>
      <c r="AE115">
        <f t="shared" si="36"/>
        <v>26.819142729101642</v>
      </c>
      <c r="AF115">
        <f t="shared" si="36"/>
        <v>27.572290823406835</v>
      </c>
      <c r="AG115">
        <f t="shared" si="36"/>
        <v>28.325438917712031</v>
      </c>
      <c r="AH115">
        <f t="shared" si="36"/>
        <v>29.078587012017227</v>
      </c>
      <c r="AI115">
        <f t="shared" si="36"/>
        <v>29.831735106322416</v>
      </c>
      <c r="AJ115">
        <f t="shared" si="36"/>
        <v>30.584883200627601</v>
      </c>
      <c r="AK115">
        <f t="shared" si="36"/>
        <v>31.338031294932776</v>
      </c>
      <c r="AL115">
        <f t="shared" si="36"/>
        <v>32.091179389237965</v>
      </c>
      <c r="AM115">
        <f t="shared" si="36"/>
        <v>32.844327483543147</v>
      </c>
    </row>
    <row r="116" spans="1:39" x14ac:dyDescent="0.25">
      <c r="A116" s="134" t="s">
        <v>238</v>
      </c>
      <c r="B116">
        <f t="shared" si="37"/>
        <v>417.01199999999994</v>
      </c>
      <c r="C116">
        <f t="shared" si="36"/>
        <v>407.93856728773699</v>
      </c>
      <c r="D116">
        <f t="shared" si="36"/>
        <v>398.86513457547409</v>
      </c>
      <c r="E116">
        <f t="shared" si="36"/>
        <v>389.79170186321113</v>
      </c>
      <c r="F116">
        <f t="shared" si="36"/>
        <v>380.71826915094823</v>
      </c>
      <c r="G116">
        <f t="shared" si="36"/>
        <v>371.64483643868539</v>
      </c>
      <c r="H116">
        <f t="shared" si="36"/>
        <v>362.5714037264226</v>
      </c>
      <c r="I116">
        <f t="shared" si="36"/>
        <v>353.4979710141597</v>
      </c>
      <c r="J116">
        <f t="shared" si="36"/>
        <v>344.42453830189692</v>
      </c>
      <c r="K116">
        <f t="shared" si="36"/>
        <v>335.35110558963419</v>
      </c>
      <c r="L116">
        <f t="shared" si="36"/>
        <v>326.27767287737157</v>
      </c>
      <c r="M116">
        <f t="shared" si="36"/>
        <v>317.2042401651089</v>
      </c>
      <c r="N116">
        <f t="shared" si="36"/>
        <v>308.13080745284628</v>
      </c>
      <c r="O116">
        <f t="shared" si="36"/>
        <v>299.05737474058367</v>
      </c>
      <c r="P116">
        <f t="shared" si="36"/>
        <v>289.98394202832111</v>
      </c>
      <c r="Q116">
        <f t="shared" si="36"/>
        <v>280.91050931605861</v>
      </c>
      <c r="R116">
        <f t="shared" si="36"/>
        <v>271.83707660379611</v>
      </c>
      <c r="S116">
        <f t="shared" si="36"/>
        <v>262.76364389153366</v>
      </c>
      <c r="T116">
        <f t="shared" si="36"/>
        <v>253.69021117927127</v>
      </c>
      <c r="U116">
        <f t="shared" si="36"/>
        <v>244.61677846700886</v>
      </c>
      <c r="V116">
        <f t="shared" si="36"/>
        <v>235.54334575474641</v>
      </c>
      <c r="W116">
        <f t="shared" si="36"/>
        <v>226.46991304248402</v>
      </c>
      <c r="X116">
        <f t="shared" si="36"/>
        <v>217.39648033022169</v>
      </c>
      <c r="Y116">
        <f t="shared" si="36"/>
        <v>208.32304761795933</v>
      </c>
      <c r="Z116">
        <f t="shared" si="36"/>
        <v>199.249614905697</v>
      </c>
      <c r="AA116">
        <f t="shared" si="36"/>
        <v>190.17618219343473</v>
      </c>
      <c r="AB116">
        <f t="shared" si="36"/>
        <v>181.1027494811724</v>
      </c>
      <c r="AC116">
        <f t="shared" si="36"/>
        <v>172.02931676891018</v>
      </c>
      <c r="AD116">
        <f t="shared" si="36"/>
        <v>162.95588405664796</v>
      </c>
      <c r="AE116">
        <f t="shared" si="36"/>
        <v>153.88245134438574</v>
      </c>
      <c r="AF116">
        <f t="shared" si="36"/>
        <v>144.80901863212353</v>
      </c>
      <c r="AG116">
        <f t="shared" si="36"/>
        <v>135.73558591986134</v>
      </c>
      <c r="AH116">
        <f t="shared" si="36"/>
        <v>126.66215320759916</v>
      </c>
      <c r="AI116">
        <f t="shared" si="36"/>
        <v>117.588720495337</v>
      </c>
      <c r="AJ116">
        <f t="shared" si="36"/>
        <v>108.51528778307485</v>
      </c>
      <c r="AK116">
        <f t="shared" si="36"/>
        <v>99.441855070812721</v>
      </c>
      <c r="AL116">
        <f t="shared" si="36"/>
        <v>90.368422358550589</v>
      </c>
      <c r="AM116">
        <f t="shared" si="36"/>
        <v>81.294989646288457</v>
      </c>
    </row>
    <row r="117" spans="1:39" x14ac:dyDescent="0.25">
      <c r="A117" t="s">
        <v>239</v>
      </c>
      <c r="B117">
        <f>SUM(B111:B116)</f>
        <v>505.16875039424997</v>
      </c>
      <c r="C117">
        <f t="shared" ref="C117:AK117" si="38">SUM(C111:C116)</f>
        <v>502.12127018326521</v>
      </c>
      <c r="D117">
        <f t="shared" si="38"/>
        <v>499.07378997228057</v>
      </c>
      <c r="E117">
        <f t="shared" si="38"/>
        <v>496.02630976129581</v>
      </c>
      <c r="F117">
        <f t="shared" si="38"/>
        <v>492.9788295503111</v>
      </c>
      <c r="G117">
        <f t="shared" si="38"/>
        <v>490.56482626436269</v>
      </c>
      <c r="H117">
        <f t="shared" si="38"/>
        <v>488.15082297841434</v>
      </c>
      <c r="I117">
        <f t="shared" si="38"/>
        <v>485.73681969246582</v>
      </c>
      <c r="J117">
        <f t="shared" si="38"/>
        <v>483.3228164065174</v>
      </c>
      <c r="K117">
        <f t="shared" si="38"/>
        <v>480.90881312056899</v>
      </c>
      <c r="L117">
        <f t="shared" si="38"/>
        <v>478.4948098346207</v>
      </c>
      <c r="M117">
        <f t="shared" si="38"/>
        <v>475.82741577865789</v>
      </c>
      <c r="N117">
        <f t="shared" si="38"/>
        <v>473.16002172269509</v>
      </c>
      <c r="O117">
        <f t="shared" si="38"/>
        <v>470.49262766673229</v>
      </c>
      <c r="P117">
        <f t="shared" si="38"/>
        <v>467.82523361076949</v>
      </c>
      <c r="Q117">
        <f t="shared" si="38"/>
        <v>465.15783955480674</v>
      </c>
      <c r="R117">
        <f t="shared" si="38"/>
        <v>462.490445498844</v>
      </c>
      <c r="S117">
        <f t="shared" si="38"/>
        <v>459.82305144288125</v>
      </c>
      <c r="T117">
        <f t="shared" si="38"/>
        <v>457.15565738691851</v>
      </c>
      <c r="U117">
        <f t="shared" si="38"/>
        <v>454.48826333095576</v>
      </c>
      <c r="V117">
        <f t="shared" si="38"/>
        <v>451.82086927499302</v>
      </c>
      <c r="W117">
        <f t="shared" si="38"/>
        <v>449.15347521903021</v>
      </c>
      <c r="X117">
        <f t="shared" si="38"/>
        <v>446.48608116306752</v>
      </c>
      <c r="Y117">
        <f t="shared" si="38"/>
        <v>443.81868710710472</v>
      </c>
      <c r="Z117">
        <f t="shared" si="38"/>
        <v>441.15129305114192</v>
      </c>
      <c r="AA117">
        <f t="shared" si="38"/>
        <v>438.48389899517917</v>
      </c>
      <c r="AB117">
        <f t="shared" si="38"/>
        <v>435.81650493921637</v>
      </c>
      <c r="AC117">
        <f t="shared" si="38"/>
        <v>433.14911088325368</v>
      </c>
      <c r="AD117">
        <f t="shared" si="38"/>
        <v>430.48171682729088</v>
      </c>
      <c r="AE117">
        <f t="shared" si="38"/>
        <v>427.81432277132808</v>
      </c>
      <c r="AF117">
        <f t="shared" si="38"/>
        <v>425.14692871536522</v>
      </c>
      <c r="AG117">
        <f t="shared" si="38"/>
        <v>422.47953465940236</v>
      </c>
      <c r="AH117">
        <f t="shared" si="38"/>
        <v>419.81214060343956</v>
      </c>
      <c r="AI117">
        <f t="shared" si="38"/>
        <v>417.14474654747664</v>
      </c>
      <c r="AJ117">
        <f t="shared" si="38"/>
        <v>414.47735249151378</v>
      </c>
      <c r="AK117">
        <f t="shared" si="38"/>
        <v>411.80995843555087</v>
      </c>
      <c r="AL117">
        <f>SUM(AL111:AL116)</f>
        <v>409.14256437958795</v>
      </c>
      <c r="AM117">
        <f t="shared" ref="AM117" si="39">SUM(AM111:AM116)</f>
        <v>406.47517032362504</v>
      </c>
    </row>
    <row r="120" spans="1:39" x14ac:dyDescent="0.25"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</row>
    <row r="121" spans="1:39" x14ac:dyDescent="0.25"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</row>
    <row r="122" spans="1:39" x14ac:dyDescent="0.25"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</row>
  </sheetData>
  <mergeCells count="1">
    <mergeCell ref="A87:H87"/>
  </mergeCells>
  <conditionalFormatting sqref="B21:AM21">
    <cfRule type="cellIs" dxfId="1" priority="2" operator="equal">
      <formula>0</formula>
    </cfRule>
  </conditionalFormatting>
  <conditionalFormatting sqref="B48:AM4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19"/>
  <sheetViews>
    <sheetView workbookViewId="0">
      <selection activeCell="C20" sqref="C20"/>
    </sheetView>
  </sheetViews>
  <sheetFormatPr baseColWidth="10" defaultColWidth="9.140625" defaultRowHeight="15" x14ac:dyDescent="0.25"/>
  <cols>
    <col min="1" max="1" width="30.140625" bestFit="1" customWidth="1"/>
    <col min="35" max="35" width="12" bestFit="1" customWidth="1"/>
  </cols>
  <sheetData>
    <row r="1" spans="1:39" ht="15.75" thickBot="1" x14ac:dyDescent="0.3"/>
    <row r="2" spans="1:39" x14ac:dyDescent="0.25">
      <c r="B2" s="93">
        <v>2013</v>
      </c>
      <c r="C2" s="93">
        <v>2014</v>
      </c>
      <c r="D2" s="93">
        <v>2015</v>
      </c>
      <c r="E2" s="93">
        <v>2016</v>
      </c>
      <c r="F2" s="93">
        <v>2017</v>
      </c>
      <c r="G2" s="93">
        <v>2018</v>
      </c>
      <c r="H2" s="93">
        <v>2019</v>
      </c>
      <c r="I2" s="93">
        <v>2020</v>
      </c>
      <c r="J2" s="93">
        <v>2021</v>
      </c>
      <c r="K2" s="93">
        <v>2022</v>
      </c>
      <c r="L2" s="93">
        <v>2023</v>
      </c>
      <c r="M2" s="93">
        <v>2024</v>
      </c>
      <c r="N2" s="93">
        <v>2025</v>
      </c>
      <c r="O2" s="93">
        <v>2026</v>
      </c>
      <c r="P2" s="93">
        <v>2027</v>
      </c>
      <c r="Q2" s="93">
        <v>2028</v>
      </c>
      <c r="R2" s="93">
        <v>2029</v>
      </c>
      <c r="S2" s="93">
        <v>2030</v>
      </c>
      <c r="T2" s="93">
        <v>2031</v>
      </c>
      <c r="U2" s="93">
        <v>2032</v>
      </c>
      <c r="V2" s="93">
        <v>2033</v>
      </c>
      <c r="W2" s="93">
        <v>2034</v>
      </c>
      <c r="X2" s="93">
        <v>2035</v>
      </c>
      <c r="Y2" s="93">
        <v>2036</v>
      </c>
      <c r="Z2" s="93">
        <v>2037</v>
      </c>
      <c r="AA2" s="93">
        <v>2038</v>
      </c>
      <c r="AB2" s="93">
        <v>2039</v>
      </c>
      <c r="AC2" s="93">
        <v>2040</v>
      </c>
      <c r="AD2" s="93">
        <v>2041</v>
      </c>
      <c r="AE2" s="93">
        <v>2042</v>
      </c>
      <c r="AF2" s="93">
        <v>2043</v>
      </c>
      <c r="AG2" s="93">
        <v>2044</v>
      </c>
      <c r="AH2" s="93">
        <v>2045</v>
      </c>
      <c r="AI2" s="93">
        <v>2046</v>
      </c>
      <c r="AJ2" s="93">
        <v>2047</v>
      </c>
      <c r="AK2" s="93">
        <v>2048</v>
      </c>
      <c r="AL2" s="93">
        <v>2049</v>
      </c>
      <c r="AM2" s="93">
        <v>2050</v>
      </c>
    </row>
    <row r="3" spans="1:39" x14ac:dyDescent="0.25">
      <c r="A3" s="3" t="s">
        <v>157</v>
      </c>
      <c r="B3" s="94" t="s">
        <v>158</v>
      </c>
      <c r="AM3" s="95" t="s">
        <v>159</v>
      </c>
    </row>
    <row r="4" spans="1:39" x14ac:dyDescent="0.25">
      <c r="A4" t="s">
        <v>160</v>
      </c>
      <c r="B4" s="96">
        <v>15.9</v>
      </c>
      <c r="C4" s="100">
        <v>20.433265654000103</v>
      </c>
      <c r="D4" s="100">
        <v>24.966531308000203</v>
      </c>
      <c r="E4" s="100">
        <v>29.499796962000303</v>
      </c>
      <c r="F4" s="100">
        <v>34.0330626160004</v>
      </c>
      <c r="G4" s="100">
        <v>38.566328270000497</v>
      </c>
      <c r="H4" s="100">
        <v>43.099593924000587</v>
      </c>
      <c r="I4" s="100">
        <v>47.632859578000669</v>
      </c>
      <c r="J4" s="100">
        <v>52.166125232000752</v>
      </c>
      <c r="K4" s="100">
        <v>56.699390886000828</v>
      </c>
      <c r="L4" s="100">
        <v>61.232656540000903</v>
      </c>
      <c r="M4" s="100">
        <v>65.765922194000979</v>
      </c>
      <c r="N4" s="100">
        <v>70.29918784800104</v>
      </c>
      <c r="O4" s="100">
        <v>74.832453502001101</v>
      </c>
      <c r="P4" s="100">
        <v>79.365719156001148</v>
      </c>
      <c r="Q4" s="100">
        <v>83.898984810001181</v>
      </c>
      <c r="R4" s="100">
        <v>88.432250464001214</v>
      </c>
      <c r="S4" s="100">
        <v>92.965516118001233</v>
      </c>
      <c r="T4" s="100">
        <v>97.498781772001237</v>
      </c>
      <c r="U4" s="100">
        <v>102.03204742600124</v>
      </c>
      <c r="V4" s="100">
        <v>106.56531308000123</v>
      </c>
      <c r="W4" s="100">
        <v>111.09857873400121</v>
      </c>
      <c r="X4" s="100">
        <v>115.63184438800118</v>
      </c>
      <c r="Y4" s="100">
        <v>120.16511004200115</v>
      </c>
      <c r="Z4" s="100">
        <v>124.69837569600109</v>
      </c>
      <c r="AA4" s="100">
        <v>129.23164135000104</v>
      </c>
      <c r="AB4" s="100">
        <v>133.76490700400097</v>
      </c>
      <c r="AC4" s="100">
        <v>138.29817265800088</v>
      </c>
      <c r="AD4" s="100">
        <v>142.83143831200078</v>
      </c>
      <c r="AE4" s="100">
        <v>147.36470396600066</v>
      </c>
      <c r="AF4" s="100">
        <v>151.89796962000051</v>
      </c>
      <c r="AG4" s="100">
        <v>156.43123527400036</v>
      </c>
      <c r="AH4" s="100">
        <v>160.96450092800018</v>
      </c>
      <c r="AI4" s="100">
        <v>165.49776658199997</v>
      </c>
      <c r="AJ4" s="100">
        <v>170.03103223599976</v>
      </c>
      <c r="AK4" s="100">
        <v>174.56429788999952</v>
      </c>
      <c r="AL4" s="100">
        <v>179.09756354399926</v>
      </c>
      <c r="AM4" s="101">
        <v>183.63082919799899</v>
      </c>
    </row>
    <row r="5" spans="1:39" x14ac:dyDescent="0.25">
      <c r="A5" t="s">
        <v>161</v>
      </c>
      <c r="B5" s="96">
        <v>0</v>
      </c>
      <c r="C5" s="100">
        <v>0.40869479034595813</v>
      </c>
      <c r="D5" s="100">
        <v>0.81738958069191625</v>
      </c>
      <c r="E5" s="100">
        <v>1.2260843710378744</v>
      </c>
      <c r="F5" s="100">
        <v>1.6347791613838323</v>
      </c>
      <c r="G5" s="100">
        <v>2.0434739517297902</v>
      </c>
      <c r="H5" s="100">
        <v>2.4521687420757479</v>
      </c>
      <c r="I5" s="100">
        <v>2.8608635324217051</v>
      </c>
      <c r="J5" s="100">
        <v>3.2695583227676623</v>
      </c>
      <c r="K5" s="100">
        <v>3.6782531131136191</v>
      </c>
      <c r="L5" s="100">
        <v>4.0869479034595759</v>
      </c>
      <c r="M5" s="100">
        <v>4.4956426938055323</v>
      </c>
      <c r="N5" s="100">
        <v>4.9043374841514877</v>
      </c>
      <c r="O5" s="100">
        <v>5.3130322744974432</v>
      </c>
      <c r="P5" s="100">
        <v>5.7217270648433978</v>
      </c>
      <c r="Q5" s="100">
        <v>6.1304218551893515</v>
      </c>
      <c r="R5" s="100">
        <v>6.5391166455353051</v>
      </c>
      <c r="S5" s="100">
        <v>6.9478114358812579</v>
      </c>
      <c r="T5" s="100">
        <v>7.3565062262272098</v>
      </c>
      <c r="U5" s="100">
        <v>7.7652010165731618</v>
      </c>
      <c r="V5" s="100">
        <v>8.1738958069191128</v>
      </c>
      <c r="W5" s="100">
        <v>8.582590597265062</v>
      </c>
      <c r="X5" s="100">
        <v>8.9912853876110113</v>
      </c>
      <c r="Y5" s="100">
        <v>9.3999801779569587</v>
      </c>
      <c r="Z5" s="100">
        <v>9.8086749683029044</v>
      </c>
      <c r="AA5" s="100">
        <v>10.21736975864885</v>
      </c>
      <c r="AB5" s="100">
        <v>10.626064548994794</v>
      </c>
      <c r="AC5" s="100">
        <v>11.034759339340736</v>
      </c>
      <c r="AD5" s="100">
        <v>11.443454129686678</v>
      </c>
      <c r="AE5" s="100">
        <v>11.852148920032619</v>
      </c>
      <c r="AF5" s="100">
        <v>12.260843710378557</v>
      </c>
      <c r="AG5" s="100">
        <v>12.669538500724496</v>
      </c>
      <c r="AH5" s="100">
        <v>13.078233291070433</v>
      </c>
      <c r="AI5" s="100">
        <v>13.486928081416368</v>
      </c>
      <c r="AJ5" s="100">
        <v>13.895622871762303</v>
      </c>
      <c r="AK5" s="100">
        <v>14.304317662108236</v>
      </c>
      <c r="AL5" s="100">
        <v>14.713012452454167</v>
      </c>
      <c r="AM5" s="101">
        <v>15.121707242800099</v>
      </c>
    </row>
    <row r="6" spans="1:39" x14ac:dyDescent="0.25">
      <c r="A6" t="s">
        <v>162</v>
      </c>
      <c r="B6" s="96">
        <v>4.5999999999999996</v>
      </c>
      <c r="C6" s="100">
        <v>5.9307863919216599</v>
      </c>
      <c r="D6" s="100">
        <v>7.2615727838433202</v>
      </c>
      <c r="E6" s="100">
        <v>8.5923591757649795</v>
      </c>
      <c r="F6" s="100">
        <v>9.9231455676866371</v>
      </c>
      <c r="G6" s="100">
        <v>11.253931959608295</v>
      </c>
      <c r="H6" s="100">
        <v>12.584718351529951</v>
      </c>
      <c r="I6" s="100">
        <v>13.915504743451605</v>
      </c>
      <c r="J6" s="100">
        <v>15.246291135373259</v>
      </c>
      <c r="K6" s="100">
        <v>16.577077527294911</v>
      </c>
      <c r="L6" s="100">
        <v>17.90786391921656</v>
      </c>
      <c r="M6" s="100">
        <v>19.238650311138205</v>
      </c>
      <c r="N6" s="100">
        <v>20.56943670305985</v>
      </c>
      <c r="O6" s="100">
        <v>21.900223094981492</v>
      </c>
      <c r="P6" s="100">
        <v>23.23100948690313</v>
      </c>
      <c r="Q6" s="100">
        <v>24.561795878824768</v>
      </c>
      <c r="R6" s="100">
        <v>25.892582270746402</v>
      </c>
      <c r="S6" s="100">
        <v>27.223368662668033</v>
      </c>
      <c r="T6" s="100">
        <v>28.554155054589664</v>
      </c>
      <c r="U6" s="100">
        <v>29.884941446511291</v>
      </c>
      <c r="V6" s="100">
        <v>31.215727838432919</v>
      </c>
      <c r="W6" s="100">
        <v>32.546514230354546</v>
      </c>
      <c r="X6" s="100">
        <v>33.877300622276167</v>
      </c>
      <c r="Y6" s="100">
        <v>35.20808701419778</v>
      </c>
      <c r="Z6" s="100">
        <v>36.538873406119393</v>
      </c>
      <c r="AA6" s="100">
        <v>37.869659798040999</v>
      </c>
      <c r="AB6" s="100">
        <v>39.200446189962598</v>
      </c>
      <c r="AC6" s="100">
        <v>40.531232581884197</v>
      </c>
      <c r="AD6" s="100">
        <v>41.862018973805789</v>
      </c>
      <c r="AE6" s="100">
        <v>43.192805365727374</v>
      </c>
      <c r="AF6" s="100">
        <v>44.523591757648958</v>
      </c>
      <c r="AG6" s="100">
        <v>45.854378149570536</v>
      </c>
      <c r="AH6" s="100">
        <v>47.185164541492107</v>
      </c>
      <c r="AI6" s="100">
        <v>48.515950933413677</v>
      </c>
      <c r="AJ6" s="100">
        <v>49.846737325335241</v>
      </c>
      <c r="AK6" s="100">
        <v>51.177523717256797</v>
      </c>
      <c r="AL6" s="100">
        <v>52.508310109178353</v>
      </c>
      <c r="AM6" s="101">
        <v>53.839096501099903</v>
      </c>
    </row>
    <row r="7" spans="1:39" x14ac:dyDescent="0.25">
      <c r="A7" t="s">
        <v>22</v>
      </c>
      <c r="B7" s="96">
        <v>1.5</v>
      </c>
      <c r="C7" s="100">
        <v>1.6764812488810923</v>
      </c>
      <c r="D7" s="100">
        <v>1.8529624977621846</v>
      </c>
      <c r="E7" s="100">
        <v>2.0294437466432766</v>
      </c>
      <c r="F7" s="100">
        <v>2.2059249955243683</v>
      </c>
      <c r="G7" s="100">
        <v>2.3824062444054595</v>
      </c>
      <c r="H7" s="100">
        <v>2.5588874932865506</v>
      </c>
      <c r="I7" s="100">
        <v>2.7353687421676414</v>
      </c>
      <c r="J7" s="100">
        <v>2.9118499910487317</v>
      </c>
      <c r="K7" s="100">
        <v>3.0883312399298219</v>
      </c>
      <c r="L7" s="100">
        <v>3.2648124888109118</v>
      </c>
      <c r="M7" s="100">
        <v>3.4412937376920012</v>
      </c>
      <c r="N7" s="100">
        <v>3.6177749865730906</v>
      </c>
      <c r="O7" s="100">
        <v>3.7942562354541796</v>
      </c>
      <c r="P7" s="100">
        <v>3.9707374843352681</v>
      </c>
      <c r="Q7" s="100">
        <v>4.1472187332163566</v>
      </c>
      <c r="R7" s="100">
        <v>4.3236999820974447</v>
      </c>
      <c r="S7" s="100">
        <v>4.5001812309785318</v>
      </c>
      <c r="T7" s="100">
        <v>4.6766624798596181</v>
      </c>
      <c r="U7" s="100">
        <v>4.8531437287407044</v>
      </c>
      <c r="V7" s="100">
        <v>5.0296249776217898</v>
      </c>
      <c r="W7" s="100">
        <v>5.2061062265028744</v>
      </c>
      <c r="X7" s="100">
        <v>5.3825874753839589</v>
      </c>
      <c r="Y7" s="100">
        <v>5.5590687242650425</v>
      </c>
      <c r="Z7" s="100">
        <v>5.7355499731461252</v>
      </c>
      <c r="AA7" s="100">
        <v>5.912031222027208</v>
      </c>
      <c r="AB7" s="100">
        <v>6.0885124709082898</v>
      </c>
      <c r="AC7" s="100">
        <v>6.2649937197893708</v>
      </c>
      <c r="AD7" s="100">
        <v>6.4414749686704518</v>
      </c>
      <c r="AE7" s="100">
        <v>6.6179562175515319</v>
      </c>
      <c r="AF7" s="100">
        <v>6.794437466432611</v>
      </c>
      <c r="AG7" s="100">
        <v>6.9709187153136902</v>
      </c>
      <c r="AH7" s="100">
        <v>7.1473999641947685</v>
      </c>
      <c r="AI7" s="100">
        <v>7.3238812130758459</v>
      </c>
      <c r="AJ7" s="100">
        <v>7.5003624619569234</v>
      </c>
      <c r="AK7" s="100">
        <v>7.6768437108379999</v>
      </c>
      <c r="AL7" s="100">
        <v>7.8533249597190755</v>
      </c>
      <c r="AM7" s="101">
        <v>8.0298062086001512</v>
      </c>
    </row>
    <row r="8" spans="1:39" x14ac:dyDescent="0.25">
      <c r="A8" t="s">
        <v>21</v>
      </c>
      <c r="B8" s="96">
        <v>2.1363670350000006</v>
      </c>
      <c r="C8" s="100">
        <v>2.1801960340540596</v>
      </c>
      <c r="D8" s="100">
        <v>2.2240250331081182</v>
      </c>
      <c r="E8" s="100">
        <v>2.2678540321621767</v>
      </c>
      <c r="F8" s="100">
        <v>2.3116830312162349</v>
      </c>
      <c r="G8" s="100">
        <v>2.355512030270293</v>
      </c>
      <c r="H8" s="100">
        <v>2.3993410293243507</v>
      </c>
      <c r="I8" s="100">
        <v>2.4431700283784079</v>
      </c>
      <c r="J8" s="100">
        <v>2.4869990274324651</v>
      </c>
      <c r="K8" s="100">
        <v>2.5308280264865219</v>
      </c>
      <c r="L8" s="100">
        <v>2.5746570255405783</v>
      </c>
      <c r="M8" s="100">
        <v>2.6184860245946346</v>
      </c>
      <c r="N8" s="100">
        <v>2.6623150236486905</v>
      </c>
      <c r="O8" s="100">
        <v>2.7061440227027465</v>
      </c>
      <c r="P8" s="100">
        <v>2.7499730217568019</v>
      </c>
      <c r="Q8" s="100">
        <v>2.7938020208108574</v>
      </c>
      <c r="R8" s="100">
        <v>2.8376310198649124</v>
      </c>
      <c r="S8" s="100">
        <v>2.881460018918967</v>
      </c>
      <c r="T8" s="100">
        <v>2.9252890179730215</v>
      </c>
      <c r="U8" s="100">
        <v>2.9691180170270757</v>
      </c>
      <c r="V8" s="100">
        <v>3.0129470160811294</v>
      </c>
      <c r="W8" s="100">
        <v>3.056776015135183</v>
      </c>
      <c r="X8" s="100">
        <v>3.1006050141892363</v>
      </c>
      <c r="Y8" s="100">
        <v>3.1444340132432891</v>
      </c>
      <c r="Z8" s="100">
        <v>3.1882630122973419</v>
      </c>
      <c r="AA8" s="100">
        <v>3.2320920113513942</v>
      </c>
      <c r="AB8" s="100">
        <v>3.2759210104054461</v>
      </c>
      <c r="AC8" s="100">
        <v>3.3197500094594981</v>
      </c>
      <c r="AD8" s="100">
        <v>3.3635790085135495</v>
      </c>
      <c r="AE8" s="100">
        <v>3.4074080075676005</v>
      </c>
      <c r="AF8" s="100">
        <v>3.4512370066216516</v>
      </c>
      <c r="AG8" s="100">
        <v>3.4950660056757021</v>
      </c>
      <c r="AH8" s="100">
        <v>3.5388950047297523</v>
      </c>
      <c r="AI8" s="100">
        <v>3.5827240037838024</v>
      </c>
      <c r="AJ8" s="100">
        <v>3.6265530028378521</v>
      </c>
      <c r="AK8" s="100">
        <v>3.6703820018919013</v>
      </c>
      <c r="AL8" s="100">
        <v>3.7142110009459506</v>
      </c>
      <c r="AM8" s="101">
        <v>3.7580399999999998</v>
      </c>
    </row>
    <row r="9" spans="1:39" x14ac:dyDescent="0.25">
      <c r="A9" t="s">
        <v>125</v>
      </c>
      <c r="B9" s="96">
        <v>1.7041322700000003</v>
      </c>
      <c r="C9" s="100">
        <v>2.2620215317973145</v>
      </c>
      <c r="D9" s="100">
        <v>2.8199107935946284</v>
      </c>
      <c r="E9" s="100">
        <v>3.3778000553919418</v>
      </c>
      <c r="F9" s="100">
        <v>3.9356893171892553</v>
      </c>
      <c r="G9" s="100">
        <v>4.4935785789865683</v>
      </c>
      <c r="H9" s="100">
        <v>5.0514678407838804</v>
      </c>
      <c r="I9" s="100">
        <v>5.6093571025811917</v>
      </c>
      <c r="J9" s="100">
        <v>6.1672463643785029</v>
      </c>
      <c r="K9" s="100">
        <v>6.7251356261758133</v>
      </c>
      <c r="L9" s="100">
        <v>7.2830248879731228</v>
      </c>
      <c r="M9" s="100">
        <v>7.8409141497704322</v>
      </c>
      <c r="N9" s="100">
        <v>8.3988034115677408</v>
      </c>
      <c r="O9" s="100">
        <v>8.9566926733650476</v>
      </c>
      <c r="P9" s="100">
        <v>9.5145819351623526</v>
      </c>
      <c r="Q9" s="100">
        <v>10.072471196959658</v>
      </c>
      <c r="R9" s="100">
        <v>10.630360458756961</v>
      </c>
      <c r="S9" s="100">
        <v>11.188249720554262</v>
      </c>
      <c r="T9" s="100">
        <v>11.746138982351564</v>
      </c>
      <c r="U9" s="100">
        <v>12.304028244148864</v>
      </c>
      <c r="V9" s="100">
        <v>12.861917505946163</v>
      </c>
      <c r="W9" s="100">
        <v>13.419806767743461</v>
      </c>
      <c r="X9" s="100">
        <v>13.977696029540759</v>
      </c>
      <c r="Y9" s="100">
        <v>14.535585291338055</v>
      </c>
      <c r="Z9" s="100">
        <v>15.09347455313535</v>
      </c>
      <c r="AA9" s="100">
        <v>15.651363814932644</v>
      </c>
      <c r="AB9" s="100">
        <v>16.209253076729937</v>
      </c>
      <c r="AC9" s="100">
        <v>16.767142338527226</v>
      </c>
      <c r="AD9" s="100">
        <v>17.325031600324515</v>
      </c>
      <c r="AE9" s="100">
        <v>17.8829208621218</v>
      </c>
      <c r="AF9" s="100">
        <v>18.440810123919082</v>
      </c>
      <c r="AG9" s="100">
        <v>18.998699385716364</v>
      </c>
      <c r="AH9" s="100">
        <v>19.556588647513642</v>
      </c>
      <c r="AI9" s="100">
        <v>20.114477909310917</v>
      </c>
      <c r="AJ9" s="100">
        <v>20.672367171108192</v>
      </c>
      <c r="AK9" s="100">
        <v>21.230256432905463</v>
      </c>
      <c r="AL9" s="100">
        <v>21.788145694702735</v>
      </c>
      <c r="AM9" s="101">
        <v>22.346034956500002</v>
      </c>
    </row>
    <row r="10" spans="1:39" x14ac:dyDescent="0.25">
      <c r="A10" t="s">
        <v>163</v>
      </c>
      <c r="B10" s="96">
        <v>68.521000000000015</v>
      </c>
      <c r="C10" s="100">
        <v>68.324868051573176</v>
      </c>
      <c r="D10" s="100">
        <v>68.128736103146338</v>
      </c>
      <c r="E10" s="100">
        <v>67.932604154719485</v>
      </c>
      <c r="F10" s="100">
        <v>67.736472206292618</v>
      </c>
      <c r="G10" s="100">
        <v>67.540340257865751</v>
      </c>
      <c r="H10" s="100">
        <v>67.344208309438869</v>
      </c>
      <c r="I10" s="100">
        <v>67.148076361011974</v>
      </c>
      <c r="J10" s="100">
        <v>66.951944412585078</v>
      </c>
      <c r="K10" s="100">
        <v>66.755812464158168</v>
      </c>
      <c r="L10" s="100">
        <v>66.559680515731245</v>
      </c>
      <c r="M10" s="100">
        <v>66.363548567304321</v>
      </c>
      <c r="N10" s="100">
        <v>66.167416618877382</v>
      </c>
      <c r="O10" s="100">
        <v>65.97128467045043</v>
      </c>
      <c r="P10" s="100">
        <v>65.775152722023478</v>
      </c>
      <c r="Q10" s="100">
        <v>65.579020773596511</v>
      </c>
      <c r="R10" s="100">
        <v>65.382888825169545</v>
      </c>
      <c r="S10" s="100">
        <v>65.186756876742564</v>
      </c>
      <c r="T10" s="100">
        <v>64.990624928315583</v>
      </c>
      <c r="U10" s="100">
        <v>64.794492979888588</v>
      </c>
      <c r="V10" s="100">
        <v>64.598361031461579</v>
      </c>
      <c r="W10" s="100">
        <v>64.40222908303457</v>
      </c>
      <c r="X10" s="100">
        <v>64.206097134607546</v>
      </c>
      <c r="Y10" s="100">
        <v>64.009965186180509</v>
      </c>
      <c r="Z10" s="100">
        <v>63.813833237753464</v>
      </c>
      <c r="AA10" s="100">
        <v>63.617701289326419</v>
      </c>
      <c r="AB10" s="100">
        <v>63.421569340899367</v>
      </c>
      <c r="AC10" s="100">
        <v>63.225437392472308</v>
      </c>
      <c r="AD10" s="100">
        <v>63.029305444045249</v>
      </c>
      <c r="AE10" s="100">
        <v>62.833173495618183</v>
      </c>
      <c r="AF10" s="100">
        <v>62.63704154719111</v>
      </c>
      <c r="AG10" s="100">
        <v>62.440909598764037</v>
      </c>
      <c r="AH10" s="100">
        <v>62.244777650336957</v>
      </c>
      <c r="AI10" s="100">
        <v>62.048645701909869</v>
      </c>
      <c r="AJ10" s="100">
        <v>61.852513753482782</v>
      </c>
      <c r="AK10" s="100">
        <v>61.656381805055688</v>
      </c>
      <c r="AL10" s="100">
        <v>61.460249856628593</v>
      </c>
      <c r="AM10" s="101">
        <v>61.264117908201499</v>
      </c>
    </row>
    <row r="11" spans="1:39" x14ac:dyDescent="0.25">
      <c r="A11" t="s">
        <v>18</v>
      </c>
      <c r="B11" s="96">
        <v>1.2025420000000004E-2</v>
      </c>
      <c r="C11" s="100">
        <v>4.3662570810811589E-2</v>
      </c>
      <c r="D11" s="100">
        <v>7.529972162162317E-2</v>
      </c>
      <c r="E11" s="100">
        <v>0.10693687243243474</v>
      </c>
      <c r="F11" s="100">
        <v>0.1385740232432463</v>
      </c>
      <c r="G11" s="100">
        <v>0.17021117405405783</v>
      </c>
      <c r="H11" s="100">
        <v>0.20184832486486937</v>
      </c>
      <c r="I11" s="100">
        <v>0.23348547567568087</v>
      </c>
      <c r="J11" s="100">
        <v>0.26512262648649237</v>
      </c>
      <c r="K11" s="100">
        <v>0.29675977729730385</v>
      </c>
      <c r="L11" s="100">
        <v>0.32839692810811527</v>
      </c>
      <c r="M11" s="100">
        <v>0.36003407891892664</v>
      </c>
      <c r="N11" s="100">
        <v>0.391671229729738</v>
      </c>
      <c r="O11" s="100">
        <v>0.42330838054054931</v>
      </c>
      <c r="P11" s="100">
        <v>0.45494553135136057</v>
      </c>
      <c r="Q11" s="100">
        <v>0.48658268216217182</v>
      </c>
      <c r="R11" s="100">
        <v>0.51821983297298302</v>
      </c>
      <c r="S11" s="100">
        <v>0.54985698378379411</v>
      </c>
      <c r="T11" s="100">
        <v>0.58149413459460508</v>
      </c>
      <c r="U11" s="100">
        <v>0.61313128540541606</v>
      </c>
      <c r="V11" s="100">
        <v>0.64476843621622693</v>
      </c>
      <c r="W11" s="100">
        <v>0.67640558702703768</v>
      </c>
      <c r="X11" s="100">
        <v>0.70804273783784843</v>
      </c>
      <c r="Y11" s="100">
        <v>0.73967988864865908</v>
      </c>
      <c r="Z11" s="100">
        <v>0.77131703945946961</v>
      </c>
      <c r="AA11" s="100">
        <v>0.80295419027028014</v>
      </c>
      <c r="AB11" s="100">
        <v>0.83459134108109057</v>
      </c>
      <c r="AC11" s="100">
        <v>0.86622849189190088</v>
      </c>
      <c r="AD11" s="100">
        <v>0.89786564270271119</v>
      </c>
      <c r="AE11" s="100">
        <v>0.92950279351352139</v>
      </c>
      <c r="AF11" s="100">
        <v>0.96113994432433159</v>
      </c>
      <c r="AG11" s="100">
        <v>0.99277709513514167</v>
      </c>
      <c r="AH11" s="100">
        <v>1.0244142459459518</v>
      </c>
      <c r="AI11" s="100">
        <v>1.0560513967567617</v>
      </c>
      <c r="AJ11" s="100">
        <v>1.0876885475675715</v>
      </c>
      <c r="AK11" s="100">
        <v>1.1193256983783813</v>
      </c>
      <c r="AL11" s="100">
        <v>1.1509628491891908</v>
      </c>
      <c r="AM11" s="101">
        <v>1.1826000000000001</v>
      </c>
    </row>
    <row r="12" spans="1:39" x14ac:dyDescent="0.25">
      <c r="A12" t="s">
        <v>164</v>
      </c>
      <c r="B12" s="96">
        <v>0.41868</v>
      </c>
      <c r="C12" s="100">
        <v>0.42044206054054112</v>
      </c>
      <c r="D12" s="100">
        <v>0.42220412108108224</v>
      </c>
      <c r="E12" s="100">
        <v>0.42396618162162336</v>
      </c>
      <c r="F12" s="100">
        <v>0.42572824216216443</v>
      </c>
      <c r="G12" s="100">
        <v>0.42749030270270544</v>
      </c>
      <c r="H12" s="100">
        <v>0.42925236324324645</v>
      </c>
      <c r="I12" s="100">
        <v>0.4310144237837874</v>
      </c>
      <c r="J12" s="100">
        <v>0.43277648432432836</v>
      </c>
      <c r="K12" s="100">
        <v>0.43453854486486926</v>
      </c>
      <c r="L12" s="100">
        <v>0.43630060540541016</v>
      </c>
      <c r="M12" s="100">
        <v>0.438062665945951</v>
      </c>
      <c r="N12" s="100">
        <v>0.43982472648649179</v>
      </c>
      <c r="O12" s="100">
        <v>0.44158678702703258</v>
      </c>
      <c r="P12" s="100">
        <v>0.44334884756757331</v>
      </c>
      <c r="Q12" s="100">
        <v>0.44511090810811399</v>
      </c>
      <c r="R12" s="100">
        <v>0.44687296864865467</v>
      </c>
      <c r="S12" s="100">
        <v>0.44863502918919529</v>
      </c>
      <c r="T12" s="100">
        <v>0.45039708972973586</v>
      </c>
      <c r="U12" s="100">
        <v>0.45215915027027642</v>
      </c>
      <c r="V12" s="100">
        <v>0.45392121081081693</v>
      </c>
      <c r="W12" s="100">
        <v>0.45568327135135739</v>
      </c>
      <c r="X12" s="100">
        <v>0.45744533189189784</v>
      </c>
      <c r="Y12" s="100">
        <v>0.45920739243243824</v>
      </c>
      <c r="Z12" s="100">
        <v>0.46096945297297859</v>
      </c>
      <c r="AA12" s="100">
        <v>0.46273151351351893</v>
      </c>
      <c r="AB12" s="100">
        <v>0.46449357405405922</v>
      </c>
      <c r="AC12" s="100">
        <v>0.46625563459459946</v>
      </c>
      <c r="AD12" s="100">
        <v>0.46801769513513969</v>
      </c>
      <c r="AE12" s="100">
        <v>0.46977975567567987</v>
      </c>
      <c r="AF12" s="100">
        <v>0.47154181621621999</v>
      </c>
      <c r="AG12" s="100">
        <v>0.47330387675676011</v>
      </c>
      <c r="AH12" s="100">
        <v>0.47506593729730018</v>
      </c>
      <c r="AI12" s="100">
        <v>0.47682799783784019</v>
      </c>
      <c r="AJ12" s="100">
        <v>0.4785900583783802</v>
      </c>
      <c r="AK12" s="100">
        <v>0.48035211891892016</v>
      </c>
      <c r="AL12" s="100">
        <v>0.48211417945946011</v>
      </c>
      <c r="AM12" s="101">
        <v>0.48387624000000001</v>
      </c>
    </row>
    <row r="13" spans="1:39" x14ac:dyDescent="0.25">
      <c r="A13" t="s">
        <v>165</v>
      </c>
      <c r="B13" s="96">
        <v>0</v>
      </c>
      <c r="C13" s="100">
        <v>1.5556856787662335E-58</v>
      </c>
      <c r="D13" s="100">
        <v>3.0889942352583072E-58</v>
      </c>
      <c r="E13" s="100">
        <v>4.5890589828720942E-58</v>
      </c>
      <c r="F13" s="100">
        <v>6.0453304796642784E-58</v>
      </c>
      <c r="G13" s="100">
        <v>7.4476501187738827E-58</v>
      </c>
      <c r="H13" s="100">
        <v>8.786320378674756E-58</v>
      </c>
      <c r="I13" s="100">
        <v>1.0052171252038687E-57</v>
      </c>
      <c r="J13" s="100">
        <v>1.1236622402933414E-57</v>
      </c>
      <c r="K13" s="100">
        <v>1.2331740636040156E-57</v>
      </c>
      <c r="L13" s="100">
        <v>1.3330292298285659E-57</v>
      </c>
      <c r="M13" s="100">
        <v>1.4225790272460174E-57</v>
      </c>
      <c r="N13" s="100">
        <v>1.5012535263735819E-57</v>
      </c>
      <c r="O13" s="100">
        <v>1.5685651123196583E-57</v>
      </c>
      <c r="P13" s="100">
        <v>1.62411139972176E-57</v>
      </c>
      <c r="Q13" s="100">
        <v>1.667577513745487E-57</v>
      </c>
      <c r="R13" s="100">
        <v>1.6987377252988067E-57</v>
      </c>
      <c r="S13" s="100">
        <v>1.7174564333456287E-57</v>
      </c>
      <c r="T13" s="100">
        <v>1.7236884919495159E-57</v>
      </c>
      <c r="U13" s="100">
        <v>1.7174788844081526E-57</v>
      </c>
      <c r="V13" s="100">
        <v>1.6989617515179572E-57</v>
      </c>
      <c r="W13" s="100">
        <v>1.6683587856027355E-57</v>
      </c>
      <c r="X13" s="100">
        <v>1.6259770064180402E-57</v>
      </c>
      <c r="Y13" s="100">
        <v>1.572205939372612E-57</v>
      </c>
      <c r="Z13" s="100">
        <v>1.5075142206598239E-57</v>
      </c>
      <c r="AA13" s="100">
        <v>1.4324456578368612E-57</v>
      </c>
      <c r="AB13" s="100">
        <v>1.3476147781005746E-57</v>
      </c>
      <c r="AC13" s="100">
        <v>1.2537018999615172E-57</v>
      </c>
      <c r="AD13" s="100">
        <v>1.1514477671886408E-57</v>
      </c>
      <c r="AE13" s="100">
        <v>1.0416477867657394E-57</v>
      </c>
      <c r="AF13" s="100">
        <v>9.2514591514847471E-58</v>
      </c>
      <c r="AG13" s="100">
        <v>8.0282823932173783E-58</v>
      </c>
      <c r="AH13" s="100">
        <v>6.7561630101767914E-58</v>
      </c>
      <c r="AI13" s="100">
        <v>5.4446021395413023E-58</v>
      </c>
      <c r="AJ13" s="100">
        <v>4.1033162508315323E-58</v>
      </c>
      <c r="AK13" s="100">
        <v>2.7421657159462066E-58</v>
      </c>
      <c r="AL13" s="100">
        <v>1.3710828579731033E-58</v>
      </c>
      <c r="AM13" s="101">
        <v>0</v>
      </c>
    </row>
    <row r="14" spans="1:39" x14ac:dyDescent="0.25">
      <c r="A14" t="s">
        <v>67</v>
      </c>
      <c r="B14" s="96">
        <v>403.7</v>
      </c>
      <c r="C14" s="100">
        <v>393.98693712702925</v>
      </c>
      <c r="D14" s="100">
        <v>384.27387425405846</v>
      </c>
      <c r="E14" s="100">
        <v>374.56081138108772</v>
      </c>
      <c r="F14" s="100">
        <v>364.84774850811698</v>
      </c>
      <c r="G14" s="100">
        <v>355.1346856351463</v>
      </c>
      <c r="H14" s="100">
        <v>345.42162276217567</v>
      </c>
      <c r="I14" s="100">
        <v>335.70855988920505</v>
      </c>
      <c r="J14" s="100">
        <v>325.99549701623448</v>
      </c>
      <c r="K14" s="100">
        <v>316.28243414326397</v>
      </c>
      <c r="L14" s="100">
        <v>306.56937127029346</v>
      </c>
      <c r="M14" s="100">
        <v>296.85630839732301</v>
      </c>
      <c r="N14" s="100">
        <v>287.14324552435261</v>
      </c>
      <c r="O14" s="100">
        <v>277.43018265138221</v>
      </c>
      <c r="P14" s="100">
        <v>267.71711977841187</v>
      </c>
      <c r="Q14" s="100">
        <v>258.00405690544159</v>
      </c>
      <c r="R14" s="100">
        <v>248.29099403247133</v>
      </c>
      <c r="S14" s="100">
        <v>238.57793115950108</v>
      </c>
      <c r="T14" s="100">
        <v>228.86486828653085</v>
      </c>
      <c r="U14" s="100">
        <v>219.15180541356065</v>
      </c>
      <c r="V14" s="100">
        <v>209.43874254059045</v>
      </c>
      <c r="W14" s="100">
        <v>199.72567966762028</v>
      </c>
      <c r="X14" s="100">
        <v>190.01261679465014</v>
      </c>
      <c r="Y14" s="100">
        <v>180.29955392168</v>
      </c>
      <c r="Z14" s="100">
        <v>170.58649104870989</v>
      </c>
      <c r="AA14" s="100">
        <v>160.8734281757398</v>
      </c>
      <c r="AB14" s="100">
        <v>151.16036530276972</v>
      </c>
      <c r="AC14" s="100">
        <v>141.44730242979966</v>
      </c>
      <c r="AD14" s="100">
        <v>131.73423955682964</v>
      </c>
      <c r="AE14" s="100">
        <v>122.02117668385962</v>
      </c>
      <c r="AF14" s="100">
        <v>112.30811381088961</v>
      </c>
      <c r="AG14" s="100">
        <v>102.59505093791961</v>
      </c>
      <c r="AH14" s="100">
        <v>92.881988064949624</v>
      </c>
      <c r="AI14" s="100">
        <v>83.168925191979639</v>
      </c>
      <c r="AJ14" s="100">
        <v>73.455862319009668</v>
      </c>
      <c r="AK14" s="100">
        <v>63.742799446039712</v>
      </c>
      <c r="AL14" s="100">
        <v>54.029736573069755</v>
      </c>
      <c r="AM14" s="101">
        <v>44.316673700099805</v>
      </c>
    </row>
    <row r="15" spans="1:39" x14ac:dyDescent="0.25">
      <c r="A15" t="s">
        <v>166</v>
      </c>
      <c r="B15" s="96">
        <v>19.5</v>
      </c>
      <c r="C15" s="100">
        <v>20.137764693554026</v>
      </c>
      <c r="D15" s="100">
        <v>20.775529387108051</v>
      </c>
      <c r="E15" s="100">
        <v>21.413294080662077</v>
      </c>
      <c r="F15" s="100">
        <v>22.051058774216106</v>
      </c>
      <c r="G15" s="100">
        <v>22.688823467770135</v>
      </c>
      <c r="H15" s="100">
        <v>23.326588161324167</v>
      </c>
      <c r="I15" s="100">
        <v>23.964352854878204</v>
      </c>
      <c r="J15" s="100">
        <v>24.60211754843224</v>
      </c>
      <c r="K15" s="100">
        <v>25.23988224198628</v>
      </c>
      <c r="L15" s="100">
        <v>25.877646935540323</v>
      </c>
      <c r="M15" s="100">
        <v>26.515411629094366</v>
      </c>
      <c r="N15" s="100">
        <v>27.153176322648413</v>
      </c>
      <c r="O15" s="100">
        <v>27.790941016202463</v>
      </c>
      <c r="P15" s="100">
        <v>28.428705709756514</v>
      </c>
      <c r="Q15" s="100">
        <v>29.066470403310568</v>
      </c>
      <c r="R15" s="100">
        <v>29.704235096864625</v>
      </c>
      <c r="S15" s="100">
        <v>30.341999790418683</v>
      </c>
      <c r="T15" s="100">
        <v>30.979764483972744</v>
      </c>
      <c r="U15" s="100">
        <v>31.617529177526809</v>
      </c>
      <c r="V15" s="100">
        <v>32.255293871080873</v>
      </c>
      <c r="W15" s="100">
        <v>32.893058564634941</v>
      </c>
      <c r="X15" s="100">
        <v>33.530823258189017</v>
      </c>
      <c r="Y15" s="100">
        <v>34.168587951743099</v>
      </c>
      <c r="Z15" s="100">
        <v>34.806352645297181</v>
      </c>
      <c r="AA15" s="100">
        <v>35.444117338851271</v>
      </c>
      <c r="AB15" s="100">
        <v>36.081882032405368</v>
      </c>
      <c r="AC15" s="100">
        <v>36.719646725959464</v>
      </c>
      <c r="AD15" s="100">
        <v>37.357411419513568</v>
      </c>
      <c r="AE15" s="100">
        <v>37.995176113067679</v>
      </c>
      <c r="AF15" s="100">
        <v>38.632940806621789</v>
      </c>
      <c r="AG15" s="100">
        <v>39.270705500175907</v>
      </c>
      <c r="AH15" s="100">
        <v>39.908470193730032</v>
      </c>
      <c r="AI15" s="100">
        <v>40.546234887284157</v>
      </c>
      <c r="AJ15" s="100">
        <v>41.183999580838289</v>
      </c>
      <c r="AK15" s="100">
        <v>41.821764274392422</v>
      </c>
      <c r="AL15" s="100">
        <v>42.459528967946554</v>
      </c>
      <c r="AM15" s="101">
        <v>43.097293661500693</v>
      </c>
    </row>
    <row r="16" spans="1:39" x14ac:dyDescent="0.25">
      <c r="A16" t="s">
        <v>167</v>
      </c>
      <c r="B16" s="96">
        <v>5.4</v>
      </c>
      <c r="C16" s="100">
        <v>5.2540540540540608</v>
      </c>
      <c r="D16" s="100">
        <v>5.1081081081081212</v>
      </c>
      <c r="E16" s="100">
        <v>4.9621621621621808</v>
      </c>
      <c r="F16" s="100">
        <v>4.8162162162162403</v>
      </c>
      <c r="G16" s="100">
        <v>4.670270270270299</v>
      </c>
      <c r="H16" s="100">
        <v>4.5243243243243567</v>
      </c>
      <c r="I16" s="100">
        <v>4.3783783783784145</v>
      </c>
      <c r="J16" s="100">
        <v>4.2324324324324714</v>
      </c>
      <c r="K16" s="100">
        <v>4.0864864864865282</v>
      </c>
      <c r="L16" s="100">
        <v>3.9405405405405842</v>
      </c>
      <c r="M16" s="100">
        <v>3.7945945945946398</v>
      </c>
      <c r="N16" s="100">
        <v>3.6486486486486953</v>
      </c>
      <c r="O16" s="100">
        <v>3.5027027027027504</v>
      </c>
      <c r="P16" s="100">
        <v>3.3567567567568051</v>
      </c>
      <c r="Q16" s="100">
        <v>3.2108108108108597</v>
      </c>
      <c r="R16" s="100">
        <v>3.0648648648649139</v>
      </c>
      <c r="S16" s="100">
        <v>2.9189189189189677</v>
      </c>
      <c r="T16" s="100">
        <v>2.7729729729730215</v>
      </c>
      <c r="U16" s="100">
        <v>2.6270270270270748</v>
      </c>
      <c r="V16" s="100">
        <v>2.4810810810811277</v>
      </c>
      <c r="W16" s="100">
        <v>2.3351351351351806</v>
      </c>
      <c r="X16" s="100">
        <v>2.189189189189233</v>
      </c>
      <c r="Y16" s="100">
        <v>2.043243243243285</v>
      </c>
      <c r="Z16" s="100">
        <v>1.8972972972973368</v>
      </c>
      <c r="AA16" s="100">
        <v>1.7513513513513885</v>
      </c>
      <c r="AB16" s="100">
        <v>1.6054054054054401</v>
      </c>
      <c r="AC16" s="100">
        <v>1.4594594594594914</v>
      </c>
      <c r="AD16" s="100">
        <v>1.3135135135135427</v>
      </c>
      <c r="AE16" s="100">
        <v>1.1675675675675938</v>
      </c>
      <c r="AF16" s="100">
        <v>1.0216216216216449</v>
      </c>
      <c r="AG16" s="100">
        <v>0.87567567567569582</v>
      </c>
      <c r="AH16" s="100">
        <v>0.72972972972974659</v>
      </c>
      <c r="AI16" s="100">
        <v>0.58378378378379736</v>
      </c>
      <c r="AJ16" s="100">
        <v>0.43783783783784802</v>
      </c>
      <c r="AK16" s="100">
        <v>0.29189189189189868</v>
      </c>
      <c r="AL16" s="100">
        <v>0.14594594594594934</v>
      </c>
      <c r="AM16" s="101">
        <v>0</v>
      </c>
    </row>
    <row r="17" spans="1:39" x14ac:dyDescent="0.25">
      <c r="A17" t="s">
        <v>168</v>
      </c>
      <c r="B17" s="96">
        <v>19.8</v>
      </c>
      <c r="C17" s="100">
        <v>19.26486486486489</v>
      </c>
      <c r="D17" s="100">
        <v>18.729729729729776</v>
      </c>
      <c r="E17" s="100">
        <v>18.194594594594662</v>
      </c>
      <c r="F17" s="100">
        <v>17.659459459459544</v>
      </c>
      <c r="G17" s="100">
        <v>17.124324324324427</v>
      </c>
      <c r="H17" s="100">
        <v>16.589189189189305</v>
      </c>
      <c r="I17" s="100">
        <v>16.054054054054184</v>
      </c>
      <c r="J17" s="100">
        <v>15.518918918919059</v>
      </c>
      <c r="K17" s="100">
        <v>14.983783783783933</v>
      </c>
      <c r="L17" s="100">
        <v>14.448648648648806</v>
      </c>
      <c r="M17" s="100">
        <v>13.913513513513678</v>
      </c>
      <c r="N17" s="100">
        <v>13.378378378378548</v>
      </c>
      <c r="O17" s="100">
        <v>12.843243243243418</v>
      </c>
      <c r="P17" s="100">
        <v>12.308108108108286</v>
      </c>
      <c r="Q17" s="100">
        <v>11.772972972973152</v>
      </c>
      <c r="R17" s="100">
        <v>11.237837837838018</v>
      </c>
      <c r="S17" s="100">
        <v>10.702702702702883</v>
      </c>
      <c r="T17" s="100">
        <v>10.167567567567746</v>
      </c>
      <c r="U17" s="100">
        <v>9.6324324324326085</v>
      </c>
      <c r="V17" s="100">
        <v>9.0972972972974695</v>
      </c>
      <c r="W17" s="100">
        <v>8.5621621621623287</v>
      </c>
      <c r="X17" s="100">
        <v>8.027027027027188</v>
      </c>
      <c r="Y17" s="100">
        <v>7.4918918918920454</v>
      </c>
      <c r="Z17" s="100">
        <v>6.956756756756902</v>
      </c>
      <c r="AA17" s="100">
        <v>6.4216216216217585</v>
      </c>
      <c r="AB17" s="100">
        <v>5.8864864864866142</v>
      </c>
      <c r="AC17" s="100">
        <v>5.351351351351469</v>
      </c>
      <c r="AD17" s="100">
        <v>4.8162162162163238</v>
      </c>
      <c r="AE17" s="100">
        <v>4.2810810810811777</v>
      </c>
      <c r="AF17" s="100">
        <v>3.7459459459460311</v>
      </c>
      <c r="AG17" s="100">
        <v>3.2108108108108846</v>
      </c>
      <c r="AH17" s="100">
        <v>2.6756756756757376</v>
      </c>
      <c r="AI17" s="100">
        <v>2.1405405405405906</v>
      </c>
      <c r="AJ17" s="100">
        <v>1.6054054054054432</v>
      </c>
      <c r="AK17" s="100">
        <v>1.0702702702702955</v>
      </c>
      <c r="AL17" s="100">
        <v>0.53513513513514777</v>
      </c>
      <c r="AM17" s="101">
        <v>0</v>
      </c>
    </row>
    <row r="18" spans="1:39" ht="15.75" thickBot="1" x14ac:dyDescent="0.3">
      <c r="A18" s="85" t="s">
        <v>100</v>
      </c>
      <c r="B18" s="97">
        <v>543.1922047249999</v>
      </c>
      <c r="C18" s="102">
        <v>540.324039073427</v>
      </c>
      <c r="D18" s="102">
        <v>537.45587342185388</v>
      </c>
      <c r="E18" s="102">
        <v>534.58770777028076</v>
      </c>
      <c r="F18" s="102">
        <v>531.71954211870764</v>
      </c>
      <c r="G18" s="102">
        <v>528.85137646713451</v>
      </c>
      <c r="H18" s="102">
        <v>525.98321081556162</v>
      </c>
      <c r="I18" s="102">
        <v>523.1150451639885</v>
      </c>
      <c r="J18" s="102">
        <v>520.2468795124156</v>
      </c>
      <c r="K18" s="102">
        <v>517.37871386084259</v>
      </c>
      <c r="L18" s="102">
        <v>514.51054820926959</v>
      </c>
      <c r="M18" s="102">
        <v>511.64238255769664</v>
      </c>
      <c r="N18" s="102">
        <v>508.77421690612374</v>
      </c>
      <c r="O18" s="102">
        <v>505.9060512545509</v>
      </c>
      <c r="P18" s="102">
        <v>503.03788560297801</v>
      </c>
      <c r="Q18" s="102">
        <v>500.16971995140517</v>
      </c>
      <c r="R18" s="102">
        <v>497.30155429983228</v>
      </c>
      <c r="S18" s="102">
        <v>494.43338864825944</v>
      </c>
      <c r="T18" s="102">
        <v>491.56522299668666</v>
      </c>
      <c r="U18" s="102">
        <v>488.69705734511376</v>
      </c>
      <c r="V18" s="102">
        <v>485.82889169354087</v>
      </c>
      <c r="W18" s="102">
        <v>482.96072604196803</v>
      </c>
      <c r="X18" s="102">
        <v>480.09256039039514</v>
      </c>
      <c r="Y18" s="102">
        <v>477.22439473882235</v>
      </c>
      <c r="Z18" s="102">
        <v>474.35622908724935</v>
      </c>
      <c r="AA18" s="102">
        <v>471.48806343567657</v>
      </c>
      <c r="AB18" s="102">
        <v>468.61989778410373</v>
      </c>
      <c r="AC18" s="102">
        <v>465.75173213253078</v>
      </c>
      <c r="AD18" s="102">
        <v>462.88356648095794</v>
      </c>
      <c r="AE18" s="102">
        <v>460.01540082938499</v>
      </c>
      <c r="AF18" s="102">
        <v>457.14723517781209</v>
      </c>
      <c r="AG18" s="102">
        <v>454.27906952623914</v>
      </c>
      <c r="AH18" s="102">
        <v>451.41090387466613</v>
      </c>
      <c r="AI18" s="102">
        <v>448.54273822309329</v>
      </c>
      <c r="AJ18" s="102">
        <v>445.67457257152023</v>
      </c>
      <c r="AK18" s="102">
        <v>442.80640691994722</v>
      </c>
      <c r="AL18" s="102">
        <v>439.9382412683741</v>
      </c>
      <c r="AM18" s="102">
        <v>437.07007561680109</v>
      </c>
    </row>
    <row r="19" spans="1:39" ht="15.75" thickBot="1" x14ac:dyDescent="0.3">
      <c r="A19" s="98" t="s">
        <v>169</v>
      </c>
      <c r="B19" s="99">
        <v>0.17450950860568801</v>
      </c>
      <c r="C19" s="103">
        <v>0.1881841468839533</v>
      </c>
      <c r="D19" s="103">
        <v>0.20200473622442477</v>
      </c>
      <c r="E19" s="103">
        <v>0.21597362579348228</v>
      </c>
      <c r="F19" s="103">
        <v>0.23009321544436473</v>
      </c>
      <c r="G19" s="103">
        <v>0.24436595709164161</v>
      </c>
      <c r="H19" s="103">
        <v>0.25879435613065543</v>
      </c>
      <c r="I19" s="103">
        <v>0.27338097290365887</v>
      </c>
      <c r="J19" s="103">
        <v>0.28812842421445028</v>
      </c>
      <c r="K19" s="103">
        <v>0.30303938489338778</v>
      </c>
      <c r="L19" s="103">
        <v>0.31811658941475052</v>
      </c>
      <c r="M19" s="103">
        <v>0.3333628335684975</v>
      </c>
      <c r="N19" s="103">
        <v>0.34878097618857473</v>
      </c>
      <c r="O19" s="103">
        <v>0.36437394094001119</v>
      </c>
      <c r="P19" s="103">
        <v>0.38014471816715278</v>
      </c>
      <c r="Q19" s="103">
        <v>0.39609636680548599</v>
      </c>
      <c r="R19" s="103">
        <v>0.41223201635962103</v>
      </c>
      <c r="S19" s="103">
        <v>0.42855486895011852</v>
      </c>
      <c r="T19" s="103">
        <v>0.4450682014319734</v>
      </c>
      <c r="U19" s="103">
        <v>0.46177536758769883</v>
      </c>
      <c r="V19" s="103">
        <v>0.47867980039809316</v>
      </c>
      <c r="W19" s="103">
        <v>0.49578501439392025</v>
      </c>
      <c r="X19" s="103">
        <v>0.51309460809188534</v>
      </c>
      <c r="Y19" s="103">
        <v>0.53061226651845395</v>
      </c>
      <c r="Z19" s="103">
        <v>0.54834176382523192</v>
      </c>
      <c r="AA19" s="103">
        <v>0.56628696599980388</v>
      </c>
      <c r="AB19" s="103">
        <v>0.58445183367612263</v>
      </c>
      <c r="AC19" s="103">
        <v>0.60284042504873769</v>
      </c>
      <c r="AD19" s="103">
        <v>0.62145689889536981</v>
      </c>
      <c r="AE19" s="103">
        <v>0.64030551771255739</v>
      </c>
      <c r="AF19" s="103">
        <v>0.65939065096934346</v>
      </c>
      <c r="AG19" s="103">
        <v>0.67871677848421785</v>
      </c>
      <c r="AH19" s="103">
        <v>0.69828849393079839</v>
      </c>
      <c r="AI19" s="103">
        <v>0.71811050847801139</v>
      </c>
      <c r="AJ19" s="103">
        <v>0.73818765457083291</v>
      </c>
      <c r="AK19" s="103">
        <v>0.75852488985796207</v>
      </c>
      <c r="AL19" s="103">
        <v>0.77912730127313301</v>
      </c>
      <c r="AM19" s="103">
        <v>0.8000001092771214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0" sqref="B10"/>
    </sheetView>
  </sheetViews>
  <sheetFormatPr baseColWidth="10" defaultRowHeight="15" x14ac:dyDescent="0.25"/>
  <cols>
    <col min="1" max="1" width="61.5703125" bestFit="1" customWidth="1"/>
    <col min="2" max="2" width="34.28515625" customWidth="1"/>
  </cols>
  <sheetData>
    <row r="1" spans="1:6" x14ac:dyDescent="0.25">
      <c r="A1" t="s">
        <v>47</v>
      </c>
    </row>
    <row r="2" spans="1:6" x14ac:dyDescent="0.25">
      <c r="A2" s="142" t="s">
        <v>48</v>
      </c>
      <c r="B2" s="142"/>
      <c r="C2" s="142"/>
      <c r="D2" s="142"/>
      <c r="E2" s="142"/>
      <c r="F2" s="142"/>
    </row>
    <row r="4" spans="1:6" x14ac:dyDescent="0.25">
      <c r="A4" t="s">
        <v>33</v>
      </c>
      <c r="B4">
        <v>648</v>
      </c>
    </row>
    <row r="5" spans="1:6" x14ac:dyDescent="0.25">
      <c r="A5" t="s">
        <v>34</v>
      </c>
      <c r="B5">
        <v>303</v>
      </c>
    </row>
    <row r="6" spans="1:6" x14ac:dyDescent="0.25">
      <c r="A6" t="s">
        <v>35</v>
      </c>
      <c r="B6">
        <v>766</v>
      </c>
    </row>
    <row r="7" spans="1:6" x14ac:dyDescent="0.25">
      <c r="A7" t="s">
        <v>36</v>
      </c>
      <c r="B7">
        <v>351</v>
      </c>
    </row>
    <row r="8" spans="1:6" x14ac:dyDescent="0.25">
      <c r="A8" t="s">
        <v>37</v>
      </c>
      <c r="B8">
        <v>652</v>
      </c>
    </row>
    <row r="9" spans="1:6" x14ac:dyDescent="0.25">
      <c r="A9" t="s">
        <v>38</v>
      </c>
      <c r="B9">
        <v>17</v>
      </c>
    </row>
    <row r="10" spans="1:6" x14ac:dyDescent="0.25">
      <c r="A10" t="s">
        <v>39</v>
      </c>
      <c r="B10">
        <v>670</v>
      </c>
    </row>
    <row r="11" spans="1:6" x14ac:dyDescent="0.25">
      <c r="A11" t="s">
        <v>40</v>
      </c>
      <c r="B11">
        <v>454</v>
      </c>
    </row>
    <row r="13" spans="1:6" x14ac:dyDescent="0.25">
      <c r="A13" t="s">
        <v>41</v>
      </c>
      <c r="B13">
        <f>B4+B5+B6/2</f>
        <v>1334</v>
      </c>
      <c r="C13" s="20">
        <f>B13/$B$15</f>
        <v>0.46675997200839747</v>
      </c>
    </row>
    <row r="14" spans="1:6" x14ac:dyDescent="0.25">
      <c r="A14" t="s">
        <v>42</v>
      </c>
      <c r="B14">
        <f>B6/2+B9+B10+B11</f>
        <v>1524</v>
      </c>
      <c r="C14" s="20">
        <f>B14/$B$15</f>
        <v>0.53324002799160253</v>
      </c>
    </row>
    <row r="15" spans="1:6" x14ac:dyDescent="0.25">
      <c r="A15" t="s">
        <v>43</v>
      </c>
      <c r="B15">
        <f>B14+B13</f>
        <v>2858</v>
      </c>
      <c r="C15" s="21"/>
    </row>
    <row r="16" spans="1:6" x14ac:dyDescent="0.25">
      <c r="A16" t="s">
        <v>53</v>
      </c>
      <c r="B16" s="20">
        <f>B10/B14</f>
        <v>0.43963254593175854</v>
      </c>
      <c r="C16" s="21"/>
    </row>
    <row r="17" spans="1:3" x14ac:dyDescent="0.25">
      <c r="C17" s="21"/>
    </row>
    <row r="19" spans="1:3" x14ac:dyDescent="0.25">
      <c r="B19" t="s">
        <v>45</v>
      </c>
      <c r="C19" t="s">
        <v>46</v>
      </c>
    </row>
    <row r="20" spans="1:3" x14ac:dyDescent="0.25">
      <c r="A20" t="s">
        <v>44</v>
      </c>
      <c r="B20">
        <v>4277</v>
      </c>
      <c r="C20">
        <v>12490</v>
      </c>
    </row>
    <row r="21" spans="1:3" x14ac:dyDescent="0.25">
      <c r="A21" t="s">
        <v>50</v>
      </c>
      <c r="B21">
        <v>-992</v>
      </c>
      <c r="C21">
        <v>-3015</v>
      </c>
    </row>
    <row r="22" spans="1:3" x14ac:dyDescent="0.25">
      <c r="A22" t="s">
        <v>51</v>
      </c>
      <c r="B22">
        <f>SUM(B20:B21)</f>
        <v>3285</v>
      </c>
      <c r="C22">
        <f>SUM(C20:C21)</f>
        <v>9475</v>
      </c>
    </row>
    <row r="23" spans="1:3" x14ac:dyDescent="0.25">
      <c r="A23" t="s">
        <v>52</v>
      </c>
      <c r="B23">
        <v>1500</v>
      </c>
      <c r="C23">
        <v>1800</v>
      </c>
    </row>
    <row r="24" spans="1:3" x14ac:dyDescent="0.25">
      <c r="A24" t="s">
        <v>49</v>
      </c>
      <c r="B24">
        <f>B22-B23</f>
        <v>1785</v>
      </c>
      <c r="C24">
        <v>7600</v>
      </c>
    </row>
  </sheetData>
  <mergeCells count="1">
    <mergeCell ref="A2:F2"/>
  </mergeCells>
  <hyperlinks>
    <hyperlink ref="A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C22" sqref="C22"/>
    </sheetView>
  </sheetViews>
  <sheetFormatPr baseColWidth="10" defaultRowHeight="15" x14ac:dyDescent="0.25"/>
  <cols>
    <col min="1" max="1" width="57.85546875" customWidth="1"/>
    <col min="2" max="2" width="14" bestFit="1" customWidth="1"/>
    <col min="3" max="4" width="13.85546875" bestFit="1" customWidth="1"/>
    <col min="5" max="7" width="15.28515625" bestFit="1" customWidth="1"/>
    <col min="8" max="8" width="13.85546875" bestFit="1" customWidth="1"/>
    <col min="23" max="24" width="12.28515625" bestFit="1" customWidth="1"/>
  </cols>
  <sheetData>
    <row r="1" spans="1:28" x14ac:dyDescent="0.25">
      <c r="A1" t="s">
        <v>81</v>
      </c>
    </row>
    <row r="2" spans="1:28" x14ac:dyDescent="0.25">
      <c r="A2" t="s">
        <v>80</v>
      </c>
    </row>
    <row r="4" spans="1:28" x14ac:dyDescent="0.25">
      <c r="A4" t="s">
        <v>82</v>
      </c>
      <c r="B4">
        <v>4.7</v>
      </c>
      <c r="C4" t="s">
        <v>83</v>
      </c>
    </row>
    <row r="5" spans="1:28" x14ac:dyDescent="0.25">
      <c r="A5" t="s">
        <v>86</v>
      </c>
      <c r="B5" s="35">
        <f>B4/7</f>
        <v>0.67142857142857149</v>
      </c>
    </row>
    <row r="6" spans="1:28" x14ac:dyDescent="0.25">
      <c r="A6" s="37" t="s">
        <v>84</v>
      </c>
      <c r="B6" s="37">
        <v>2015</v>
      </c>
      <c r="C6" s="37">
        <v>2016</v>
      </c>
      <c r="D6" s="37">
        <v>2017</v>
      </c>
      <c r="E6" s="37">
        <v>2018</v>
      </c>
      <c r="F6" s="37">
        <v>2019</v>
      </c>
      <c r="G6" s="37">
        <v>2020</v>
      </c>
      <c r="H6" s="37">
        <v>2021</v>
      </c>
    </row>
    <row r="7" spans="1:28" x14ac:dyDescent="0.25">
      <c r="A7" t="s">
        <v>85</v>
      </c>
      <c r="B7">
        <v>0.5</v>
      </c>
      <c r="C7">
        <v>2.5</v>
      </c>
      <c r="D7">
        <v>4.5</v>
      </c>
      <c r="E7">
        <v>8</v>
      </c>
      <c r="F7">
        <v>8</v>
      </c>
      <c r="G7">
        <v>7.5</v>
      </c>
      <c r="H7">
        <v>4</v>
      </c>
    </row>
    <row r="8" spans="1:28" x14ac:dyDescent="0.25">
      <c r="A8" t="s">
        <v>91</v>
      </c>
      <c r="B8">
        <f>SUM(B7:H7)</f>
        <v>35</v>
      </c>
    </row>
    <row r="9" spans="1:28" x14ac:dyDescent="0.25">
      <c r="A9" t="s">
        <v>92</v>
      </c>
      <c r="B9">
        <v>20</v>
      </c>
    </row>
    <row r="10" spans="1:28" x14ac:dyDescent="0.25">
      <c r="A10" t="s">
        <v>87</v>
      </c>
      <c r="B10" s="36">
        <f>B4*1000/B8</f>
        <v>134.28571428571428</v>
      </c>
    </row>
    <row r="11" spans="1:28" x14ac:dyDescent="0.25">
      <c r="A11" s="37" t="s">
        <v>84</v>
      </c>
      <c r="B11" s="37">
        <v>2015</v>
      </c>
      <c r="C11" s="37">
        <v>2016</v>
      </c>
      <c r="D11" s="37">
        <v>2017</v>
      </c>
      <c r="E11" s="37">
        <v>2018</v>
      </c>
      <c r="F11" s="37">
        <v>2019</v>
      </c>
      <c r="G11" s="37">
        <v>2020</v>
      </c>
      <c r="H11" s="37">
        <v>2021</v>
      </c>
      <c r="Z11" s="45" t="s">
        <v>102</v>
      </c>
      <c r="AA11" s="45"/>
    </row>
    <row r="12" spans="1:28" x14ac:dyDescent="0.25">
      <c r="A12" t="s">
        <v>88</v>
      </c>
      <c r="B12" s="13">
        <f>$B$10*1000000*B7</f>
        <v>67142857.142857134</v>
      </c>
      <c r="C12" s="13">
        <f t="shared" ref="C12:H12" si="0">$B$10*1000000*C7</f>
        <v>335714285.71428567</v>
      </c>
      <c r="D12" s="13">
        <f t="shared" si="0"/>
        <v>604285714.28571415</v>
      </c>
      <c r="E12" s="13">
        <f t="shared" si="0"/>
        <v>1074285714.2857141</v>
      </c>
      <c r="F12" s="13">
        <f t="shared" si="0"/>
        <v>1074285714.2857141</v>
      </c>
      <c r="G12" s="13">
        <f t="shared" si="0"/>
        <v>1007142857.1428571</v>
      </c>
      <c r="H12" s="13">
        <f t="shared" si="0"/>
        <v>537142857.14285707</v>
      </c>
    </row>
    <row r="13" spans="1:28" x14ac:dyDescent="0.25">
      <c r="A13" s="37" t="s">
        <v>84</v>
      </c>
      <c r="B13" s="37">
        <v>2015</v>
      </c>
      <c r="C13" s="37">
        <v>2016</v>
      </c>
      <c r="D13" s="37">
        <v>2017</v>
      </c>
      <c r="E13" s="37">
        <v>2018</v>
      </c>
      <c r="F13" s="37">
        <v>2019</v>
      </c>
      <c r="G13" s="37">
        <v>2020</v>
      </c>
      <c r="H13" s="37">
        <v>2021</v>
      </c>
      <c r="I13" s="37">
        <v>2022</v>
      </c>
      <c r="J13" s="37">
        <v>2023</v>
      </c>
      <c r="K13" s="37">
        <v>2024</v>
      </c>
      <c r="L13" s="37">
        <v>2025</v>
      </c>
      <c r="M13" s="37">
        <v>2026</v>
      </c>
      <c r="N13" s="37">
        <v>2027</v>
      </c>
      <c r="O13" s="37">
        <v>2028</v>
      </c>
      <c r="P13" s="37">
        <v>2029</v>
      </c>
      <c r="Q13" s="37">
        <v>2030</v>
      </c>
      <c r="R13" s="37">
        <v>2031</v>
      </c>
      <c r="S13" s="37">
        <v>2032</v>
      </c>
      <c r="T13" s="37">
        <v>2033</v>
      </c>
      <c r="U13" s="37">
        <v>2034</v>
      </c>
      <c r="V13" s="37">
        <v>2035</v>
      </c>
      <c r="W13" s="37">
        <v>2036</v>
      </c>
      <c r="X13" s="37">
        <v>2037</v>
      </c>
      <c r="Y13" s="37">
        <v>2038</v>
      </c>
      <c r="Z13" s="37">
        <v>2039</v>
      </c>
      <c r="AA13" s="37">
        <v>2040</v>
      </c>
    </row>
    <row r="14" spans="1:28" x14ac:dyDescent="0.25">
      <c r="A14" t="s">
        <v>93</v>
      </c>
      <c r="B14" s="13">
        <f>$B$12/$B$9</f>
        <v>3357142.8571428568</v>
      </c>
      <c r="C14" s="13">
        <f>$B$12/$B$9</f>
        <v>3357142.8571428568</v>
      </c>
      <c r="D14" s="13">
        <f t="shared" ref="D14:K14" si="1">$B$12/$B$9</f>
        <v>3357142.8571428568</v>
      </c>
      <c r="E14" s="13">
        <f t="shared" si="1"/>
        <v>3357142.8571428568</v>
      </c>
      <c r="F14" s="13">
        <f t="shared" si="1"/>
        <v>3357142.8571428568</v>
      </c>
      <c r="G14" s="13">
        <f t="shared" si="1"/>
        <v>3357142.8571428568</v>
      </c>
      <c r="H14" s="13">
        <f t="shared" si="1"/>
        <v>3357142.8571428568</v>
      </c>
      <c r="I14" s="13">
        <f t="shared" si="1"/>
        <v>3357142.8571428568</v>
      </c>
      <c r="J14" s="13">
        <f t="shared" si="1"/>
        <v>3357142.8571428568</v>
      </c>
      <c r="K14" s="13">
        <f t="shared" si="1"/>
        <v>3357142.8571428568</v>
      </c>
      <c r="L14" s="13">
        <f>$B$12/$B$9</f>
        <v>3357142.8571428568</v>
      </c>
      <c r="M14" s="13">
        <f>$B$12/$B$9</f>
        <v>3357142.8571428568</v>
      </c>
      <c r="N14" s="13">
        <f t="shared" ref="N14:U14" si="2">$B$12/$B$9</f>
        <v>3357142.8571428568</v>
      </c>
      <c r="O14" s="13">
        <f t="shared" si="2"/>
        <v>3357142.8571428568</v>
      </c>
      <c r="P14" s="13">
        <f t="shared" si="2"/>
        <v>3357142.8571428568</v>
      </c>
      <c r="Q14" s="13">
        <f t="shared" si="2"/>
        <v>3357142.8571428568</v>
      </c>
      <c r="R14" s="13">
        <f t="shared" si="2"/>
        <v>3357142.8571428568</v>
      </c>
      <c r="S14" s="13">
        <f t="shared" si="2"/>
        <v>3357142.8571428568</v>
      </c>
      <c r="T14" s="13">
        <f t="shared" si="2"/>
        <v>3357142.8571428568</v>
      </c>
      <c r="U14" s="13">
        <f t="shared" si="2"/>
        <v>3357142.8571428568</v>
      </c>
      <c r="V14" s="44">
        <f>420000000/7</f>
        <v>60000000</v>
      </c>
      <c r="W14" s="44">
        <f t="shared" ref="W14:AA19" si="3">420000000/7</f>
        <v>60000000</v>
      </c>
      <c r="X14" s="44">
        <f t="shared" si="3"/>
        <v>60000000</v>
      </c>
      <c r="Y14" s="44">
        <f t="shared" si="3"/>
        <v>60000000</v>
      </c>
      <c r="Z14" s="44">
        <f t="shared" si="3"/>
        <v>60000000</v>
      </c>
      <c r="AA14" s="44">
        <f t="shared" si="3"/>
        <v>60000000</v>
      </c>
    </row>
    <row r="15" spans="1:28" x14ac:dyDescent="0.25">
      <c r="A15" t="s">
        <v>95</v>
      </c>
      <c r="C15" s="13">
        <f>$C$12/$B$9</f>
        <v>16785714.285714284</v>
      </c>
      <c r="D15" s="13">
        <f t="shared" ref="D15:V15" si="4">$C$12/$B$9</f>
        <v>16785714.285714284</v>
      </c>
      <c r="E15" s="13">
        <f t="shared" si="4"/>
        <v>16785714.285714284</v>
      </c>
      <c r="F15" s="13">
        <f t="shared" si="4"/>
        <v>16785714.285714284</v>
      </c>
      <c r="G15" s="13">
        <f t="shared" si="4"/>
        <v>16785714.285714284</v>
      </c>
      <c r="H15" s="13">
        <f t="shared" si="4"/>
        <v>16785714.285714284</v>
      </c>
      <c r="I15" s="13">
        <f t="shared" si="4"/>
        <v>16785714.285714284</v>
      </c>
      <c r="J15" s="13">
        <f t="shared" si="4"/>
        <v>16785714.285714284</v>
      </c>
      <c r="K15" s="13">
        <f t="shared" si="4"/>
        <v>16785714.285714284</v>
      </c>
      <c r="L15" s="13">
        <f t="shared" si="4"/>
        <v>16785714.285714284</v>
      </c>
      <c r="M15" s="13">
        <f t="shared" si="4"/>
        <v>16785714.285714284</v>
      </c>
      <c r="N15" s="13">
        <f t="shared" si="4"/>
        <v>16785714.285714284</v>
      </c>
      <c r="O15" s="13">
        <f t="shared" si="4"/>
        <v>16785714.285714284</v>
      </c>
      <c r="P15" s="13">
        <f t="shared" si="4"/>
        <v>16785714.285714284</v>
      </c>
      <c r="Q15" s="13">
        <f t="shared" si="4"/>
        <v>16785714.285714284</v>
      </c>
      <c r="R15" s="13">
        <f t="shared" si="4"/>
        <v>16785714.285714284</v>
      </c>
      <c r="S15" s="13">
        <f t="shared" si="4"/>
        <v>16785714.285714284</v>
      </c>
      <c r="T15" s="13">
        <f t="shared" si="4"/>
        <v>16785714.285714284</v>
      </c>
      <c r="U15" s="13">
        <f t="shared" si="4"/>
        <v>16785714.285714284</v>
      </c>
      <c r="V15" s="13">
        <f t="shared" si="4"/>
        <v>16785714.285714284</v>
      </c>
      <c r="W15" s="44">
        <f t="shared" si="3"/>
        <v>60000000</v>
      </c>
      <c r="X15" s="44">
        <f t="shared" si="3"/>
        <v>60000000</v>
      </c>
      <c r="Y15" s="44">
        <f t="shared" si="3"/>
        <v>60000000</v>
      </c>
      <c r="Z15" s="44">
        <f t="shared" si="3"/>
        <v>60000000</v>
      </c>
      <c r="AA15" s="44">
        <f t="shared" si="3"/>
        <v>60000000</v>
      </c>
    </row>
    <row r="16" spans="1:28" x14ac:dyDescent="0.25">
      <c r="A16" t="s">
        <v>94</v>
      </c>
      <c r="D16" s="13">
        <f>$D$12/$B$9</f>
        <v>30214285.714285709</v>
      </c>
      <c r="E16" s="13">
        <f t="shared" ref="E16:W16" si="5">$D$12/$B$9</f>
        <v>30214285.714285709</v>
      </c>
      <c r="F16" s="13">
        <f t="shared" si="5"/>
        <v>30214285.714285709</v>
      </c>
      <c r="G16" s="13">
        <f t="shared" si="5"/>
        <v>30214285.714285709</v>
      </c>
      <c r="H16" s="13">
        <f t="shared" si="5"/>
        <v>30214285.714285709</v>
      </c>
      <c r="I16" s="13">
        <f t="shared" si="5"/>
        <v>30214285.714285709</v>
      </c>
      <c r="J16" s="13">
        <f t="shared" si="5"/>
        <v>30214285.714285709</v>
      </c>
      <c r="K16" s="13">
        <f t="shared" si="5"/>
        <v>30214285.714285709</v>
      </c>
      <c r="L16" s="13">
        <f t="shared" si="5"/>
        <v>30214285.714285709</v>
      </c>
      <c r="M16" s="13">
        <f t="shared" si="5"/>
        <v>30214285.714285709</v>
      </c>
      <c r="N16" s="13">
        <f t="shared" si="5"/>
        <v>30214285.714285709</v>
      </c>
      <c r="O16" s="13">
        <f t="shared" si="5"/>
        <v>30214285.714285709</v>
      </c>
      <c r="P16" s="13">
        <f t="shared" si="5"/>
        <v>30214285.714285709</v>
      </c>
      <c r="Q16" s="13">
        <f t="shared" si="5"/>
        <v>30214285.714285709</v>
      </c>
      <c r="R16" s="13">
        <f t="shared" si="5"/>
        <v>30214285.714285709</v>
      </c>
      <c r="S16" s="13">
        <f t="shared" si="5"/>
        <v>30214285.714285709</v>
      </c>
      <c r="T16" s="13">
        <f t="shared" si="5"/>
        <v>30214285.714285709</v>
      </c>
      <c r="U16" s="13">
        <f t="shared" si="5"/>
        <v>30214285.714285709</v>
      </c>
      <c r="V16" s="13">
        <f t="shared" si="5"/>
        <v>30214285.714285709</v>
      </c>
      <c r="W16" s="13">
        <f t="shared" si="5"/>
        <v>30214285.714285709</v>
      </c>
      <c r="X16" s="44">
        <f t="shared" si="3"/>
        <v>60000000</v>
      </c>
      <c r="Y16" s="44">
        <f t="shared" si="3"/>
        <v>60000000</v>
      </c>
      <c r="Z16" s="44">
        <f t="shared" si="3"/>
        <v>60000000</v>
      </c>
      <c r="AA16" s="44">
        <f t="shared" si="3"/>
        <v>60000000</v>
      </c>
      <c r="AB16" s="13"/>
    </row>
    <row r="17" spans="1:31" x14ac:dyDescent="0.25">
      <c r="A17" t="s">
        <v>96</v>
      </c>
      <c r="E17" s="13">
        <f>$E$12/$B$9</f>
        <v>53714285.714285709</v>
      </c>
      <c r="F17" s="13">
        <f t="shared" ref="F17:X17" si="6">$E$12/$B$9</f>
        <v>53714285.714285709</v>
      </c>
      <c r="G17" s="13">
        <f t="shared" si="6"/>
        <v>53714285.714285709</v>
      </c>
      <c r="H17" s="13">
        <f t="shared" si="6"/>
        <v>53714285.714285709</v>
      </c>
      <c r="I17" s="13">
        <f t="shared" si="6"/>
        <v>53714285.714285709</v>
      </c>
      <c r="J17" s="13">
        <f t="shared" si="6"/>
        <v>53714285.714285709</v>
      </c>
      <c r="K17" s="13">
        <f t="shared" si="6"/>
        <v>53714285.714285709</v>
      </c>
      <c r="L17" s="13">
        <f t="shared" si="6"/>
        <v>53714285.714285709</v>
      </c>
      <c r="M17" s="13">
        <f t="shared" si="6"/>
        <v>53714285.714285709</v>
      </c>
      <c r="N17" s="13">
        <f t="shared" si="6"/>
        <v>53714285.714285709</v>
      </c>
      <c r="O17" s="13">
        <f t="shared" si="6"/>
        <v>53714285.714285709</v>
      </c>
      <c r="P17" s="13">
        <f t="shared" si="6"/>
        <v>53714285.714285709</v>
      </c>
      <c r="Q17" s="13">
        <f t="shared" si="6"/>
        <v>53714285.714285709</v>
      </c>
      <c r="R17" s="13">
        <f t="shared" si="6"/>
        <v>53714285.714285709</v>
      </c>
      <c r="S17" s="13">
        <f t="shared" si="6"/>
        <v>53714285.714285709</v>
      </c>
      <c r="T17" s="13">
        <f t="shared" si="6"/>
        <v>53714285.714285709</v>
      </c>
      <c r="U17" s="13">
        <f t="shared" si="6"/>
        <v>53714285.714285709</v>
      </c>
      <c r="V17" s="13">
        <f t="shared" si="6"/>
        <v>53714285.714285709</v>
      </c>
      <c r="W17" s="13">
        <f t="shared" si="6"/>
        <v>53714285.714285709</v>
      </c>
      <c r="X17" s="13">
        <f t="shared" si="6"/>
        <v>53714285.714285709</v>
      </c>
      <c r="Y17" s="44">
        <f t="shared" si="3"/>
        <v>60000000</v>
      </c>
      <c r="Z17" s="44">
        <f t="shared" si="3"/>
        <v>60000000</v>
      </c>
      <c r="AA17" s="44">
        <f t="shared" si="3"/>
        <v>60000000</v>
      </c>
      <c r="AB17" s="13"/>
      <c r="AC17" s="13"/>
    </row>
    <row r="18" spans="1:31" x14ac:dyDescent="0.25">
      <c r="A18" t="s">
        <v>97</v>
      </c>
      <c r="F18" s="13">
        <f>$F$12/$B$9</f>
        <v>53714285.714285709</v>
      </c>
      <c r="G18" s="13">
        <f t="shared" ref="G18:Y18" si="7">$F$12/$B$9</f>
        <v>53714285.714285709</v>
      </c>
      <c r="H18" s="13">
        <f t="shared" si="7"/>
        <v>53714285.714285709</v>
      </c>
      <c r="I18" s="13">
        <f t="shared" si="7"/>
        <v>53714285.714285709</v>
      </c>
      <c r="J18" s="13">
        <f t="shared" si="7"/>
        <v>53714285.714285709</v>
      </c>
      <c r="K18" s="13">
        <f t="shared" si="7"/>
        <v>53714285.714285709</v>
      </c>
      <c r="L18" s="13">
        <f t="shared" si="7"/>
        <v>53714285.714285709</v>
      </c>
      <c r="M18" s="13">
        <f t="shared" si="7"/>
        <v>53714285.714285709</v>
      </c>
      <c r="N18" s="13">
        <f t="shared" si="7"/>
        <v>53714285.714285709</v>
      </c>
      <c r="O18" s="13">
        <f t="shared" si="7"/>
        <v>53714285.714285709</v>
      </c>
      <c r="P18" s="13">
        <f t="shared" si="7"/>
        <v>53714285.714285709</v>
      </c>
      <c r="Q18" s="13">
        <f t="shared" si="7"/>
        <v>53714285.714285709</v>
      </c>
      <c r="R18" s="13">
        <f t="shared" si="7"/>
        <v>53714285.714285709</v>
      </c>
      <c r="S18" s="13">
        <f t="shared" si="7"/>
        <v>53714285.714285709</v>
      </c>
      <c r="T18" s="13">
        <f t="shared" si="7"/>
        <v>53714285.714285709</v>
      </c>
      <c r="U18" s="13">
        <f t="shared" si="7"/>
        <v>53714285.714285709</v>
      </c>
      <c r="V18" s="13">
        <f t="shared" si="7"/>
        <v>53714285.714285709</v>
      </c>
      <c r="W18" s="13">
        <f t="shared" si="7"/>
        <v>53714285.714285709</v>
      </c>
      <c r="X18" s="13">
        <f t="shared" si="7"/>
        <v>53714285.714285709</v>
      </c>
      <c r="Y18" s="13">
        <f t="shared" si="7"/>
        <v>53714285.714285709</v>
      </c>
      <c r="Z18" s="44">
        <f t="shared" si="3"/>
        <v>60000000</v>
      </c>
      <c r="AA18" s="44">
        <f t="shared" si="3"/>
        <v>60000000</v>
      </c>
      <c r="AB18" s="13"/>
      <c r="AC18" s="13"/>
      <c r="AD18" s="13"/>
    </row>
    <row r="19" spans="1:31" x14ac:dyDescent="0.25">
      <c r="A19" t="s">
        <v>98</v>
      </c>
      <c r="G19" s="13">
        <f>$G$12/$B$9</f>
        <v>50357142.857142851</v>
      </c>
      <c r="H19" s="13">
        <f t="shared" ref="H19:Z19" si="8">$G$12/$B$9</f>
        <v>50357142.857142851</v>
      </c>
      <c r="I19" s="13">
        <f t="shared" si="8"/>
        <v>50357142.857142851</v>
      </c>
      <c r="J19" s="13">
        <f t="shared" si="8"/>
        <v>50357142.857142851</v>
      </c>
      <c r="K19" s="13">
        <f t="shared" si="8"/>
        <v>50357142.857142851</v>
      </c>
      <c r="L19" s="13">
        <f t="shared" si="8"/>
        <v>50357142.857142851</v>
      </c>
      <c r="M19" s="13">
        <f t="shared" si="8"/>
        <v>50357142.857142851</v>
      </c>
      <c r="N19" s="13">
        <f t="shared" si="8"/>
        <v>50357142.857142851</v>
      </c>
      <c r="O19" s="13">
        <f t="shared" si="8"/>
        <v>50357142.857142851</v>
      </c>
      <c r="P19" s="13">
        <f t="shared" si="8"/>
        <v>50357142.857142851</v>
      </c>
      <c r="Q19" s="13">
        <f t="shared" si="8"/>
        <v>50357142.857142851</v>
      </c>
      <c r="R19" s="13">
        <f t="shared" si="8"/>
        <v>50357142.857142851</v>
      </c>
      <c r="S19" s="13">
        <f t="shared" si="8"/>
        <v>50357142.857142851</v>
      </c>
      <c r="T19" s="13">
        <f t="shared" si="8"/>
        <v>50357142.857142851</v>
      </c>
      <c r="U19" s="13">
        <f t="shared" si="8"/>
        <v>50357142.857142851</v>
      </c>
      <c r="V19" s="13">
        <f t="shared" si="8"/>
        <v>50357142.857142851</v>
      </c>
      <c r="W19" s="13">
        <f t="shared" si="8"/>
        <v>50357142.857142851</v>
      </c>
      <c r="X19" s="13">
        <f t="shared" si="8"/>
        <v>50357142.857142851</v>
      </c>
      <c r="Y19" s="13">
        <f t="shared" si="8"/>
        <v>50357142.857142851</v>
      </c>
      <c r="Z19" s="13">
        <f t="shared" si="8"/>
        <v>50357142.857142851</v>
      </c>
      <c r="AA19" s="44">
        <f t="shared" si="3"/>
        <v>60000000</v>
      </c>
      <c r="AB19" s="13"/>
      <c r="AC19" s="13"/>
      <c r="AD19" s="13"/>
      <c r="AE19" s="13"/>
    </row>
    <row r="20" spans="1:31" x14ac:dyDescent="0.25">
      <c r="A20" t="s">
        <v>99</v>
      </c>
      <c r="H20" s="13">
        <f>$H$12/$B$9</f>
        <v>26857142.857142854</v>
      </c>
      <c r="I20" s="13">
        <f t="shared" ref="I20:AA20" si="9">$H$12/$B$9</f>
        <v>26857142.857142854</v>
      </c>
      <c r="J20" s="13">
        <f t="shared" si="9"/>
        <v>26857142.857142854</v>
      </c>
      <c r="K20" s="13">
        <f t="shared" si="9"/>
        <v>26857142.857142854</v>
      </c>
      <c r="L20" s="13">
        <f t="shared" si="9"/>
        <v>26857142.857142854</v>
      </c>
      <c r="M20" s="13">
        <f t="shared" si="9"/>
        <v>26857142.857142854</v>
      </c>
      <c r="N20" s="13">
        <f t="shared" si="9"/>
        <v>26857142.857142854</v>
      </c>
      <c r="O20" s="13">
        <f t="shared" si="9"/>
        <v>26857142.857142854</v>
      </c>
      <c r="P20" s="13">
        <f t="shared" si="9"/>
        <v>26857142.857142854</v>
      </c>
      <c r="Q20" s="13">
        <f t="shared" si="9"/>
        <v>26857142.857142854</v>
      </c>
      <c r="R20" s="13">
        <f t="shared" si="9"/>
        <v>26857142.857142854</v>
      </c>
      <c r="S20" s="13">
        <f t="shared" si="9"/>
        <v>26857142.857142854</v>
      </c>
      <c r="T20" s="13">
        <f t="shared" si="9"/>
        <v>26857142.857142854</v>
      </c>
      <c r="U20" s="13">
        <f t="shared" si="9"/>
        <v>26857142.857142854</v>
      </c>
      <c r="V20" s="13">
        <f t="shared" si="9"/>
        <v>26857142.857142854</v>
      </c>
      <c r="W20" s="13">
        <f t="shared" si="9"/>
        <v>26857142.857142854</v>
      </c>
      <c r="X20" s="13">
        <f t="shared" si="9"/>
        <v>26857142.857142854</v>
      </c>
      <c r="Y20" s="13">
        <f t="shared" si="9"/>
        <v>26857142.857142854</v>
      </c>
      <c r="Z20" s="13">
        <f t="shared" si="9"/>
        <v>26857142.857142854</v>
      </c>
      <c r="AA20" s="13">
        <f t="shared" si="9"/>
        <v>26857142.857142854</v>
      </c>
    </row>
    <row r="21" spans="1:31" x14ac:dyDescent="0.25">
      <c r="A21" t="s">
        <v>100</v>
      </c>
      <c r="B21" s="13">
        <f>SUM(B14:B20)</f>
        <v>3357142.8571428568</v>
      </c>
      <c r="C21" s="13">
        <f t="shared" ref="C21:AA21" si="10">SUM(C14:C20)</f>
        <v>20142857.142857142</v>
      </c>
      <c r="D21" s="13">
        <f t="shared" si="10"/>
        <v>50357142.857142851</v>
      </c>
      <c r="E21" s="13">
        <f t="shared" si="10"/>
        <v>104071428.57142857</v>
      </c>
      <c r="F21" s="13">
        <f t="shared" si="10"/>
        <v>157785714.28571427</v>
      </c>
      <c r="G21" s="13">
        <f t="shared" si="10"/>
        <v>208142857.14285713</v>
      </c>
      <c r="H21" s="13">
        <f t="shared" si="10"/>
        <v>235000000</v>
      </c>
      <c r="I21" s="13">
        <f t="shared" si="10"/>
        <v>235000000</v>
      </c>
      <c r="J21" s="13">
        <f t="shared" si="10"/>
        <v>235000000</v>
      </c>
      <c r="K21" s="13">
        <f t="shared" si="10"/>
        <v>235000000</v>
      </c>
      <c r="L21" s="13">
        <f t="shared" si="10"/>
        <v>235000000</v>
      </c>
      <c r="M21" s="13">
        <f t="shared" si="10"/>
        <v>235000000</v>
      </c>
      <c r="N21" s="13">
        <f t="shared" si="10"/>
        <v>235000000</v>
      </c>
      <c r="O21" s="13">
        <f t="shared" si="10"/>
        <v>235000000</v>
      </c>
      <c r="P21" s="13">
        <f t="shared" si="10"/>
        <v>235000000</v>
      </c>
      <c r="Q21" s="13">
        <f t="shared" si="10"/>
        <v>235000000</v>
      </c>
      <c r="R21" s="13">
        <f t="shared" si="10"/>
        <v>235000000</v>
      </c>
      <c r="S21" s="13">
        <f t="shared" si="10"/>
        <v>235000000</v>
      </c>
      <c r="T21" s="13">
        <f t="shared" si="10"/>
        <v>235000000</v>
      </c>
      <c r="U21" s="13">
        <f t="shared" si="10"/>
        <v>235000000</v>
      </c>
      <c r="V21" s="13">
        <f t="shared" si="10"/>
        <v>291642857.14285713</v>
      </c>
      <c r="W21" s="13">
        <f>SUM(W14:W20)</f>
        <v>334857142.85714281</v>
      </c>
      <c r="X21" s="13">
        <f>SUM(X14:X20)</f>
        <v>364642857.14285713</v>
      </c>
      <c r="Y21" s="13">
        <f t="shared" si="10"/>
        <v>370928571.42857146</v>
      </c>
      <c r="Z21" s="13">
        <f t="shared" si="10"/>
        <v>377214285.71428573</v>
      </c>
      <c r="AA21" s="13">
        <f t="shared" si="10"/>
        <v>386857142.85714287</v>
      </c>
    </row>
    <row r="22" spans="1:31" x14ac:dyDescent="0.25">
      <c r="A22" t="s">
        <v>101</v>
      </c>
      <c r="B22" s="13">
        <f>B21/1000000</f>
        <v>3.3571428571428568</v>
      </c>
      <c r="C22" s="13">
        <f t="shared" ref="C22:AA22" si="11">C21/1000000</f>
        <v>20.142857142857142</v>
      </c>
      <c r="D22" s="13">
        <f t="shared" si="11"/>
        <v>50.357142857142854</v>
      </c>
      <c r="E22" s="13">
        <f t="shared" si="11"/>
        <v>104.07142857142857</v>
      </c>
      <c r="F22" s="13">
        <f t="shared" si="11"/>
        <v>157.78571428571428</v>
      </c>
      <c r="G22" s="13">
        <f t="shared" si="11"/>
        <v>208.14285714285714</v>
      </c>
      <c r="H22" s="13">
        <f t="shared" si="11"/>
        <v>235</v>
      </c>
      <c r="I22" s="13">
        <f t="shared" si="11"/>
        <v>235</v>
      </c>
      <c r="J22" s="13">
        <f t="shared" si="11"/>
        <v>235</v>
      </c>
      <c r="K22" s="13">
        <f t="shared" si="11"/>
        <v>235</v>
      </c>
      <c r="L22" s="13">
        <f t="shared" si="11"/>
        <v>235</v>
      </c>
      <c r="M22" s="13">
        <f t="shared" si="11"/>
        <v>235</v>
      </c>
      <c r="N22" s="13">
        <f t="shared" si="11"/>
        <v>235</v>
      </c>
      <c r="O22" s="13">
        <f t="shared" si="11"/>
        <v>235</v>
      </c>
      <c r="P22" s="13">
        <f t="shared" si="11"/>
        <v>235</v>
      </c>
      <c r="Q22" s="13">
        <f t="shared" si="11"/>
        <v>235</v>
      </c>
      <c r="R22" s="13">
        <f t="shared" si="11"/>
        <v>235</v>
      </c>
      <c r="S22" s="13">
        <f t="shared" si="11"/>
        <v>235</v>
      </c>
      <c r="T22" s="13">
        <f t="shared" si="11"/>
        <v>235</v>
      </c>
      <c r="U22" s="13">
        <f t="shared" si="11"/>
        <v>235</v>
      </c>
      <c r="V22" s="13">
        <f t="shared" si="11"/>
        <v>291.64285714285711</v>
      </c>
      <c r="W22" s="13">
        <f t="shared" si="11"/>
        <v>334.85714285714283</v>
      </c>
      <c r="X22" s="13">
        <f t="shared" si="11"/>
        <v>364.64285714285711</v>
      </c>
      <c r="Y22" s="13">
        <f t="shared" si="11"/>
        <v>370.92857142857144</v>
      </c>
      <c r="Z22" s="13">
        <f t="shared" si="11"/>
        <v>377.21428571428572</v>
      </c>
      <c r="AA22" s="13">
        <f t="shared" si="11"/>
        <v>386.85714285714289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51"/>
  <sheetViews>
    <sheetView topLeftCell="X10" workbookViewId="0">
      <selection activeCell="E14" sqref="E14:AP14"/>
    </sheetView>
  </sheetViews>
  <sheetFormatPr baseColWidth="10" defaultRowHeight="15" x14ac:dyDescent="0.25"/>
  <cols>
    <col min="1" max="1" width="40.5703125" bestFit="1" customWidth="1"/>
  </cols>
  <sheetData>
    <row r="1" spans="1:42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</row>
    <row r="2" spans="1:42" x14ac:dyDescent="0.25">
      <c r="A2" s="29" t="s">
        <v>79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30"/>
      <c r="R2" s="29"/>
      <c r="S2" s="29"/>
      <c r="T2" s="30">
        <v>0.4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0"/>
      <c r="AI2" s="29"/>
      <c r="AJ2" s="29"/>
      <c r="AK2" s="29"/>
      <c r="AL2" s="29"/>
      <c r="AM2" s="29"/>
      <c r="AN2" s="30"/>
      <c r="AO2" s="29"/>
      <c r="AP2" s="30">
        <v>0.8</v>
      </c>
    </row>
    <row r="3" spans="1:42" s="23" customForma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07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7"/>
      <c r="AI3" s="106"/>
      <c r="AJ3" s="106"/>
      <c r="AK3" s="106"/>
      <c r="AL3" s="106"/>
      <c r="AM3" s="106"/>
      <c r="AN3" s="107"/>
      <c r="AO3" s="106"/>
      <c r="AP3" s="107"/>
    </row>
    <row r="4" spans="1:42" s="23" customFormat="1" x14ac:dyDescent="0.25">
      <c r="A4" s="106" t="s">
        <v>190</v>
      </c>
      <c r="B4" s="106"/>
      <c r="C4" s="106"/>
      <c r="D4" s="106"/>
      <c r="E4" s="108">
        <f>E7+E17+E22-E26+E37+E43+E49</f>
        <v>7794.9326434332788</v>
      </c>
      <c r="F4" s="108">
        <f t="shared" ref="F4:AP4" si="0">F7+F17+F22-F26+F37+F43+F49</f>
        <v>8432.6946564302125</v>
      </c>
      <c r="G4" s="108">
        <f t="shared" si="0"/>
        <v>9063.8384931612691</v>
      </c>
      <c r="H4" s="108">
        <f t="shared" si="0"/>
        <v>9684.6199099405494</v>
      </c>
      <c r="I4" s="108">
        <f t="shared" si="0"/>
        <v>10295.038906768052</v>
      </c>
      <c r="J4" s="108">
        <f t="shared" si="0"/>
        <v>10986.250449137613</v>
      </c>
      <c r="K4" s="108">
        <f t="shared" si="0"/>
        <v>11664.895825136862</v>
      </c>
      <c r="L4" s="108">
        <f t="shared" si="0"/>
        <v>12330.975034765801</v>
      </c>
      <c r="M4" s="108">
        <f t="shared" si="0"/>
        <v>12984.488078024438</v>
      </c>
      <c r="N4" s="108">
        <f t="shared" si="0"/>
        <v>13625.434954912766</v>
      </c>
      <c r="O4" s="108">
        <f t="shared" si="0"/>
        <v>14253.81566543078</v>
      </c>
      <c r="P4" s="108">
        <f t="shared" si="0"/>
        <v>14838.457214785441</v>
      </c>
      <c r="Q4" s="108">
        <f t="shared" si="0"/>
        <v>15411.414096337197</v>
      </c>
      <c r="R4" s="108">
        <f t="shared" si="0"/>
        <v>15972.686310086065</v>
      </c>
      <c r="S4" s="108">
        <f t="shared" si="0"/>
        <v>16522.273856032039</v>
      </c>
      <c r="T4" s="108">
        <f t="shared" si="0"/>
        <v>17060.176734175111</v>
      </c>
      <c r="U4" s="108">
        <f t="shared" si="0"/>
        <v>17586.394944515298</v>
      </c>
      <c r="V4" s="108">
        <f t="shared" si="0"/>
        <v>18100.928487052584</v>
      </c>
      <c r="W4" s="108">
        <f t="shared" si="0"/>
        <v>18609.765768059842</v>
      </c>
      <c r="X4" s="108">
        <f t="shared" si="0"/>
        <v>19112.906787537078</v>
      </c>
      <c r="Y4" s="108">
        <f t="shared" si="0"/>
        <v>19539.210915452175</v>
      </c>
      <c r="Z4" s="108">
        <f t="shared" si="0"/>
        <v>19970.634295702705</v>
      </c>
      <c r="AA4" s="108">
        <f t="shared" si="0"/>
        <v>20398.660819533619</v>
      </c>
      <c r="AB4" s="108">
        <f t="shared" si="0"/>
        <v>20823.290486944923</v>
      </c>
      <c r="AC4" s="108">
        <f t="shared" si="0"/>
        <v>21244.523297936612</v>
      </c>
      <c r="AD4" s="108">
        <f t="shared" si="0"/>
        <v>21631.827347582854</v>
      </c>
      <c r="AE4" s="108">
        <f t="shared" si="0"/>
        <v>21912.941188844266</v>
      </c>
      <c r="AF4" s="108">
        <f t="shared" si="0"/>
        <v>22194.891088956228</v>
      </c>
      <c r="AG4" s="108">
        <f t="shared" si="0"/>
        <v>22477.67704791874</v>
      </c>
      <c r="AH4" s="108">
        <f t="shared" si="0"/>
        <v>22761.299065731793</v>
      </c>
      <c r="AI4" s="108">
        <f t="shared" si="0"/>
        <v>23045.7571423954</v>
      </c>
      <c r="AJ4" s="108">
        <f t="shared" si="0"/>
        <v>23341.49841220511</v>
      </c>
      <c r="AK4" s="108">
        <f t="shared" si="0"/>
        <v>23643.414975464308</v>
      </c>
      <c r="AL4" s="108">
        <f t="shared" si="0"/>
        <v>23946.426448064871</v>
      </c>
      <c r="AM4" s="108">
        <f t="shared" si="0"/>
        <v>24250.532830006807</v>
      </c>
      <c r="AN4" s="108">
        <f t="shared" si="0"/>
        <v>24555.734121290101</v>
      </c>
      <c r="AO4" s="108">
        <f t="shared" si="0"/>
        <v>24862.030321914768</v>
      </c>
      <c r="AP4" s="108">
        <f t="shared" si="0"/>
        <v>25169.421431880801</v>
      </c>
    </row>
    <row r="5" spans="1:42" s="23" customFormat="1" x14ac:dyDescent="0.25">
      <c r="A5" s="106" t="s">
        <v>199</v>
      </c>
      <c r="B5" s="106"/>
      <c r="C5" s="106"/>
      <c r="D5" s="106"/>
      <c r="E5" s="108">
        <f>E26</f>
        <v>27.266116320000005</v>
      </c>
      <c r="F5" s="108">
        <f t="shared" ref="F5:AP5" si="1">F26</f>
        <v>36.192344508757031</v>
      </c>
      <c r="G5" s="108">
        <f t="shared" si="1"/>
        <v>45.118572697514054</v>
      </c>
      <c r="H5" s="108">
        <f t="shared" si="1"/>
        <v>54.044800886271069</v>
      </c>
      <c r="I5" s="108">
        <f t="shared" si="1"/>
        <v>62.971029075028085</v>
      </c>
      <c r="J5" s="108">
        <f t="shared" si="1"/>
        <v>71.897257263785093</v>
      </c>
      <c r="K5" s="108">
        <f t="shared" si="1"/>
        <v>80.823485452542087</v>
      </c>
      <c r="L5" s="108">
        <f t="shared" si="1"/>
        <v>89.749713641299067</v>
      </c>
      <c r="M5" s="108">
        <f t="shared" si="1"/>
        <v>98.675941830056047</v>
      </c>
      <c r="N5" s="108">
        <f t="shared" si="1"/>
        <v>107.60217001881301</v>
      </c>
      <c r="O5" s="108">
        <f t="shared" si="1"/>
        <v>116.52839820756995</v>
      </c>
      <c r="P5" s="108">
        <f t="shared" si="1"/>
        <v>125.45462639632692</v>
      </c>
      <c r="Q5" s="108">
        <f t="shared" si="1"/>
        <v>134.38085458508385</v>
      </c>
      <c r="R5" s="108">
        <f t="shared" si="1"/>
        <v>143.30708277384076</v>
      </c>
      <c r="S5" s="108">
        <f t="shared" si="1"/>
        <v>152.23331096259764</v>
      </c>
      <c r="T5" s="108">
        <f t="shared" si="1"/>
        <v>161.15953915135452</v>
      </c>
      <c r="U5" s="108">
        <f t="shared" si="1"/>
        <v>170.08576734011137</v>
      </c>
      <c r="V5" s="108">
        <f t="shared" si="1"/>
        <v>179.0119955288682</v>
      </c>
      <c r="W5" s="108">
        <f t="shared" si="1"/>
        <v>187.93822371762502</v>
      </c>
      <c r="X5" s="108">
        <f t="shared" si="1"/>
        <v>196.86445190638182</v>
      </c>
      <c r="Y5" s="108">
        <f t="shared" si="1"/>
        <v>205.79068009513861</v>
      </c>
      <c r="Z5" s="108">
        <f t="shared" si="1"/>
        <v>214.71690828389538</v>
      </c>
      <c r="AA5" s="108">
        <f t="shared" si="1"/>
        <v>223.64313647265215</v>
      </c>
      <c r="AB5" s="108">
        <f t="shared" si="1"/>
        <v>232.56936466140888</v>
      </c>
      <c r="AC5" s="108">
        <f t="shared" si="1"/>
        <v>241.49559285016559</v>
      </c>
      <c r="AD5" s="108">
        <f t="shared" si="1"/>
        <v>250.4218210389223</v>
      </c>
      <c r="AE5" s="108">
        <f t="shared" si="1"/>
        <v>259.34804922767898</v>
      </c>
      <c r="AF5" s="108">
        <f t="shared" si="1"/>
        <v>268.27427741643561</v>
      </c>
      <c r="AG5" s="108">
        <f t="shared" si="1"/>
        <v>277.20050560519223</v>
      </c>
      <c r="AH5" s="108">
        <f t="shared" si="1"/>
        <v>286.1267337939488</v>
      </c>
      <c r="AI5" s="108">
        <f t="shared" si="1"/>
        <v>295.05296198270531</v>
      </c>
      <c r="AJ5" s="108">
        <f t="shared" si="1"/>
        <v>303.97919017146182</v>
      </c>
      <c r="AK5" s="108">
        <f t="shared" si="1"/>
        <v>312.90541836021828</v>
      </c>
      <c r="AL5" s="108">
        <f t="shared" si="1"/>
        <v>321.83164654897467</v>
      </c>
      <c r="AM5" s="108">
        <f t="shared" si="1"/>
        <v>330.75787473773107</v>
      </c>
      <c r="AN5" s="108">
        <f t="shared" si="1"/>
        <v>339.68410292648741</v>
      </c>
      <c r="AO5" s="108">
        <f t="shared" si="1"/>
        <v>348.61033111524375</v>
      </c>
      <c r="AP5" s="108">
        <f t="shared" si="1"/>
        <v>357.53655930400004</v>
      </c>
    </row>
    <row r="6" spans="1:42" s="23" customFormat="1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  <c r="Q6" s="107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7"/>
      <c r="AI6" s="106"/>
      <c r="AJ6" s="106"/>
      <c r="AK6" s="106"/>
      <c r="AL6" s="106"/>
      <c r="AM6" s="106"/>
      <c r="AN6" s="107"/>
      <c r="AO6" s="106"/>
      <c r="AP6" s="107"/>
    </row>
    <row r="7" spans="1:42" x14ac:dyDescent="0.25">
      <c r="A7" s="40" t="s">
        <v>119</v>
      </c>
      <c r="B7" s="40"/>
      <c r="C7" s="40"/>
      <c r="D7" s="40"/>
      <c r="E7" s="61">
        <f>E8+E12</f>
        <v>1272</v>
      </c>
      <c r="F7" s="61">
        <f t="shared" ref="F7:AP7" si="2">F8+F12</f>
        <v>1631.5269784058905</v>
      </c>
      <c r="G7" s="61">
        <f t="shared" si="2"/>
        <v>1991.0996828976622</v>
      </c>
      <c r="H7" s="61">
        <f t="shared" si="2"/>
        <v>2347.5381134753161</v>
      </c>
      <c r="I7" s="61">
        <f t="shared" si="2"/>
        <v>2700.8422701388517</v>
      </c>
      <c r="J7" s="61">
        <f t="shared" si="2"/>
        <v>3142.1671183820986</v>
      </c>
      <c r="K7" s="61">
        <f t="shared" si="2"/>
        <v>3578.1539462926953</v>
      </c>
      <c r="L7" s="61">
        <f t="shared" si="2"/>
        <v>4008.8027538706419</v>
      </c>
      <c r="M7" s="61">
        <f t="shared" si="2"/>
        <v>4434.1135411159385</v>
      </c>
      <c r="N7" s="61">
        <f t="shared" si="2"/>
        <v>4854.0863080285835</v>
      </c>
      <c r="O7" s="61">
        <f t="shared" si="2"/>
        <v>5268.7210546085789</v>
      </c>
      <c r="P7" s="61">
        <f t="shared" si="2"/>
        <v>5646.8447860628712</v>
      </c>
      <c r="Q7" s="61">
        <f t="shared" si="2"/>
        <v>6020.5119957519237</v>
      </c>
      <c r="R7" s="61">
        <f t="shared" si="2"/>
        <v>6389.7226836757409</v>
      </c>
      <c r="S7" s="61">
        <f t="shared" si="2"/>
        <v>6754.476849834321</v>
      </c>
      <c r="T7" s="61">
        <f t="shared" si="2"/>
        <v>7114.7744942276604</v>
      </c>
      <c r="U7" s="61">
        <f t="shared" si="2"/>
        <v>7470.6156168557654</v>
      </c>
      <c r="V7" s="61">
        <f t="shared" si="2"/>
        <v>7822.0002177186325</v>
      </c>
      <c r="W7" s="61">
        <f t="shared" si="2"/>
        <v>8171.746231075238</v>
      </c>
      <c r="X7" s="61">
        <f t="shared" si="2"/>
        <v>8519.8536569255848</v>
      </c>
      <c r="Y7" s="61">
        <f t="shared" si="2"/>
        <v>8805.9024952696691</v>
      </c>
      <c r="Z7" s="61">
        <f t="shared" si="2"/>
        <v>9100.8210978276093</v>
      </c>
      <c r="AA7" s="61">
        <f t="shared" si="2"/>
        <v>9396.1020703799077</v>
      </c>
      <c r="AB7" s="61">
        <f t="shared" si="2"/>
        <v>9691.7454129265625</v>
      </c>
      <c r="AC7" s="61">
        <f t="shared" si="2"/>
        <v>9987.7511254675755</v>
      </c>
      <c r="AD7" s="61">
        <f t="shared" si="2"/>
        <v>10253.5873030771</v>
      </c>
      <c r="AE7" s="61">
        <f t="shared" si="2"/>
        <v>10521.478728611582</v>
      </c>
      <c r="AF7" s="61">
        <f t="shared" si="2"/>
        <v>10791.42540207102</v>
      </c>
      <c r="AG7" s="61">
        <f t="shared" si="2"/>
        <v>11063.427323455417</v>
      </c>
      <c r="AH7" s="61">
        <f t="shared" si="2"/>
        <v>11337.484492764768</v>
      </c>
      <c r="AI7" s="61">
        <f t="shared" si="2"/>
        <v>11613.596909999076</v>
      </c>
      <c r="AJ7" s="61">
        <f t="shared" si="2"/>
        <v>11899.914430095241</v>
      </c>
      <c r="AK7" s="61">
        <f t="shared" si="2"/>
        <v>12187.610046944123</v>
      </c>
      <c r="AL7" s="61">
        <f t="shared" si="2"/>
        <v>12476.68376054572</v>
      </c>
      <c r="AM7" s="61">
        <f t="shared" si="2"/>
        <v>12767.135570900038</v>
      </c>
      <c r="AN7" s="61">
        <f t="shared" si="2"/>
        <v>13058.96547800707</v>
      </c>
      <c r="AO7" s="61">
        <f t="shared" si="2"/>
        <v>13352.173481866823</v>
      </c>
      <c r="AP7" s="61">
        <f t="shared" si="2"/>
        <v>13646.75958247929</v>
      </c>
    </row>
    <row r="8" spans="1:42" x14ac:dyDescent="0.25">
      <c r="A8" s="18" t="s">
        <v>160</v>
      </c>
      <c r="B8" s="27"/>
      <c r="C8" s="27"/>
      <c r="D8" s="27"/>
      <c r="E8" s="27">
        <f t="shared" ref="E8:AO8" si="3">E9+E10</f>
        <v>1272</v>
      </c>
      <c r="F8" s="27">
        <f t="shared" si="3"/>
        <v>1631.5269784058905</v>
      </c>
      <c r="G8" s="27">
        <f t="shared" si="3"/>
        <v>1991.0996828976622</v>
      </c>
      <c r="H8" s="27">
        <f t="shared" si="3"/>
        <v>2347.5381134753161</v>
      </c>
      <c r="I8" s="27">
        <f t="shared" si="3"/>
        <v>2700.8422701388517</v>
      </c>
      <c r="J8" s="27">
        <f t="shared" si="3"/>
        <v>3051.0121528882696</v>
      </c>
      <c r="K8" s="27">
        <f t="shared" si="3"/>
        <v>3398.0477617235692</v>
      </c>
      <c r="L8" s="27">
        <f t="shared" si="3"/>
        <v>3741.9490966447511</v>
      </c>
      <c r="M8" s="27">
        <f t="shared" si="3"/>
        <v>4082.7161576518147</v>
      </c>
      <c r="N8" s="27">
        <f t="shared" si="3"/>
        <v>4420.3489447447591</v>
      </c>
      <c r="O8" s="27">
        <f t="shared" si="3"/>
        <v>4754.8474579235863</v>
      </c>
      <c r="P8" s="27">
        <f t="shared" si="3"/>
        <v>5086.211697188297</v>
      </c>
      <c r="Q8" s="27">
        <f t="shared" si="3"/>
        <v>5414.4416625388876</v>
      </c>
      <c r="R8" s="27">
        <f t="shared" si="3"/>
        <v>5739.5373539753618</v>
      </c>
      <c r="S8" s="27">
        <f t="shared" si="3"/>
        <v>6061.4987714977178</v>
      </c>
      <c r="T8" s="27">
        <f t="shared" si="3"/>
        <v>6380.3259151059538</v>
      </c>
      <c r="U8" s="27">
        <f t="shared" si="3"/>
        <v>6696.0187848000733</v>
      </c>
      <c r="V8" s="27">
        <f t="shared" si="3"/>
        <v>7008.5773805800754</v>
      </c>
      <c r="W8" s="27">
        <f t="shared" si="3"/>
        <v>7319.803909946575</v>
      </c>
      <c r="X8" s="27">
        <f t="shared" si="3"/>
        <v>7629.6983728995747</v>
      </c>
      <c r="Y8" s="27">
        <f t="shared" si="3"/>
        <v>7877.8407694390726</v>
      </c>
      <c r="Z8" s="27">
        <f t="shared" si="3"/>
        <v>8135.1594512851843</v>
      </c>
      <c r="AA8" s="27">
        <f t="shared" si="3"/>
        <v>8393.147024218415</v>
      </c>
      <c r="AB8" s="27">
        <f t="shared" si="3"/>
        <v>8651.8034882387619</v>
      </c>
      <c r="AC8" s="27">
        <f t="shared" si="3"/>
        <v>8911.1288433462269</v>
      </c>
      <c r="AD8" s="27">
        <f t="shared" si="3"/>
        <v>9171.1230895408062</v>
      </c>
      <c r="AE8" s="27">
        <f t="shared" si="3"/>
        <v>9431.7862268225053</v>
      </c>
      <c r="AF8" s="27">
        <f t="shared" si="3"/>
        <v>9693.1182551913171</v>
      </c>
      <c r="AG8" s="27">
        <f t="shared" si="3"/>
        <v>9955.1191746472487</v>
      </c>
      <c r="AH8" s="27">
        <f t="shared" si="3"/>
        <v>10217.788985190296</v>
      </c>
      <c r="AI8" s="27">
        <f t="shared" si="3"/>
        <v>10481.12768682046</v>
      </c>
      <c r="AJ8" s="27">
        <f t="shared" si="3"/>
        <v>10745.135279537741</v>
      </c>
      <c r="AK8" s="27">
        <f t="shared" si="3"/>
        <v>11009.811763342139</v>
      </c>
      <c r="AL8" s="27">
        <f t="shared" si="3"/>
        <v>11275.157138233651</v>
      </c>
      <c r="AM8" s="27">
        <f t="shared" si="3"/>
        <v>11541.171404212284</v>
      </c>
      <c r="AN8" s="27">
        <f t="shared" si="3"/>
        <v>11807.854561278033</v>
      </c>
      <c r="AO8" s="27">
        <f t="shared" si="3"/>
        <v>12075.206609430899</v>
      </c>
      <c r="AP8" s="27">
        <f>AP9+AP10</f>
        <v>12343.227548670882</v>
      </c>
    </row>
    <row r="9" spans="1:42" x14ac:dyDescent="0.25">
      <c r="A9" s="1" t="s">
        <v>26</v>
      </c>
      <c r="B9" s="52"/>
      <c r="C9" s="13"/>
      <c r="D9" s="13"/>
      <c r="E9" s="26">
        <f>'Données capacités de production'!B10</f>
        <v>918.49647896647275</v>
      </c>
      <c r="F9" s="26">
        <f>'Données capacités de production'!C10</f>
        <v>1178.1067492174675</v>
      </c>
      <c r="G9" s="26">
        <f>'Données capacités de production'!D10</f>
        <v>1437.7500377458828</v>
      </c>
      <c r="H9" s="26">
        <f>'Données capacités de production'!E10</f>
        <v>1695.1301033543032</v>
      </c>
      <c r="I9" s="26">
        <f>'Données capacités de production'!F10</f>
        <v>1950.2469460427283</v>
      </c>
      <c r="J9" s="26">
        <f>'Données capacités de production'!G10</f>
        <v>2203.100565811158</v>
      </c>
      <c r="K9" s="26">
        <f>'Données capacités de production'!H10</f>
        <v>2453.6909626595925</v>
      </c>
      <c r="L9" s="26">
        <f>'Données capacités de production'!I10</f>
        <v>2702.0181365880326</v>
      </c>
      <c r="M9" s="26">
        <f>'Données capacités de production'!J10</f>
        <v>2948.0820875964764</v>
      </c>
      <c r="N9" s="26">
        <f>'Données capacités de production'!K10</f>
        <v>3191.8828156849249</v>
      </c>
      <c r="O9" s="26">
        <f>'Données capacités de production'!L10</f>
        <v>3433.4203208533781</v>
      </c>
      <c r="P9" s="26">
        <f>'Données capacités de production'!M10</f>
        <v>3672.6946031018379</v>
      </c>
      <c r="Q9" s="26">
        <f>'Données capacités de production'!N10</f>
        <v>3909.7056624303009</v>
      </c>
      <c r="R9" s="26">
        <f>'Données capacités de production'!O10</f>
        <v>4144.4534988387695</v>
      </c>
      <c r="S9" s="26">
        <f>'Données capacités de production'!P10</f>
        <v>4376.9381123272433</v>
      </c>
      <c r="T9" s="26">
        <f>'Données capacités de production'!Q10</f>
        <v>4607.1595028957199</v>
      </c>
      <c r="U9" s="26">
        <f>'Données capacités de production'!R10</f>
        <v>4835.1176705442031</v>
      </c>
      <c r="V9" s="26">
        <f>'Données capacités de production'!S10</f>
        <v>5060.8126152726918</v>
      </c>
      <c r="W9" s="26">
        <f>'Données capacités de production'!T10</f>
        <v>5285.54569026018</v>
      </c>
      <c r="X9" s="26">
        <f>'Données capacités de production'!U10</f>
        <v>5509.3168955066703</v>
      </c>
      <c r="Y9" s="26">
        <f>'Données capacités de production'!V10</f>
        <v>5688.4976482612547</v>
      </c>
      <c r="Z9" s="26">
        <f>'Données capacités de production'!W10</f>
        <v>5874.3044904373146</v>
      </c>
      <c r="AA9" s="26">
        <f>'Données capacités de production'!X10</f>
        <v>6060.5943311262126</v>
      </c>
      <c r="AB9" s="26">
        <f>'Données capacités de production'!Y10</f>
        <v>6247.367170327947</v>
      </c>
      <c r="AC9" s="26">
        <f>'Données capacités de production'!Z10</f>
        <v>6434.6230080425203</v>
      </c>
      <c r="AD9" s="26">
        <f>'Données capacités de production'!AA10</f>
        <v>6622.361844269928</v>
      </c>
      <c r="AE9" s="26">
        <f>'Données capacités de production'!AB10</f>
        <v>6810.5836790101766</v>
      </c>
      <c r="AF9" s="26">
        <f>'Données capacités de production'!AC10</f>
        <v>6999.2885122632579</v>
      </c>
      <c r="AG9" s="26">
        <f>'Données capacités de production'!AD10</f>
        <v>7188.476344029179</v>
      </c>
      <c r="AH9" s="26">
        <f>'Données capacités de production'!AE10</f>
        <v>7378.1471743079364</v>
      </c>
      <c r="AI9" s="26">
        <f>'Données capacités de production'!AF10</f>
        <v>7568.301003099531</v>
      </c>
      <c r="AJ9" s="26">
        <f>'Données capacités de production'!AG10</f>
        <v>7758.9378304039619</v>
      </c>
      <c r="AK9" s="26">
        <f>'Données capacités de production'!AH10</f>
        <v>7950.0576562212318</v>
      </c>
      <c r="AL9" s="26">
        <f>'Données capacités de production'!AI10</f>
        <v>8141.6604805513361</v>
      </c>
      <c r="AM9" s="26">
        <f>'Données capacités de production'!AJ10</f>
        <v>8333.7463033942804</v>
      </c>
      <c r="AN9" s="26">
        <f>'Données capacités de production'!AK10</f>
        <v>8526.3151247500609</v>
      </c>
      <c r="AO9" s="26">
        <f>'Données capacités de production'!AL10</f>
        <v>8719.3669446186796</v>
      </c>
      <c r="AP9" s="26">
        <f>'Données capacités de production'!AM10</f>
        <v>8912.9017630001345</v>
      </c>
    </row>
    <row r="10" spans="1:42" x14ac:dyDescent="0.25">
      <c r="A10" s="1" t="s">
        <v>25</v>
      </c>
      <c r="B10" s="52"/>
      <c r="C10" s="13"/>
      <c r="D10" s="13"/>
      <c r="E10" s="26">
        <f>'Données capacités de production'!B9</f>
        <v>353.50352103352731</v>
      </c>
      <c r="F10" s="26">
        <f>'Données capacités de production'!C9</f>
        <v>453.42022918842292</v>
      </c>
      <c r="G10" s="26">
        <f>'Données capacités de production'!D9</f>
        <v>553.34964515177933</v>
      </c>
      <c r="H10" s="26">
        <f>'Données capacités de production'!E9</f>
        <v>652.40801012101292</v>
      </c>
      <c r="I10" s="26">
        <f>'Données capacités de production'!F9</f>
        <v>750.59532409612359</v>
      </c>
      <c r="J10" s="26">
        <f>'Données capacités de production'!G9</f>
        <v>847.91158707711156</v>
      </c>
      <c r="K10" s="26">
        <f>'Données capacités de production'!H9</f>
        <v>944.3567990639765</v>
      </c>
      <c r="L10" s="26">
        <f>'Données capacités de production'!I9</f>
        <v>1039.9309600567187</v>
      </c>
      <c r="M10" s="26">
        <f>'Données capacités de production'!J9</f>
        <v>1134.634070055338</v>
      </c>
      <c r="N10" s="26">
        <f>'Données capacités de production'!K9</f>
        <v>1228.4661290598342</v>
      </c>
      <c r="O10" s="26">
        <f>'Données capacités de production'!L9</f>
        <v>1321.4271370702079</v>
      </c>
      <c r="P10" s="26">
        <f>'Données capacités de production'!M9</f>
        <v>1413.5170940864589</v>
      </c>
      <c r="Q10" s="26">
        <f>'Données capacités de production'!N9</f>
        <v>1504.7360001085867</v>
      </c>
      <c r="R10" s="26">
        <f>'Données capacités de production'!O9</f>
        <v>1595.0838551365919</v>
      </c>
      <c r="S10" s="26">
        <f>'Données capacités de production'!P9</f>
        <v>1684.5606591704743</v>
      </c>
      <c r="T10" s="26">
        <f>'Données capacités de production'!Q9</f>
        <v>1773.1664122102334</v>
      </c>
      <c r="U10" s="26">
        <f>'Données capacités de production'!R9</f>
        <v>1860.90111425587</v>
      </c>
      <c r="V10" s="26">
        <f>'Données capacités de production'!S9</f>
        <v>1947.7647653073839</v>
      </c>
      <c r="W10" s="26">
        <f>'Données capacités de production'!T9</f>
        <v>2034.258219686395</v>
      </c>
      <c r="X10" s="26">
        <f>'Données capacités de production'!U9</f>
        <v>2120.3814773929039</v>
      </c>
      <c r="Y10" s="26">
        <f>'Données capacités de production'!V9</f>
        <v>2189.3431211778179</v>
      </c>
      <c r="Z10" s="26">
        <f>'Données capacités de production'!W9</f>
        <v>2260.8549608478702</v>
      </c>
      <c r="AA10" s="26">
        <f>'Données capacités de production'!X9</f>
        <v>2332.5526930922024</v>
      </c>
      <c r="AB10" s="26">
        <f>'Données capacités de production'!Y9</f>
        <v>2404.4363179108145</v>
      </c>
      <c r="AC10" s="26">
        <f>'Données capacités de production'!Z9</f>
        <v>2476.5058353037066</v>
      </c>
      <c r="AD10" s="26">
        <f>'Données capacités de production'!AA9</f>
        <v>2548.7612452708777</v>
      </c>
      <c r="AE10" s="26">
        <f>'Données capacités de production'!AB9</f>
        <v>2621.2025478123292</v>
      </c>
      <c r="AF10" s="26">
        <f>'Données capacités de production'!AC9</f>
        <v>2693.8297429280592</v>
      </c>
      <c r="AG10" s="26">
        <f>'Données capacités de production'!AD9</f>
        <v>2766.6428306180696</v>
      </c>
      <c r="AH10" s="26">
        <f>'Données capacités de production'!AE9</f>
        <v>2839.6418108823596</v>
      </c>
      <c r="AI10" s="26">
        <f>'Données capacités de production'!AF9</f>
        <v>2912.8266837209294</v>
      </c>
      <c r="AJ10" s="26">
        <f>'Données capacités de production'!AG9</f>
        <v>2986.1974491337783</v>
      </c>
      <c r="AK10" s="26">
        <f>'Données capacités de production'!AH9</f>
        <v>3059.7541071209075</v>
      </c>
      <c r="AL10" s="26">
        <f>'Données capacités de production'!AI9</f>
        <v>3133.4966576823153</v>
      </c>
      <c r="AM10" s="26">
        <f>'Données capacités de production'!AJ9</f>
        <v>3207.4251008180045</v>
      </c>
      <c r="AN10" s="26">
        <f>'Données capacités de production'!AK9</f>
        <v>3281.5394365279722</v>
      </c>
      <c r="AO10" s="26">
        <f>'Données capacités de production'!AL9</f>
        <v>3355.8396648122202</v>
      </c>
      <c r="AP10" s="26">
        <f>'Données capacités de production'!AM9</f>
        <v>3430.3257856707473</v>
      </c>
    </row>
    <row r="11" spans="1:42" x14ac:dyDescent="0.25">
      <c r="A11" s="1"/>
      <c r="B11" s="5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52"/>
      <c r="AI11" s="52"/>
      <c r="AJ11" s="52"/>
      <c r="AK11" s="52"/>
      <c r="AL11" s="52"/>
      <c r="AM11" s="52"/>
      <c r="AN11" s="52"/>
      <c r="AO11" s="1"/>
      <c r="AP11" s="13"/>
    </row>
    <row r="12" spans="1:42" x14ac:dyDescent="0.25">
      <c r="A12" s="16" t="s">
        <v>161</v>
      </c>
      <c r="B12" s="53"/>
      <c r="C12" s="27"/>
      <c r="D12" s="27"/>
      <c r="E12" s="27">
        <f t="shared" ref="E12:AP12" si="4">E13+E14</f>
        <v>0</v>
      </c>
      <c r="F12" s="27">
        <f t="shared" si="4"/>
        <v>0</v>
      </c>
      <c r="G12" s="27">
        <f t="shared" si="4"/>
        <v>0</v>
      </c>
      <c r="H12" s="27">
        <f t="shared" si="4"/>
        <v>0</v>
      </c>
      <c r="I12" s="27">
        <f t="shared" si="4"/>
        <v>0</v>
      </c>
      <c r="J12" s="27">
        <f t="shared" si="4"/>
        <v>91.154965493829067</v>
      </c>
      <c r="K12" s="27">
        <f t="shared" si="4"/>
        <v>180.10618456912601</v>
      </c>
      <c r="L12" s="27">
        <f t="shared" si="4"/>
        <v>266.85365722589086</v>
      </c>
      <c r="M12" s="27">
        <f t="shared" si="4"/>
        <v>351.39738346412349</v>
      </c>
      <c r="N12" s="27">
        <f t="shared" si="4"/>
        <v>433.73736328382404</v>
      </c>
      <c r="O12" s="27">
        <f t="shared" si="4"/>
        <v>513.87359668499244</v>
      </c>
      <c r="P12" s="27">
        <f t="shared" si="4"/>
        <v>560.63308887457413</v>
      </c>
      <c r="Q12" s="27">
        <f t="shared" si="4"/>
        <v>606.07033321303641</v>
      </c>
      <c r="R12" s="27">
        <f t="shared" si="4"/>
        <v>650.18532970037927</v>
      </c>
      <c r="S12" s="27">
        <f t="shared" si="4"/>
        <v>692.97807833660283</v>
      </c>
      <c r="T12" s="27">
        <f t="shared" si="4"/>
        <v>734.44857912170698</v>
      </c>
      <c r="U12" s="27">
        <f t="shared" si="4"/>
        <v>774.59683205569183</v>
      </c>
      <c r="V12" s="27">
        <f t="shared" si="4"/>
        <v>813.42283713855738</v>
      </c>
      <c r="W12" s="27">
        <f t="shared" si="4"/>
        <v>851.94232112866337</v>
      </c>
      <c r="X12" s="27">
        <f t="shared" si="4"/>
        <v>890.15528402600989</v>
      </c>
      <c r="Y12" s="27">
        <f t="shared" si="4"/>
        <v>928.06172583059697</v>
      </c>
      <c r="Z12" s="27">
        <f t="shared" si="4"/>
        <v>965.66164654242448</v>
      </c>
      <c r="AA12" s="27">
        <f t="shared" si="4"/>
        <v>1002.9550461614924</v>
      </c>
      <c r="AB12" s="27">
        <f t="shared" si="4"/>
        <v>1039.9419246878008</v>
      </c>
      <c r="AC12" s="27">
        <f t="shared" si="4"/>
        <v>1076.6222821213494</v>
      </c>
      <c r="AD12" s="27">
        <f t="shared" si="4"/>
        <v>1082.464213536294</v>
      </c>
      <c r="AE12" s="27">
        <f t="shared" si="4"/>
        <v>1089.6925017890781</v>
      </c>
      <c r="AF12" s="27">
        <f t="shared" si="4"/>
        <v>1098.3071468797025</v>
      </c>
      <c r="AG12" s="27">
        <f t="shared" si="4"/>
        <v>1108.3081488081671</v>
      </c>
      <c r="AH12" s="53">
        <f t="shared" si="4"/>
        <v>1119.6955075744718</v>
      </c>
      <c r="AI12" s="53">
        <f t="shared" si="4"/>
        <v>1132.4692231786166</v>
      </c>
      <c r="AJ12" s="53">
        <f t="shared" si="4"/>
        <v>1154.7791505575005</v>
      </c>
      <c r="AK12" s="53">
        <f t="shared" si="4"/>
        <v>1177.7982836019844</v>
      </c>
      <c r="AL12" s="53">
        <f t="shared" si="4"/>
        <v>1201.5266223120686</v>
      </c>
      <c r="AM12" s="53">
        <f t="shared" si="4"/>
        <v>1225.9641666877533</v>
      </c>
      <c r="AN12" s="53">
        <f t="shared" si="4"/>
        <v>1251.1109167290379</v>
      </c>
      <c r="AO12" s="27">
        <f t="shared" si="4"/>
        <v>1276.9668724359231</v>
      </c>
      <c r="AP12" s="27">
        <f t="shared" si="4"/>
        <v>1303.5320338084082</v>
      </c>
    </row>
    <row r="13" spans="1:42" x14ac:dyDescent="0.25">
      <c r="A13" s="1" t="s">
        <v>26</v>
      </c>
      <c r="B13" s="52"/>
      <c r="C13" s="25"/>
      <c r="D13" s="25"/>
      <c r="E13" s="22">
        <f>'Données capacités de production'!B21</f>
        <v>0</v>
      </c>
      <c r="F13" s="22">
        <f>'Données capacités de production'!C21</f>
        <v>0</v>
      </c>
      <c r="G13" s="22">
        <f>'Données capacités de production'!D21</f>
        <v>0</v>
      </c>
      <c r="H13" s="22">
        <f>'Données capacités de production'!E21</f>
        <v>0</v>
      </c>
      <c r="I13" s="22">
        <f>'Données capacités de production'!F21</f>
        <v>0</v>
      </c>
      <c r="J13" s="22">
        <f>'Données capacités de production'!G21</f>
        <v>53.9554228652866</v>
      </c>
      <c r="K13" s="22">
        <f>'Données capacités de production'!H21</f>
        <v>106.6064289140498</v>
      </c>
      <c r="L13" s="22">
        <f>'Données capacités de production'!I21</f>
        <v>157.95301814628959</v>
      </c>
      <c r="M13" s="22">
        <f>'Données capacités de production'!J21</f>
        <v>207.99519056200594</v>
      </c>
      <c r="N13" s="22">
        <f>'Données capacités de production'!K21</f>
        <v>256.73294616119892</v>
      </c>
      <c r="O13" s="22">
        <f>'Données capacités de production'!L21</f>
        <v>304.16628494386839</v>
      </c>
      <c r="P13" s="22">
        <f>'Données capacités de production'!M21</f>
        <v>331.84363812355605</v>
      </c>
      <c r="Q13" s="22">
        <f>'Données capacités de production'!N21</f>
        <v>358.73834121332959</v>
      </c>
      <c r="R13" s="22">
        <f>'Données capacités de production'!O21</f>
        <v>384.85039421318896</v>
      </c>
      <c r="S13" s="22">
        <f>'Données capacités de production'!P21</f>
        <v>410.17979712313428</v>
      </c>
      <c r="T13" s="22">
        <f>'Données capacités de production'!Q21</f>
        <v>434.72654994316542</v>
      </c>
      <c r="U13" s="22">
        <f>'Données capacités de production'!R21</f>
        <v>458.49065267328257</v>
      </c>
      <c r="V13" s="22">
        <f>'Données capacités de production'!S21</f>
        <v>481.47210531348566</v>
      </c>
      <c r="W13" s="22">
        <f>'Données capacités de production'!T21</f>
        <v>504.27212543284497</v>
      </c>
      <c r="X13" s="22">
        <f>'Données capacités de production'!U21</f>
        <v>526.89071303136052</v>
      </c>
      <c r="Y13" s="22">
        <f>'Données capacités de production'!V21</f>
        <v>549.32786810903247</v>
      </c>
      <c r="Z13" s="22">
        <f>'Données capacités de production'!W21</f>
        <v>571.58359066586058</v>
      </c>
      <c r="AA13" s="22">
        <f>'Données capacités de production'!X21</f>
        <v>593.65788070184499</v>
      </c>
      <c r="AB13" s="22">
        <f>'Données capacités de production'!Y21</f>
        <v>615.55073821698556</v>
      </c>
      <c r="AC13" s="22">
        <f>'Données capacités de production'!Z21</f>
        <v>637.2621632112822</v>
      </c>
      <c r="AD13" s="22">
        <f>'Données capacités de production'!AA21</f>
        <v>640.72005360853848</v>
      </c>
      <c r="AE13" s="22">
        <f>'Données capacités de production'!AB21</f>
        <v>644.99854076673455</v>
      </c>
      <c r="AF13" s="22">
        <f>'Données capacités de production'!AC21</f>
        <v>650.09762468587076</v>
      </c>
      <c r="AG13" s="22">
        <f>'Données capacités de production'!AD21</f>
        <v>656.01730536594721</v>
      </c>
      <c r="AH13" s="34">
        <f>'Données capacités de production'!AE21</f>
        <v>662.75758280696368</v>
      </c>
      <c r="AI13" s="34">
        <f>'Données capacités de production'!AF21</f>
        <v>670.3184570089204</v>
      </c>
      <c r="AJ13" s="34">
        <f>'Données capacités de production'!AG21</f>
        <v>683.52389852601482</v>
      </c>
      <c r="AK13" s="34">
        <f>'Données capacités de production'!AH21</f>
        <v>697.14912509133569</v>
      </c>
      <c r="AL13" s="34">
        <f>'Données capacités de production'!AI21</f>
        <v>711.19413670488302</v>
      </c>
      <c r="AM13" s="34">
        <f>'Données capacités de production'!AJ21</f>
        <v>725.65893336665715</v>
      </c>
      <c r="AN13" s="34">
        <f>'Données capacités de production'!AK21</f>
        <v>740.54351507665763</v>
      </c>
      <c r="AO13" s="22">
        <f>'Données capacités de production'!AL21</f>
        <v>755.8478818348849</v>
      </c>
      <c r="AP13" s="22">
        <f>'Données capacités de production'!AM21</f>
        <v>771.57203364133852</v>
      </c>
    </row>
    <row r="14" spans="1:42" x14ac:dyDescent="0.25">
      <c r="A14" s="1" t="s">
        <v>25</v>
      </c>
      <c r="B14" s="52"/>
      <c r="C14" s="25"/>
      <c r="D14" s="25"/>
      <c r="E14" s="22">
        <f>'Données capacités de production'!B20</f>
        <v>0</v>
      </c>
      <c r="F14" s="22">
        <f>'Données capacités de production'!C20</f>
        <v>0</v>
      </c>
      <c r="G14" s="22">
        <f>'Données capacités de production'!D20</f>
        <v>0</v>
      </c>
      <c r="H14" s="22">
        <f>'Données capacités de production'!E20</f>
        <v>0</v>
      </c>
      <c r="I14" s="22">
        <f>'Données capacités de production'!F20</f>
        <v>0</v>
      </c>
      <c r="J14" s="22">
        <f>'Données capacités de production'!G20</f>
        <v>37.199542628542467</v>
      </c>
      <c r="K14" s="22">
        <f>'Données capacités de production'!H20</f>
        <v>73.499755655076214</v>
      </c>
      <c r="L14" s="22">
        <f>'Données capacités de production'!I20</f>
        <v>108.90063907960126</v>
      </c>
      <c r="M14" s="22">
        <f>'Données capacités de production'!J20</f>
        <v>143.40219290211755</v>
      </c>
      <c r="N14" s="22">
        <f>'Données capacités de production'!K20</f>
        <v>177.00441712262514</v>
      </c>
      <c r="O14" s="22">
        <f>'Données capacités de production'!L20</f>
        <v>209.70731174112402</v>
      </c>
      <c r="P14" s="22">
        <f>'Données capacités de production'!M20</f>
        <v>228.78945075101805</v>
      </c>
      <c r="Q14" s="22">
        <f>'Données capacités de production'!N20</f>
        <v>247.33199199970684</v>
      </c>
      <c r="R14" s="22">
        <f>'Données capacités de production'!O20</f>
        <v>265.33493548719031</v>
      </c>
      <c r="S14" s="22">
        <f>'Données capacités de production'!P20</f>
        <v>282.79828121346856</v>
      </c>
      <c r="T14" s="22">
        <f>'Données capacités de production'!Q20</f>
        <v>299.72202917854156</v>
      </c>
      <c r="U14" s="22">
        <f>'Données capacités de production'!R20</f>
        <v>316.10617938240927</v>
      </c>
      <c r="V14" s="22">
        <f>'Données capacités de production'!S20</f>
        <v>331.95073182507173</v>
      </c>
      <c r="W14" s="22">
        <f>'Données capacités de production'!T20</f>
        <v>347.67019569581839</v>
      </c>
      <c r="X14" s="22">
        <f>'Données capacités de production'!U20</f>
        <v>363.26457099464932</v>
      </c>
      <c r="Y14" s="22">
        <f>'Données capacités de production'!V20</f>
        <v>378.7338577215645</v>
      </c>
      <c r="Z14" s="22">
        <f>'Données capacités de production'!W20</f>
        <v>394.07805587656389</v>
      </c>
      <c r="AA14" s="22">
        <f>'Données capacités de production'!X20</f>
        <v>409.29716545964749</v>
      </c>
      <c r="AB14" s="22">
        <f>'Données capacités de production'!Y20</f>
        <v>424.39118647081528</v>
      </c>
      <c r="AC14" s="22">
        <f>'Données capacités de production'!Z20</f>
        <v>439.36011891006717</v>
      </c>
      <c r="AD14" s="22">
        <f>'Données capacités de production'!AA20</f>
        <v>441.7441599277555</v>
      </c>
      <c r="AE14" s="22">
        <f>'Données capacités de production'!AB20</f>
        <v>444.69396102234356</v>
      </c>
      <c r="AF14" s="22">
        <f>'Données capacités de production'!AC20</f>
        <v>448.20952219383173</v>
      </c>
      <c r="AG14" s="22">
        <f>'Données capacités de production'!AD20</f>
        <v>452.29084344221985</v>
      </c>
      <c r="AH14" s="34">
        <f>'Données capacités de production'!AE20</f>
        <v>456.93792476750804</v>
      </c>
      <c r="AI14" s="34">
        <f>'Données capacités de production'!AF20</f>
        <v>462.15076616969617</v>
      </c>
      <c r="AJ14" s="34">
        <f>'Données capacités de production'!AG20</f>
        <v>471.25525203148567</v>
      </c>
      <c r="AK14" s="34">
        <f>'Données capacités de production'!AH20</f>
        <v>480.64915851064876</v>
      </c>
      <c r="AL14" s="34">
        <f>'Données capacités de production'!AI20</f>
        <v>490.33248560718556</v>
      </c>
      <c r="AM14" s="34">
        <f>'Données capacités de production'!AJ20</f>
        <v>500.30523332109613</v>
      </c>
      <c r="AN14" s="34">
        <f>'Données capacités de production'!AK20</f>
        <v>510.56740165238023</v>
      </c>
      <c r="AO14" s="22">
        <f>'Données capacités de production'!AL20</f>
        <v>521.11899060103815</v>
      </c>
      <c r="AP14" s="22">
        <f>'Données capacités de production'!AM20</f>
        <v>531.96000016706967</v>
      </c>
    </row>
    <row r="15" spans="1:42" x14ac:dyDescent="0.25">
      <c r="A15" s="1"/>
      <c r="B15" s="5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52"/>
      <c r="AI15" s="52"/>
      <c r="AJ15" s="52"/>
      <c r="AK15" s="52"/>
      <c r="AL15" s="52"/>
      <c r="AM15" s="52"/>
      <c r="AN15" s="52"/>
      <c r="AO15" s="1"/>
      <c r="AP15" s="13"/>
    </row>
    <row r="17" spans="1:43" x14ac:dyDescent="0.25">
      <c r="A17" s="40" t="s">
        <v>120</v>
      </c>
      <c r="B17" s="40"/>
      <c r="C17" s="40"/>
      <c r="D17" s="40"/>
      <c r="E17" s="61">
        <f>E18+E19</f>
        <v>825.56192536506228</v>
      </c>
      <c r="F17" s="61">
        <f t="shared" ref="F17:AP17" si="5">F18+F19</f>
        <v>1058.8456438886572</v>
      </c>
      <c r="G17" s="61">
        <f t="shared" si="5"/>
        <v>1286.5768687696577</v>
      </c>
      <c r="H17" s="61">
        <f t="shared" si="5"/>
        <v>1508.755600008064</v>
      </c>
      <c r="I17" s="61">
        <f t="shared" si="5"/>
        <v>1725.3818376038757</v>
      </c>
      <c r="J17" s="61">
        <f t="shared" si="5"/>
        <v>1936.455581557093</v>
      </c>
      <c r="K17" s="61">
        <f t="shared" si="5"/>
        <v>2141.9768318677161</v>
      </c>
      <c r="L17" s="61">
        <f t="shared" si="5"/>
        <v>2341.9455885357447</v>
      </c>
      <c r="M17" s="61">
        <f t="shared" si="5"/>
        <v>2536.3618515611793</v>
      </c>
      <c r="N17" s="61">
        <f t="shared" si="5"/>
        <v>2725.2256209440197</v>
      </c>
      <c r="O17" s="61">
        <f t="shared" si="5"/>
        <v>2908.5368966842648</v>
      </c>
      <c r="P17" s="61">
        <f t="shared" si="5"/>
        <v>3086.2956787819162</v>
      </c>
      <c r="Q17" s="61">
        <f t="shared" si="5"/>
        <v>3258.5019672369731</v>
      </c>
      <c r="R17" s="61">
        <f t="shared" si="5"/>
        <v>3425.1557620494364</v>
      </c>
      <c r="S17" s="61">
        <f t="shared" si="5"/>
        <v>3586.2570632193047</v>
      </c>
      <c r="T17" s="61">
        <f t="shared" si="5"/>
        <v>3741.8058707465789</v>
      </c>
      <c r="U17" s="61">
        <f t="shared" si="5"/>
        <v>3891.8021846312595</v>
      </c>
      <c r="V17" s="61">
        <f t="shared" si="5"/>
        <v>4036.2460048733456</v>
      </c>
      <c r="W17" s="61">
        <f t="shared" si="5"/>
        <v>4177.260854213866</v>
      </c>
      <c r="X17" s="61">
        <f t="shared" si="5"/>
        <v>4314.8467326528234</v>
      </c>
      <c r="Y17" s="61">
        <f t="shared" si="5"/>
        <v>4449.0036401902144</v>
      </c>
      <c r="Z17" s="61">
        <f t="shared" si="5"/>
        <v>4579.7315768260414</v>
      </c>
      <c r="AA17" s="61">
        <f t="shared" si="5"/>
        <v>4707.0305425603028</v>
      </c>
      <c r="AB17" s="61">
        <f t="shared" si="5"/>
        <v>4830.9005373929986</v>
      </c>
      <c r="AC17" s="61">
        <f t="shared" si="5"/>
        <v>4951.3415613241286</v>
      </c>
      <c r="AD17" s="61">
        <f t="shared" si="5"/>
        <v>5068.3536143536949</v>
      </c>
      <c r="AE17" s="61">
        <f t="shared" si="5"/>
        <v>5077.450466585884</v>
      </c>
      <c r="AF17" s="61">
        <f t="shared" si="5"/>
        <v>5085.658385256067</v>
      </c>
      <c r="AG17" s="61">
        <f t="shared" si="5"/>
        <v>5092.9773703642422</v>
      </c>
      <c r="AH17" s="61">
        <f t="shared" si="5"/>
        <v>5099.4074219104114</v>
      </c>
      <c r="AI17" s="61">
        <f t="shared" si="5"/>
        <v>5104.9485398945744</v>
      </c>
      <c r="AJ17" s="61">
        <f t="shared" si="5"/>
        <v>5109.6007243167305</v>
      </c>
      <c r="AK17" s="61">
        <f t="shared" si="5"/>
        <v>5113.3639751768806</v>
      </c>
      <c r="AL17" s="61">
        <f t="shared" si="5"/>
        <v>5116.2382924750227</v>
      </c>
      <c r="AM17" s="61">
        <f t="shared" si="5"/>
        <v>5118.2236762111597</v>
      </c>
      <c r="AN17" s="61">
        <f t="shared" si="5"/>
        <v>5119.3201263852889</v>
      </c>
      <c r="AO17" s="61">
        <f t="shared" si="5"/>
        <v>5119.5276429974119</v>
      </c>
      <c r="AP17" s="61">
        <f t="shared" si="5"/>
        <v>5118.8462260475271</v>
      </c>
    </row>
    <row r="18" spans="1:43" x14ac:dyDescent="0.25">
      <c r="A18" s="1" t="s">
        <v>26</v>
      </c>
      <c r="B18" s="52"/>
      <c r="C18" s="13"/>
      <c r="D18" s="13"/>
      <c r="E18" s="26">
        <f>'Données capacités de production'!B34</f>
        <v>687.00607651996245</v>
      </c>
      <c r="F18" s="26">
        <f>'Données capacités de production'!C34</f>
        <v>881.13728249583426</v>
      </c>
      <c r="G18" s="26">
        <f>'Données capacités de production'!D34</f>
        <v>1070.6478818823048</v>
      </c>
      <c r="H18" s="26">
        <f>'Données capacités de production'!E34</f>
        <v>1255.5378746793735</v>
      </c>
      <c r="I18" s="26">
        <f>'Données capacités de production'!F34</f>
        <v>1435.8072608870409</v>
      </c>
      <c r="J18" s="26">
        <f>'Données capacités de production'!G34</f>
        <v>1611.4560405053066</v>
      </c>
      <c r="K18" s="26">
        <f>'Données capacités de production'!H34</f>
        <v>1782.484213534171</v>
      </c>
      <c r="L18" s="26">
        <f>'Données capacités de production'!I34</f>
        <v>1948.8917799736337</v>
      </c>
      <c r="M18" s="26">
        <f>'Données capacités de production'!J34</f>
        <v>2110.6787398236952</v>
      </c>
      <c r="N18" s="26">
        <f>'Données capacités de production'!K34</f>
        <v>2267.8450930843555</v>
      </c>
      <c r="O18" s="26">
        <f>'Données capacités de production'!L34</f>
        <v>2420.3908397556133</v>
      </c>
      <c r="P18" s="26">
        <f>'Données capacités de production'!M34</f>
        <v>2568.3159798374704</v>
      </c>
      <c r="Q18" s="26">
        <f>'Données capacités de production'!N34</f>
        <v>2711.6205133299259</v>
      </c>
      <c r="R18" s="26">
        <f>'Données capacités de production'!O34</f>
        <v>2850.3044402329806</v>
      </c>
      <c r="S18" s="26">
        <f>'Données capacités de production'!P34</f>
        <v>2984.3677605466332</v>
      </c>
      <c r="T18" s="26">
        <f>'Données capacités de production'!Q34</f>
        <v>3113.8104742708842</v>
      </c>
      <c r="U18" s="26">
        <f>'Données capacités de production'!R34</f>
        <v>3238.6325814057345</v>
      </c>
      <c r="V18" s="26">
        <f>'Données capacités de production'!S34</f>
        <v>3358.8340819511836</v>
      </c>
      <c r="W18" s="26">
        <f>'Données capacités de production'!T34</f>
        <v>3476.1821032200246</v>
      </c>
      <c r="X18" s="26">
        <f>'Données capacités de production'!U34</f>
        <v>3590.6766452122597</v>
      </c>
      <c r="Y18" s="26">
        <f>'Données capacités de production'!V34</f>
        <v>3702.3177079278862</v>
      </c>
      <c r="Z18" s="26">
        <f>'Données capacités de production'!W34</f>
        <v>3811.1052913669064</v>
      </c>
      <c r="AA18" s="26">
        <f>'Données capacités de production'!X34</f>
        <v>3917.0393955293184</v>
      </c>
      <c r="AB18" s="26">
        <f>'Données capacités de production'!Y34</f>
        <v>4020.1200204151228</v>
      </c>
      <c r="AC18" s="26">
        <f>'Données capacités de production'!Z34</f>
        <v>4120.3471660243194</v>
      </c>
      <c r="AD18" s="26">
        <f>'Données capacités de production'!AA34</f>
        <v>4217.7208323569093</v>
      </c>
      <c r="AE18" s="26">
        <f>'Données capacités de production'!AB34</f>
        <v>4225.2909401449524</v>
      </c>
      <c r="AF18" s="26">
        <f>'Données capacités de production'!AC34</f>
        <v>4232.1213060190858</v>
      </c>
      <c r="AG18" s="26">
        <f>'Données capacités de production'!AD34</f>
        <v>4238.2119299793076</v>
      </c>
      <c r="AH18" s="26">
        <f>'Données capacités de production'!AE34</f>
        <v>4243.5628120256197</v>
      </c>
      <c r="AI18" s="26">
        <f>'Données capacités de production'!AF34</f>
        <v>4248.1739521580221</v>
      </c>
      <c r="AJ18" s="26">
        <f>'Données capacités de production'!AG34</f>
        <v>4252.0453503765139</v>
      </c>
      <c r="AK18" s="26">
        <f>'Données capacités de production'!AH34</f>
        <v>4255.177006681095</v>
      </c>
      <c r="AL18" s="26">
        <f>'Données capacités de production'!AI34</f>
        <v>4257.5689210717655</v>
      </c>
      <c r="AM18" s="26">
        <f>'Données capacités de production'!AJ34</f>
        <v>4259.2210935485264</v>
      </c>
      <c r="AN18" s="26">
        <f>'Données capacités de production'!AK34</f>
        <v>4260.1335241113766</v>
      </c>
      <c r="AO18" s="26">
        <f>'Données capacités de production'!AL34</f>
        <v>4260.3062127603162</v>
      </c>
      <c r="AP18" s="26">
        <f>'Données capacités de production'!AM34</f>
        <v>4259.7391594953442</v>
      </c>
    </row>
    <row r="19" spans="1:43" x14ac:dyDescent="0.25">
      <c r="A19" s="1" t="s">
        <v>25</v>
      </c>
      <c r="B19" s="52"/>
      <c r="C19" s="13"/>
      <c r="D19" s="13"/>
      <c r="E19" s="26">
        <f>'Données capacités de production'!B33</f>
        <v>138.5558488450998</v>
      </c>
      <c r="F19" s="26">
        <f>'Données capacités de production'!C33</f>
        <v>177.70836139282287</v>
      </c>
      <c r="G19" s="26">
        <f>'Données capacités de production'!D33</f>
        <v>215.92898688735306</v>
      </c>
      <c r="H19" s="26">
        <f>'Données capacités de production'!E33</f>
        <v>253.21772532869042</v>
      </c>
      <c r="I19" s="26">
        <f>'Données capacités de production'!F33</f>
        <v>289.57457671683488</v>
      </c>
      <c r="J19" s="26">
        <f>'Données capacités de production'!G33</f>
        <v>324.99954105178642</v>
      </c>
      <c r="K19" s="26">
        <f>'Données capacités de production'!H33</f>
        <v>359.49261833354512</v>
      </c>
      <c r="L19" s="26">
        <f>'Données capacités de production'!I33</f>
        <v>393.05380856211093</v>
      </c>
      <c r="M19" s="26">
        <f>'Données capacités de production'!J33</f>
        <v>425.68311173748396</v>
      </c>
      <c r="N19" s="26">
        <f>'Données capacités de production'!K33</f>
        <v>457.38052785966414</v>
      </c>
      <c r="O19" s="26">
        <f>'Données capacités de production'!L33</f>
        <v>488.14605692865126</v>
      </c>
      <c r="P19" s="26">
        <f>'Données capacités de production'!M33</f>
        <v>517.97969894444566</v>
      </c>
      <c r="Q19" s="26">
        <f>'Données capacités de production'!N33</f>
        <v>546.8814539070471</v>
      </c>
      <c r="R19" s="26">
        <f>'Données capacités de production'!O33</f>
        <v>574.85132181645577</v>
      </c>
      <c r="S19" s="26">
        <f>'Données capacités de production'!P33</f>
        <v>601.88930267267153</v>
      </c>
      <c r="T19" s="26">
        <f>'Données capacités de production'!Q33</f>
        <v>627.99539647569452</v>
      </c>
      <c r="U19" s="26">
        <f>'Données capacités de production'!R33</f>
        <v>653.16960322552472</v>
      </c>
      <c r="V19" s="26">
        <f>'Données capacités de production'!S33</f>
        <v>677.41192292216192</v>
      </c>
      <c r="W19" s="26">
        <f>'Données capacités de production'!T33</f>
        <v>701.07875099384148</v>
      </c>
      <c r="X19" s="26">
        <f>'Données capacités de production'!U33</f>
        <v>724.17008744056375</v>
      </c>
      <c r="Y19" s="26">
        <f>'Données capacités de production'!V33</f>
        <v>746.68593226232815</v>
      </c>
      <c r="Z19" s="26">
        <f>'Données capacités de production'!W33</f>
        <v>768.62628545913503</v>
      </c>
      <c r="AA19" s="26">
        <f>'Données capacités de production'!X33</f>
        <v>789.99114703098428</v>
      </c>
      <c r="AB19" s="26">
        <f>'Données capacités de production'!Y33</f>
        <v>810.78051697787578</v>
      </c>
      <c r="AC19" s="26">
        <f>'Données capacités de production'!Z33</f>
        <v>830.99439529980964</v>
      </c>
      <c r="AD19" s="26">
        <f>'Données capacités de production'!AA33</f>
        <v>850.63278199678575</v>
      </c>
      <c r="AE19" s="26">
        <f>'Données capacités de production'!AB33</f>
        <v>852.15952644093159</v>
      </c>
      <c r="AF19" s="26">
        <f>'Données capacités de production'!AC33</f>
        <v>853.53707923698119</v>
      </c>
      <c r="AG19" s="26">
        <f>'Données capacités de production'!AD33</f>
        <v>854.76544038493432</v>
      </c>
      <c r="AH19" s="26">
        <f>'Données capacités de production'!AE33</f>
        <v>855.84460988479134</v>
      </c>
      <c r="AI19" s="26">
        <f>'Données capacités de production'!AF33</f>
        <v>856.77458773655223</v>
      </c>
      <c r="AJ19" s="26">
        <f>'Données capacités de production'!AG33</f>
        <v>857.55537394021678</v>
      </c>
      <c r="AK19" s="26">
        <f>'Données capacités de production'!AH33</f>
        <v>858.18696849578521</v>
      </c>
      <c r="AL19" s="26">
        <f>'Données capacités de production'!AI33</f>
        <v>858.66937140325717</v>
      </c>
      <c r="AM19" s="26">
        <f>'Données capacités de production'!AJ33</f>
        <v>859.00258266263302</v>
      </c>
      <c r="AN19" s="26">
        <f>'Données capacités de production'!AK33</f>
        <v>859.18660227391251</v>
      </c>
      <c r="AO19" s="26">
        <f>'Données capacités de production'!AL33</f>
        <v>859.22143023709589</v>
      </c>
      <c r="AP19" s="26">
        <f>'Données capacités de production'!AM33</f>
        <v>859.1070665521828</v>
      </c>
    </row>
    <row r="20" spans="1:43" x14ac:dyDescent="0.25">
      <c r="A20" s="1"/>
      <c r="B20" s="5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52"/>
      <c r="AI20" s="52"/>
      <c r="AJ20" s="52"/>
      <c r="AK20" s="52"/>
      <c r="AL20" s="52"/>
      <c r="AM20" s="52"/>
      <c r="AN20" s="52"/>
      <c r="AO20" s="52"/>
      <c r="AP20" s="13"/>
    </row>
    <row r="22" spans="1:43" x14ac:dyDescent="0.25">
      <c r="A22" s="40" t="s">
        <v>123</v>
      </c>
      <c r="B22" s="40"/>
      <c r="C22" s="40"/>
      <c r="D22" s="40"/>
      <c r="E22" s="61">
        <f t="shared" ref="E22:AP22" si="6">E23+E28+E32</f>
        <v>472.47128100000009</v>
      </c>
      <c r="F22" s="61">
        <f t="shared" si="6"/>
        <v>539.88580586921626</v>
      </c>
      <c r="G22" s="61">
        <f t="shared" si="6"/>
        <v>607.12318000642915</v>
      </c>
      <c r="H22" s="61">
        <f t="shared" si="6"/>
        <v>673.62090341163878</v>
      </c>
      <c r="I22" s="61">
        <f t="shared" si="6"/>
        <v>739.37897608484514</v>
      </c>
      <c r="J22" s="61">
        <f t="shared" si="6"/>
        <v>804.39739802604822</v>
      </c>
      <c r="K22" s="61">
        <f t="shared" si="6"/>
        <v>868.67616923524781</v>
      </c>
      <c r="L22" s="61">
        <f t="shared" si="6"/>
        <v>932.21528971244425</v>
      </c>
      <c r="M22" s="61">
        <f t="shared" si="6"/>
        <v>995.01475945763741</v>
      </c>
      <c r="N22" s="61">
        <f t="shared" si="6"/>
        <v>1057.0745784708274</v>
      </c>
      <c r="O22" s="61">
        <f t="shared" si="6"/>
        <v>1118.3947467520138</v>
      </c>
      <c r="P22" s="61">
        <f t="shared" si="6"/>
        <v>1178.9752643011971</v>
      </c>
      <c r="Q22" s="61">
        <f t="shared" si="6"/>
        <v>1238.8161311183769</v>
      </c>
      <c r="R22" s="61">
        <f t="shared" si="6"/>
        <v>1297.9173472035536</v>
      </c>
      <c r="S22" s="61">
        <f t="shared" si="6"/>
        <v>1356.2789125567267</v>
      </c>
      <c r="T22" s="61">
        <f t="shared" si="6"/>
        <v>1413.9008271778966</v>
      </c>
      <c r="U22" s="61">
        <f t="shared" si="6"/>
        <v>1470.7830910670632</v>
      </c>
      <c r="V22" s="61">
        <f t="shared" si="6"/>
        <v>1526.9257042242261</v>
      </c>
      <c r="W22" s="61">
        <f t="shared" si="6"/>
        <v>1582.4396142591866</v>
      </c>
      <c r="X22" s="61">
        <f t="shared" si="6"/>
        <v>1637.3248211719438</v>
      </c>
      <c r="Y22" s="61">
        <f t="shared" si="6"/>
        <v>1680.8938249624985</v>
      </c>
      <c r="Z22" s="61">
        <f t="shared" si="6"/>
        <v>1724.109901429988</v>
      </c>
      <c r="AA22" s="61">
        <f t="shared" si="6"/>
        <v>1766.9957223850752</v>
      </c>
      <c r="AB22" s="61">
        <f t="shared" si="6"/>
        <v>1809.55128782776</v>
      </c>
      <c r="AC22" s="61">
        <f t="shared" si="6"/>
        <v>1851.776597758042</v>
      </c>
      <c r="AD22" s="61">
        <f t="shared" si="6"/>
        <v>1893.6716521759217</v>
      </c>
      <c r="AE22" s="61">
        <f t="shared" si="6"/>
        <v>1935.2364510813995</v>
      </c>
      <c r="AF22" s="61">
        <f t="shared" si="6"/>
        <v>1976.4709944744745</v>
      </c>
      <c r="AG22" s="61">
        <f t="shared" si="6"/>
        <v>2017.3752823551476</v>
      </c>
      <c r="AH22" s="61">
        <f t="shared" si="6"/>
        <v>2057.949314723418</v>
      </c>
      <c r="AI22" s="61">
        <f t="shared" si="6"/>
        <v>2098.1930915792855</v>
      </c>
      <c r="AJ22" s="61">
        <f t="shared" si="6"/>
        <v>2138.1066129227511</v>
      </c>
      <c r="AK22" s="61">
        <f t="shared" si="6"/>
        <v>2177.6898787538144</v>
      </c>
      <c r="AL22" s="61">
        <f t="shared" si="6"/>
        <v>2216.9428890724753</v>
      </c>
      <c r="AM22" s="61">
        <f t="shared" si="6"/>
        <v>2255.8656438787334</v>
      </c>
      <c r="AN22" s="61">
        <f t="shared" si="6"/>
        <v>2294.4581431725892</v>
      </c>
      <c r="AO22" s="61">
        <f t="shared" si="6"/>
        <v>2332.7203869540426</v>
      </c>
      <c r="AP22" s="61">
        <f t="shared" si="6"/>
        <v>2370.6523752230937</v>
      </c>
    </row>
    <row r="23" spans="1:43" x14ac:dyDescent="0.25">
      <c r="A23" s="18" t="s">
        <v>125</v>
      </c>
      <c r="B23" s="27"/>
      <c r="C23" s="27"/>
      <c r="D23" s="27"/>
      <c r="E23" s="27">
        <f t="shared" ref="E23:AO23" si="7">E24+E25+E26</f>
        <v>119.28925890000002</v>
      </c>
      <c r="F23" s="27">
        <f t="shared" si="7"/>
        <v>158.34150722581202</v>
      </c>
      <c r="G23" s="27">
        <f t="shared" si="7"/>
        <v>197.393755551624</v>
      </c>
      <c r="H23" s="27">
        <f t="shared" si="7"/>
        <v>236.44600387743591</v>
      </c>
      <c r="I23" s="27">
        <f t="shared" si="7"/>
        <v>275.49825220324789</v>
      </c>
      <c r="J23" s="27">
        <f t="shared" si="7"/>
        <v>314.55050052905983</v>
      </c>
      <c r="K23" s="27">
        <f t="shared" si="7"/>
        <v>353.60274885487161</v>
      </c>
      <c r="L23" s="27">
        <f t="shared" si="7"/>
        <v>392.65499718068349</v>
      </c>
      <c r="M23" s="27">
        <f t="shared" si="7"/>
        <v>431.70724550649527</v>
      </c>
      <c r="N23" s="27">
        <f t="shared" si="7"/>
        <v>470.75949383230704</v>
      </c>
      <c r="O23" s="27">
        <f t="shared" si="7"/>
        <v>509.81174215811859</v>
      </c>
      <c r="P23" s="27">
        <f t="shared" si="7"/>
        <v>548.86399048393037</v>
      </c>
      <c r="Q23" s="27">
        <f t="shared" si="7"/>
        <v>587.91623880974191</v>
      </c>
      <c r="R23" s="27">
        <f t="shared" si="7"/>
        <v>626.96848713555346</v>
      </c>
      <c r="S23" s="27">
        <f t="shared" si="7"/>
        <v>666.02073546136478</v>
      </c>
      <c r="T23" s="27">
        <f t="shared" si="7"/>
        <v>705.0729837871761</v>
      </c>
      <c r="U23" s="27">
        <f t="shared" si="7"/>
        <v>744.12523211298731</v>
      </c>
      <c r="V23" s="27">
        <f t="shared" si="7"/>
        <v>783.1774804387984</v>
      </c>
      <c r="W23" s="27">
        <f t="shared" si="7"/>
        <v>822.22972876460949</v>
      </c>
      <c r="X23" s="27">
        <f t="shared" si="7"/>
        <v>861.28197709042047</v>
      </c>
      <c r="Y23" s="27">
        <f t="shared" si="7"/>
        <v>900.33422541623145</v>
      </c>
      <c r="Z23" s="27">
        <f t="shared" si="7"/>
        <v>939.38647374204231</v>
      </c>
      <c r="AA23" s="27">
        <f t="shared" si="7"/>
        <v>978.43872206785318</v>
      </c>
      <c r="AB23" s="27">
        <f t="shared" si="7"/>
        <v>1017.4909703936639</v>
      </c>
      <c r="AC23" s="27">
        <f t="shared" si="7"/>
        <v>1056.5432187194747</v>
      </c>
      <c r="AD23" s="27">
        <f t="shared" si="7"/>
        <v>1095.595467045285</v>
      </c>
      <c r="AE23" s="27">
        <f t="shared" si="7"/>
        <v>1134.6477153710955</v>
      </c>
      <c r="AF23" s="27">
        <f t="shared" si="7"/>
        <v>1173.6999636969058</v>
      </c>
      <c r="AG23" s="27">
        <f t="shared" si="7"/>
        <v>1212.7522120227161</v>
      </c>
      <c r="AH23" s="27">
        <f t="shared" si="7"/>
        <v>1251.8044603485262</v>
      </c>
      <c r="AI23" s="27">
        <f t="shared" si="7"/>
        <v>1290.8567086743358</v>
      </c>
      <c r="AJ23" s="27">
        <f t="shared" si="7"/>
        <v>1329.9089570001456</v>
      </c>
      <c r="AK23" s="27">
        <f t="shared" si="7"/>
        <v>1368.9612053259552</v>
      </c>
      <c r="AL23" s="27">
        <f t="shared" si="7"/>
        <v>1408.0134536517646</v>
      </c>
      <c r="AM23" s="27">
        <f t="shared" si="7"/>
        <v>1447.065701977574</v>
      </c>
      <c r="AN23" s="27">
        <f t="shared" si="7"/>
        <v>1486.1179503033827</v>
      </c>
      <c r="AO23" s="27">
        <f t="shared" si="7"/>
        <v>1525.1701986291916</v>
      </c>
      <c r="AP23" s="27">
        <f>AP24+AP25+AP26</f>
        <v>1564.2224469550004</v>
      </c>
    </row>
    <row r="24" spans="1:43" x14ac:dyDescent="0.25">
      <c r="A24" s="1" t="s">
        <v>26</v>
      </c>
      <c r="B24" s="52"/>
      <c r="C24" s="13"/>
      <c r="D24" s="13"/>
      <c r="E24" s="26">
        <f>'Données capacités de production'!B48</f>
        <v>73.034139114462548</v>
      </c>
      <c r="F24" s="26">
        <f>'Données capacités de production'!C48</f>
        <v>96.943645831666998</v>
      </c>
      <c r="G24" s="26">
        <f>'Données capacités de production'!D48</f>
        <v>120.85315254887142</v>
      </c>
      <c r="H24" s="26">
        <f>'Données capacités de production'!E48</f>
        <v>144.76265926607581</v>
      </c>
      <c r="I24" s="26">
        <f>'Données capacités de production'!F48</f>
        <v>168.67216598328025</v>
      </c>
      <c r="J24" s="26">
        <f>'Données capacités de production'!G48</f>
        <v>192.58167270048466</v>
      </c>
      <c r="K24" s="26">
        <f>'Données capacités de production'!H48</f>
        <v>216.49117941768898</v>
      </c>
      <c r="L24" s="26">
        <f>'Données capacités de production'!I48</f>
        <v>240.40068613489333</v>
      </c>
      <c r="M24" s="26">
        <f>'Données capacités de production'!J48</f>
        <v>264.31019285209766</v>
      </c>
      <c r="N24" s="26">
        <f>'Données capacités de production'!K48</f>
        <v>288.21969956930195</v>
      </c>
      <c r="O24" s="26">
        <f>'Données capacités de production'!L48</f>
        <v>312.12920628650613</v>
      </c>
      <c r="P24" s="26">
        <f>'Données capacités de production'!M48</f>
        <v>336.03871300371043</v>
      </c>
      <c r="Q24" s="26">
        <f>'Données capacités de production'!N48</f>
        <v>359.94821972091461</v>
      </c>
      <c r="R24" s="26">
        <f>'Données capacités de production'!O48</f>
        <v>383.85772643811879</v>
      </c>
      <c r="S24" s="26">
        <f>'Données capacités de production'!P48</f>
        <v>407.7672331553228</v>
      </c>
      <c r="T24" s="26">
        <f>'Données capacités de production'!Q48</f>
        <v>431.67673987252687</v>
      </c>
      <c r="U24" s="26">
        <f>'Données capacités de production'!R48</f>
        <v>455.58624658973076</v>
      </c>
      <c r="V24" s="26">
        <f>'Données capacités de production'!S48</f>
        <v>479.49575330693472</v>
      </c>
      <c r="W24" s="26">
        <f>'Données capacités de production'!T48</f>
        <v>503.40526002413856</v>
      </c>
      <c r="X24" s="26">
        <f>'Données capacités de production'!U48</f>
        <v>527.31476674134228</v>
      </c>
      <c r="Y24" s="26">
        <f>'Données capacités de production'!V48</f>
        <v>551.22427345854612</v>
      </c>
      <c r="Z24" s="26">
        <f>'Données capacités de production'!W48</f>
        <v>575.13378017574996</v>
      </c>
      <c r="AA24" s="26">
        <f>'Données capacités de production'!X48</f>
        <v>599.04328689295369</v>
      </c>
      <c r="AB24" s="26">
        <f>'Données capacités de production'!Y48</f>
        <v>622.95279361015741</v>
      </c>
      <c r="AC24" s="26">
        <f>'Données capacités de production'!Z48</f>
        <v>646.86230032736103</v>
      </c>
      <c r="AD24" s="26">
        <f>'Données capacités de production'!AA48</f>
        <v>670.77180704456441</v>
      </c>
      <c r="AE24" s="26">
        <f>'Données capacités de production'!AB48</f>
        <v>694.68131376176802</v>
      </c>
      <c r="AF24" s="26">
        <f>'Données capacités de production'!AC48</f>
        <v>718.59082047897141</v>
      </c>
      <c r="AG24" s="26">
        <f>'Données capacités de production'!AD48</f>
        <v>742.50032719617479</v>
      </c>
      <c r="AH24" s="26">
        <f>'Données capacités de production'!AE48</f>
        <v>766.40983391337807</v>
      </c>
      <c r="AI24" s="26">
        <f>'Données capacités de production'!AF48</f>
        <v>790.31934063058111</v>
      </c>
      <c r="AJ24" s="26">
        <f>'Données capacités de production'!AG48</f>
        <v>814.22884734778427</v>
      </c>
      <c r="AK24" s="26">
        <f>'Données capacités de production'!AH48</f>
        <v>838.1383540649872</v>
      </c>
      <c r="AL24" s="26">
        <f>'Données capacités de production'!AI48</f>
        <v>862.04786078219001</v>
      </c>
      <c r="AM24" s="26">
        <f>'Données capacités de production'!AJ48</f>
        <v>885.95736749939294</v>
      </c>
      <c r="AN24" s="26">
        <f>'Données capacités de production'!AK48</f>
        <v>909.86687421659531</v>
      </c>
      <c r="AO24" s="26">
        <f>'Données capacités de production'!AL48</f>
        <v>933.7763809337979</v>
      </c>
      <c r="AP24" s="26">
        <f>'Données capacités de production'!AM48</f>
        <v>957.68588765100026</v>
      </c>
    </row>
    <row r="25" spans="1:43" x14ac:dyDescent="0.25">
      <c r="A25" s="1" t="s">
        <v>25</v>
      </c>
      <c r="B25" s="52"/>
      <c r="C25" s="13"/>
      <c r="D25" s="13"/>
      <c r="E25" s="26">
        <f>'Données capacités de production'!B47</f>
        <v>18.989003465537468</v>
      </c>
      <c r="F25" s="26">
        <f>'Données capacités de production'!C47</f>
        <v>25.205516885387997</v>
      </c>
      <c r="G25" s="26">
        <f>'Données capacités de production'!D47</f>
        <v>31.422030305238518</v>
      </c>
      <c r="H25" s="26">
        <f>'Données capacités de production'!E47</f>
        <v>37.638543725089029</v>
      </c>
      <c r="I25" s="26">
        <f>'Données capacités de production'!F47</f>
        <v>43.855057144939558</v>
      </c>
      <c r="J25" s="26">
        <f>'Données capacités de production'!G47</f>
        <v>50.071570564790072</v>
      </c>
      <c r="K25" s="26">
        <f>'Données capacités de production'!H47</f>
        <v>56.288083984640565</v>
      </c>
      <c r="L25" s="26">
        <f>'Données capacités de production'!I47</f>
        <v>62.504597404491072</v>
      </c>
      <c r="M25" s="26">
        <f>'Données capacités de production'!J47</f>
        <v>68.721110824341565</v>
      </c>
      <c r="N25" s="26">
        <f>'Données capacités de production'!K47</f>
        <v>74.937624244192051</v>
      </c>
      <c r="O25" s="26">
        <f>'Données capacités de production'!L47</f>
        <v>81.154137664042509</v>
      </c>
      <c r="P25" s="26">
        <f>'Données capacités de production'!M47</f>
        <v>87.370651083892994</v>
      </c>
      <c r="Q25" s="26">
        <f>'Données capacités de production'!N47</f>
        <v>93.587164503743452</v>
      </c>
      <c r="R25" s="26">
        <f>'Données capacités de production'!O47</f>
        <v>99.803677923593909</v>
      </c>
      <c r="S25" s="26">
        <f>'Données capacités de production'!P47</f>
        <v>106.02019134344432</v>
      </c>
      <c r="T25" s="26">
        <f>'Données capacités de production'!Q47</f>
        <v>112.23670476329475</v>
      </c>
      <c r="U25" s="26">
        <f>'Données capacités de production'!R47</f>
        <v>118.45321818314514</v>
      </c>
      <c r="V25" s="26">
        <f>'Données capacités de production'!S47</f>
        <v>124.66973160299553</v>
      </c>
      <c r="W25" s="26">
        <f>'Données capacités de production'!T47</f>
        <v>130.88624502284588</v>
      </c>
      <c r="X25" s="26">
        <f>'Données capacités de production'!U47</f>
        <v>137.10275844269626</v>
      </c>
      <c r="Y25" s="26">
        <f>'Données capacités de production'!V47</f>
        <v>143.31927186254663</v>
      </c>
      <c r="Z25" s="26">
        <f>'Données capacités de production'!W47</f>
        <v>149.53578528239697</v>
      </c>
      <c r="AA25" s="26">
        <f>'Données capacités de production'!X47</f>
        <v>155.75229870224732</v>
      </c>
      <c r="AB25" s="26">
        <f>'Données capacités de production'!Y47</f>
        <v>161.96881212209766</v>
      </c>
      <c r="AC25" s="26">
        <f>'Données capacités de production'!Z47</f>
        <v>168.18532554194798</v>
      </c>
      <c r="AD25" s="26">
        <f>'Données capacités de production'!AA47</f>
        <v>174.40183896179823</v>
      </c>
      <c r="AE25" s="26">
        <f>'Données capacités de production'!AB47</f>
        <v>180.61835238164852</v>
      </c>
      <c r="AF25" s="26">
        <f>'Données capacités de production'!AC47</f>
        <v>186.83486580149878</v>
      </c>
      <c r="AG25" s="26">
        <f>'Données capacités de production'!AD47</f>
        <v>193.05137922134904</v>
      </c>
      <c r="AH25" s="26">
        <f>'Données capacités de production'!AE47</f>
        <v>199.26789264119927</v>
      </c>
      <c r="AI25" s="26">
        <f>'Données capacités de production'!AF47</f>
        <v>205.48440606104941</v>
      </c>
      <c r="AJ25" s="26">
        <f>'Données capacités de production'!AG47</f>
        <v>211.70091948089959</v>
      </c>
      <c r="AK25" s="26">
        <f>'Données capacités de production'!AH47</f>
        <v>217.9174329007497</v>
      </c>
      <c r="AL25" s="26">
        <f>'Données capacités de production'!AI47</f>
        <v>224.13394632059985</v>
      </c>
      <c r="AM25" s="26">
        <f>'Données capacités de production'!AJ47</f>
        <v>230.35045974044996</v>
      </c>
      <c r="AN25" s="26">
        <f>'Données capacités de production'!AK47</f>
        <v>236.56697316029997</v>
      </c>
      <c r="AO25" s="26">
        <f>'Données capacités de production'!AL47</f>
        <v>242.78348658015</v>
      </c>
      <c r="AP25" s="26">
        <f>'Données capacités de production'!AM47</f>
        <v>249</v>
      </c>
    </row>
    <row r="26" spans="1:43" x14ac:dyDescent="0.25">
      <c r="A26" s="1" t="s">
        <v>144</v>
      </c>
      <c r="B26" s="52"/>
      <c r="C26" s="13"/>
      <c r="D26" s="13"/>
      <c r="E26" s="26">
        <f>'Données capacités de production'!B50</f>
        <v>27.266116320000005</v>
      </c>
      <c r="F26" s="26">
        <f>'Données capacités de production'!C50</f>
        <v>36.192344508757031</v>
      </c>
      <c r="G26" s="26">
        <f>'Données capacités de production'!D50</f>
        <v>45.118572697514054</v>
      </c>
      <c r="H26" s="26">
        <f>'Données capacités de production'!E50</f>
        <v>54.044800886271069</v>
      </c>
      <c r="I26" s="26">
        <f>'Données capacités de production'!F50</f>
        <v>62.971029075028085</v>
      </c>
      <c r="J26" s="26">
        <f>'Données capacités de production'!G50</f>
        <v>71.897257263785093</v>
      </c>
      <c r="K26" s="26">
        <f>'Données capacités de production'!H50</f>
        <v>80.823485452542087</v>
      </c>
      <c r="L26" s="26">
        <f>'Données capacités de production'!I50</f>
        <v>89.749713641299067</v>
      </c>
      <c r="M26" s="26">
        <f>'Données capacités de production'!J50</f>
        <v>98.675941830056047</v>
      </c>
      <c r="N26" s="26">
        <f>'Données capacités de production'!K50</f>
        <v>107.60217001881301</v>
      </c>
      <c r="O26" s="26">
        <f>'Données capacités de production'!L50</f>
        <v>116.52839820756995</v>
      </c>
      <c r="P26" s="26">
        <f>'Données capacités de production'!M50</f>
        <v>125.45462639632692</v>
      </c>
      <c r="Q26" s="26">
        <f>'Données capacités de production'!N50</f>
        <v>134.38085458508385</v>
      </c>
      <c r="R26" s="26">
        <f>'Données capacités de production'!O50</f>
        <v>143.30708277384076</v>
      </c>
      <c r="S26" s="26">
        <f>'Données capacités de production'!P50</f>
        <v>152.23331096259764</v>
      </c>
      <c r="T26" s="26">
        <f>'Données capacités de production'!Q50</f>
        <v>161.15953915135452</v>
      </c>
      <c r="U26" s="26">
        <f>'Données capacités de production'!R50</f>
        <v>170.08576734011137</v>
      </c>
      <c r="V26" s="26">
        <f>'Données capacités de production'!S50</f>
        <v>179.0119955288682</v>
      </c>
      <c r="W26" s="26">
        <f>'Données capacités de production'!T50</f>
        <v>187.93822371762502</v>
      </c>
      <c r="X26" s="26">
        <f>'Données capacités de production'!U50</f>
        <v>196.86445190638182</v>
      </c>
      <c r="Y26" s="26">
        <f>'Données capacités de production'!V50</f>
        <v>205.79068009513861</v>
      </c>
      <c r="Z26" s="26">
        <f>'Données capacités de production'!W50</f>
        <v>214.71690828389538</v>
      </c>
      <c r="AA26" s="26">
        <f>'Données capacités de production'!X50</f>
        <v>223.64313647265215</v>
      </c>
      <c r="AB26" s="26">
        <f>'Données capacités de production'!Y50</f>
        <v>232.56936466140888</v>
      </c>
      <c r="AC26" s="26">
        <f>'Données capacités de production'!Z50</f>
        <v>241.49559285016559</v>
      </c>
      <c r="AD26" s="26">
        <f>'Données capacités de production'!AA50</f>
        <v>250.4218210389223</v>
      </c>
      <c r="AE26" s="26">
        <f>'Données capacités de production'!AB50</f>
        <v>259.34804922767898</v>
      </c>
      <c r="AF26" s="26">
        <f>'Données capacités de production'!AC50</f>
        <v>268.27427741643561</v>
      </c>
      <c r="AG26" s="26">
        <f>'Données capacités de production'!AD50</f>
        <v>277.20050560519223</v>
      </c>
      <c r="AH26" s="26">
        <f>'Données capacités de production'!AE50</f>
        <v>286.1267337939488</v>
      </c>
      <c r="AI26" s="26">
        <f>'Données capacités de production'!AF50</f>
        <v>295.05296198270531</v>
      </c>
      <c r="AJ26" s="26">
        <f>'Données capacités de production'!AG50</f>
        <v>303.97919017146182</v>
      </c>
      <c r="AK26" s="26">
        <f>'Données capacités de production'!AH50</f>
        <v>312.90541836021828</v>
      </c>
      <c r="AL26" s="26">
        <f>'Données capacités de production'!AI50</f>
        <v>321.83164654897467</v>
      </c>
      <c r="AM26" s="26">
        <f>'Données capacités de production'!AJ50</f>
        <v>330.75787473773107</v>
      </c>
      <c r="AN26" s="26">
        <f>'Données capacités de production'!AK50</f>
        <v>339.68410292648741</v>
      </c>
      <c r="AO26" s="26">
        <f>'Données capacités de production'!AL50</f>
        <v>348.61033111524375</v>
      </c>
      <c r="AP26" s="26">
        <f>'Données capacités de production'!AM50</f>
        <v>357.53655930400004</v>
      </c>
    </row>
    <row r="27" spans="1:43" x14ac:dyDescent="0.25">
      <c r="A27" s="1"/>
      <c r="B27" s="5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52"/>
      <c r="AI27" s="52"/>
      <c r="AJ27" s="52"/>
      <c r="AK27" s="52"/>
      <c r="AL27" s="52"/>
      <c r="AM27" s="52"/>
      <c r="AN27" s="52"/>
      <c r="AO27" s="1"/>
      <c r="AP27" s="13"/>
    </row>
    <row r="28" spans="1:43" x14ac:dyDescent="0.25">
      <c r="A28" s="16" t="s">
        <v>21</v>
      </c>
      <c r="B28" s="53"/>
      <c r="C28" s="27"/>
      <c r="D28" s="27"/>
      <c r="E28" s="27">
        <f t="shared" ref="E28:AO28" si="8">E29+E30</f>
        <v>128.18202210000004</v>
      </c>
      <c r="F28" s="27">
        <f t="shared" si="8"/>
        <v>130.81176204324356</v>
      </c>
      <c r="G28" s="27">
        <f t="shared" si="8"/>
        <v>133.44150198648708</v>
      </c>
      <c r="H28" s="27">
        <f t="shared" si="8"/>
        <v>136.0712419297306</v>
      </c>
      <c r="I28" s="27">
        <f t="shared" si="8"/>
        <v>138.7009818729741</v>
      </c>
      <c r="J28" s="27">
        <f t="shared" si="8"/>
        <v>141.33072181621759</v>
      </c>
      <c r="K28" s="27">
        <f t="shared" si="8"/>
        <v>143.96046175946108</v>
      </c>
      <c r="L28" s="27">
        <f t="shared" si="8"/>
        <v>146.59020170270452</v>
      </c>
      <c r="M28" s="27">
        <f t="shared" si="8"/>
        <v>149.21994164594796</v>
      </c>
      <c r="N28" s="27">
        <f t="shared" si="8"/>
        <v>151.84968158919139</v>
      </c>
      <c r="O28" s="27">
        <f t="shared" si="8"/>
        <v>154.47942153243477</v>
      </c>
      <c r="P28" s="27">
        <f t="shared" si="8"/>
        <v>157.10916147567818</v>
      </c>
      <c r="Q28" s="27">
        <f t="shared" si="8"/>
        <v>159.73890141892153</v>
      </c>
      <c r="R28" s="27">
        <f t="shared" si="8"/>
        <v>162.36864136216491</v>
      </c>
      <c r="S28" s="27">
        <f t="shared" si="8"/>
        <v>164.99838130540823</v>
      </c>
      <c r="T28" s="27">
        <f t="shared" si="8"/>
        <v>167.62812124865158</v>
      </c>
      <c r="U28" s="27">
        <f t="shared" si="8"/>
        <v>170.2578611918949</v>
      </c>
      <c r="V28" s="27">
        <f t="shared" si="8"/>
        <v>172.88760113513817</v>
      </c>
      <c r="W28" s="27">
        <f t="shared" si="8"/>
        <v>175.51734107838146</v>
      </c>
      <c r="X28" s="27">
        <f t="shared" si="8"/>
        <v>178.14708102162473</v>
      </c>
      <c r="Y28" s="27">
        <f t="shared" si="8"/>
        <v>180.77682096486794</v>
      </c>
      <c r="Z28" s="27">
        <f t="shared" si="8"/>
        <v>183.40656090811117</v>
      </c>
      <c r="AA28" s="27">
        <f t="shared" si="8"/>
        <v>186.03630085135438</v>
      </c>
      <c r="AB28" s="27">
        <f t="shared" si="8"/>
        <v>188.66604079459756</v>
      </c>
      <c r="AC28" s="27">
        <f t="shared" si="8"/>
        <v>191.29578073784074</v>
      </c>
      <c r="AD28" s="27">
        <f t="shared" si="8"/>
        <v>193.92552068108387</v>
      </c>
      <c r="AE28" s="27">
        <f t="shared" si="8"/>
        <v>196.55526062432699</v>
      </c>
      <c r="AF28" s="27">
        <f t="shared" si="8"/>
        <v>199.18500056757011</v>
      </c>
      <c r="AG28" s="27">
        <f t="shared" si="8"/>
        <v>201.81474051081321</v>
      </c>
      <c r="AH28" s="53">
        <f t="shared" si="8"/>
        <v>204.44448045405628</v>
      </c>
      <c r="AI28" s="53">
        <f t="shared" si="8"/>
        <v>207.07422039729934</v>
      </c>
      <c r="AJ28" s="53">
        <f t="shared" si="8"/>
        <v>209.70396034054241</v>
      </c>
      <c r="AK28" s="53">
        <f t="shared" si="8"/>
        <v>212.33370028378542</v>
      </c>
      <c r="AL28" s="53">
        <f t="shared" si="8"/>
        <v>214.96344022702843</v>
      </c>
      <c r="AM28" s="53">
        <f t="shared" si="8"/>
        <v>217.59318017027141</v>
      </c>
      <c r="AN28" s="53">
        <f t="shared" si="8"/>
        <v>220.22292011351436</v>
      </c>
      <c r="AO28" s="27">
        <f t="shared" si="8"/>
        <v>222.85266005675732</v>
      </c>
      <c r="AP28" s="27">
        <f>AP29+AP30</f>
        <v>225.4824000000003</v>
      </c>
    </row>
    <row r="29" spans="1:43" x14ac:dyDescent="0.25">
      <c r="A29" s="1" t="s">
        <v>26</v>
      </c>
      <c r="B29" s="52"/>
      <c r="C29" s="25"/>
      <c r="D29" s="25"/>
      <c r="E29" s="22">
        <f>'Données capacités de production'!B60</f>
        <v>104.28202558972609</v>
      </c>
      <c r="F29" s="22">
        <f>'Données capacités de production'!C60</f>
        <v>106.42144111432832</v>
      </c>
      <c r="G29" s="22">
        <f>'Données capacités de production'!D60</f>
        <v>108.56085663893055</v>
      </c>
      <c r="H29" s="22">
        <f>'Données capacités de production'!E60</f>
        <v>110.70027216353277</v>
      </c>
      <c r="I29" s="22">
        <f>'Données capacités de production'!F60</f>
        <v>112.83968768813497</v>
      </c>
      <c r="J29" s="22">
        <f>'Données capacités de production'!G60</f>
        <v>114.97910321273717</v>
      </c>
      <c r="K29" s="22">
        <f>'Données capacités de production'!H60</f>
        <v>117.11851873733937</v>
      </c>
      <c r="L29" s="22">
        <f>'Données capacités de production'!I60</f>
        <v>119.25793426194153</v>
      </c>
      <c r="M29" s="22">
        <f>'Données capacités de production'!J60</f>
        <v>121.39734978654369</v>
      </c>
      <c r="N29" s="22">
        <f>'Données capacités de production'!K60</f>
        <v>123.53676531114584</v>
      </c>
      <c r="O29" s="22">
        <f>'Données capacités de production'!L60</f>
        <v>125.67618083574796</v>
      </c>
      <c r="P29" s="22">
        <f>'Données capacités de production'!M60</f>
        <v>127.8155963603501</v>
      </c>
      <c r="Q29" s="22">
        <f>'Données capacités de production'!N60</f>
        <v>129.95501188495217</v>
      </c>
      <c r="R29" s="22">
        <f>'Données capacités de production'!O60</f>
        <v>132.0944274095543</v>
      </c>
      <c r="S29" s="22">
        <f>'Données capacités de production'!P60</f>
        <v>134.23384293415634</v>
      </c>
      <c r="T29" s="22">
        <f>'Données capacités de production'!Q60</f>
        <v>136.37325845875844</v>
      </c>
      <c r="U29" s="22">
        <f>'Données capacités de production'!R60</f>
        <v>138.51267398336051</v>
      </c>
      <c r="V29" s="22">
        <f>'Données capacités de production'!S60</f>
        <v>140.65208950796253</v>
      </c>
      <c r="W29" s="22">
        <f>'Données capacités de production'!T60</f>
        <v>142.79150503256457</v>
      </c>
      <c r="X29" s="22">
        <f>'Données capacités de production'!U60</f>
        <v>144.93092055716659</v>
      </c>
      <c r="Y29" s="22">
        <f>'Données capacités de production'!V60</f>
        <v>147.07033608176855</v>
      </c>
      <c r="Z29" s="22">
        <f>'Données capacités de production'!W60</f>
        <v>149.20975160637056</v>
      </c>
      <c r="AA29" s="22">
        <f>'Données capacités de production'!X60</f>
        <v>151.34916713097252</v>
      </c>
      <c r="AB29" s="22">
        <f>'Données capacités de production'!Y60</f>
        <v>153.48858265557448</v>
      </c>
      <c r="AC29" s="22">
        <f>'Données capacités de production'!Z60</f>
        <v>155.62799818017641</v>
      </c>
      <c r="AD29" s="22">
        <f>'Données capacités de production'!AA60</f>
        <v>157.76741370477833</v>
      </c>
      <c r="AE29" s="22">
        <f>'Données capacités de production'!AB60</f>
        <v>159.90682922938021</v>
      </c>
      <c r="AF29" s="22">
        <f>'Données capacités de production'!AC60</f>
        <v>162.04624475398214</v>
      </c>
      <c r="AG29" s="22">
        <f>'Données capacités de production'!AD60</f>
        <v>164.18566027858401</v>
      </c>
      <c r="AH29" s="34">
        <f>'Données capacités de production'!AE60</f>
        <v>166.32507580318585</v>
      </c>
      <c r="AI29" s="34">
        <f>'Données capacités de production'!AF60</f>
        <v>168.46449132778773</v>
      </c>
      <c r="AJ29" s="34">
        <f>'Données capacités de production'!AG60</f>
        <v>170.60390685238957</v>
      </c>
      <c r="AK29" s="34">
        <f>'Données capacités de production'!AH60</f>
        <v>172.74332237699139</v>
      </c>
      <c r="AL29" s="34">
        <f>'Données capacités de production'!AI60</f>
        <v>174.8827379015932</v>
      </c>
      <c r="AM29" s="34">
        <f>'Données capacités de production'!AJ60</f>
        <v>177.02215342619499</v>
      </c>
      <c r="AN29" s="34">
        <f>'Données capacités de production'!AK60</f>
        <v>179.16156895079675</v>
      </c>
      <c r="AO29" s="22">
        <f>'Données capacités de production'!AL60</f>
        <v>181.30098447539851</v>
      </c>
      <c r="AP29" s="22">
        <f>'Données capacités de production'!AM60</f>
        <v>183.4404000000003</v>
      </c>
      <c r="AQ29" s="22"/>
    </row>
    <row r="30" spans="1:43" x14ac:dyDescent="0.25">
      <c r="A30" s="1" t="s">
        <v>25</v>
      </c>
      <c r="B30" s="52"/>
      <c r="C30" s="25"/>
      <c r="D30" s="25"/>
      <c r="E30" s="22">
        <f>'Données capacités de production'!B59</f>
        <v>23.899996510273951</v>
      </c>
      <c r="F30" s="22">
        <f>'Données capacités de production'!C59</f>
        <v>24.390320928915244</v>
      </c>
      <c r="G30" s="22">
        <f>'Données capacités de production'!D59</f>
        <v>24.880645347556541</v>
      </c>
      <c r="H30" s="22">
        <f>'Données capacités de production'!E59</f>
        <v>25.370969766197835</v>
      </c>
      <c r="I30" s="22">
        <f>'Données capacités de production'!F59</f>
        <v>25.861294184839124</v>
      </c>
      <c r="J30" s="22">
        <f>'Données capacités de production'!G59</f>
        <v>26.351618603480414</v>
      </c>
      <c r="K30" s="22">
        <f>'Données capacités de production'!H59</f>
        <v>26.841943022121704</v>
      </c>
      <c r="L30" s="22">
        <f>'Données capacités de production'!I59</f>
        <v>27.332267440762983</v>
      </c>
      <c r="M30" s="22">
        <f>'Données capacités de production'!J59</f>
        <v>27.822591859404266</v>
      </c>
      <c r="N30" s="22">
        <f>'Données capacités de production'!K59</f>
        <v>28.312916278045545</v>
      </c>
      <c r="O30" s="22">
        <f>'Données capacités de production'!L59</f>
        <v>28.803240696686814</v>
      </c>
      <c r="P30" s="22">
        <f>'Données capacités de production'!M59</f>
        <v>29.293565115328086</v>
      </c>
      <c r="Q30" s="22">
        <f>'Données capacités de production'!N59</f>
        <v>29.783889533969351</v>
      </c>
      <c r="R30" s="22">
        <f>'Données capacités de production'!O59</f>
        <v>30.274213952610619</v>
      </c>
      <c r="S30" s="22">
        <f>'Données capacités de production'!P59</f>
        <v>30.764538371251877</v>
      </c>
      <c r="T30" s="22">
        <f>'Données capacités de production'!Q59</f>
        <v>31.254862789893139</v>
      </c>
      <c r="U30" s="22">
        <f>'Données capacités de production'!R59</f>
        <v>31.7451872085344</v>
      </c>
      <c r="V30" s="22">
        <f>'Données capacités de production'!S59</f>
        <v>32.235511627175647</v>
      </c>
      <c r="W30" s="22">
        <f>'Données capacités de production'!T59</f>
        <v>32.725836045816898</v>
      </c>
      <c r="X30" s="22">
        <f>'Données capacités de production'!U59</f>
        <v>33.216160464458149</v>
      </c>
      <c r="Y30" s="22">
        <f>'Données capacités de production'!V59</f>
        <v>33.706484883099385</v>
      </c>
      <c r="Z30" s="22">
        <f>'Données capacités de production'!W59</f>
        <v>34.196809301740622</v>
      </c>
      <c r="AA30" s="22">
        <f>'Données capacités de production'!X59</f>
        <v>34.687133720381865</v>
      </c>
      <c r="AB30" s="22">
        <f>'Données capacités de production'!Y59</f>
        <v>35.177458139023095</v>
      </c>
      <c r="AC30" s="22">
        <f>'Données capacités de production'!Z59</f>
        <v>35.667782557664324</v>
      </c>
      <c r="AD30" s="22">
        <f>'Données capacités de production'!AA59</f>
        <v>36.158106976305547</v>
      </c>
      <c r="AE30" s="22">
        <f>'Données capacités de production'!AB59</f>
        <v>36.648431394946769</v>
      </c>
      <c r="AF30" s="22">
        <f>'Données capacités de production'!AC59</f>
        <v>37.138755813587991</v>
      </c>
      <c r="AG30" s="22">
        <f>'Données capacités de production'!AD59</f>
        <v>37.629080232229207</v>
      </c>
      <c r="AH30" s="34">
        <f>'Données capacités de production'!AE59</f>
        <v>38.119404650870415</v>
      </c>
      <c r="AI30" s="34">
        <f>'Données capacités de production'!AF59</f>
        <v>38.609729069511623</v>
      </c>
      <c r="AJ30" s="34">
        <f>'Données capacités de production'!AG59</f>
        <v>39.100053488152838</v>
      </c>
      <c r="AK30" s="34">
        <f>'Données capacités de production'!AH59</f>
        <v>39.590377906794032</v>
      </c>
      <c r="AL30" s="34">
        <f>'Données capacités de production'!AI59</f>
        <v>40.080702325435233</v>
      </c>
      <c r="AM30" s="34">
        <f>'Données capacités de production'!AJ59</f>
        <v>40.571026744076427</v>
      </c>
      <c r="AN30" s="34">
        <f>'Données capacités de production'!AK59</f>
        <v>41.061351162717621</v>
      </c>
      <c r="AO30" s="22">
        <f>'Données capacités de production'!AL59</f>
        <v>41.551675581358808</v>
      </c>
      <c r="AP30" s="22">
        <f>'Données capacités de production'!AM59</f>
        <v>42.042000000000002</v>
      </c>
      <c r="AQ30" s="22"/>
    </row>
    <row r="31" spans="1:43" x14ac:dyDescent="0.25">
      <c r="A31" s="1"/>
      <c r="B31" s="5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52"/>
      <c r="AI31" s="52"/>
      <c r="AJ31" s="52"/>
      <c r="AK31" s="52"/>
      <c r="AL31" s="52"/>
      <c r="AM31" s="52"/>
      <c r="AN31" s="52"/>
      <c r="AO31" s="1"/>
      <c r="AP31" s="13"/>
    </row>
    <row r="32" spans="1:43" x14ac:dyDescent="0.25">
      <c r="A32" s="16" t="s">
        <v>22</v>
      </c>
      <c r="B32" s="54"/>
      <c r="C32" s="17"/>
      <c r="D32" s="17"/>
      <c r="E32" s="27">
        <f t="shared" ref="E32:AO32" si="9">E33+E34</f>
        <v>225</v>
      </c>
      <c r="F32" s="27">
        <f t="shared" si="9"/>
        <v>250.73253660016064</v>
      </c>
      <c r="G32" s="27">
        <f t="shared" si="9"/>
        <v>276.28792246831807</v>
      </c>
      <c r="H32" s="27">
        <f t="shared" si="9"/>
        <v>301.10365760447223</v>
      </c>
      <c r="I32" s="27">
        <f t="shared" si="9"/>
        <v>325.17974200862312</v>
      </c>
      <c r="J32" s="27">
        <f t="shared" si="9"/>
        <v>348.51617568077074</v>
      </c>
      <c r="K32" s="27">
        <f t="shared" si="9"/>
        <v>371.11295862091515</v>
      </c>
      <c r="L32" s="27">
        <f t="shared" si="9"/>
        <v>392.97009082905629</v>
      </c>
      <c r="M32" s="27">
        <f t="shared" si="9"/>
        <v>414.08757230519421</v>
      </c>
      <c r="N32" s="27">
        <f t="shared" si="9"/>
        <v>434.46540304932887</v>
      </c>
      <c r="O32" s="27">
        <f t="shared" si="9"/>
        <v>454.10358306146031</v>
      </c>
      <c r="P32" s="27">
        <f t="shared" si="9"/>
        <v>473.00211234158849</v>
      </c>
      <c r="Q32" s="27">
        <f t="shared" si="9"/>
        <v>491.1609908897135</v>
      </c>
      <c r="R32" s="27">
        <f t="shared" si="9"/>
        <v>508.58021870583525</v>
      </c>
      <c r="S32" s="27">
        <f t="shared" si="9"/>
        <v>525.25979578995373</v>
      </c>
      <c r="T32" s="27">
        <f t="shared" si="9"/>
        <v>541.19972214206894</v>
      </c>
      <c r="U32" s="27">
        <f t="shared" si="9"/>
        <v>556.39999776218099</v>
      </c>
      <c r="V32" s="27">
        <f t="shared" si="9"/>
        <v>570.86062265028966</v>
      </c>
      <c r="W32" s="27">
        <f t="shared" si="9"/>
        <v>584.69254441619557</v>
      </c>
      <c r="X32" s="27">
        <f t="shared" si="9"/>
        <v>597.89576305989863</v>
      </c>
      <c r="Y32" s="27">
        <f t="shared" si="9"/>
        <v>599.78277858139916</v>
      </c>
      <c r="Z32" s="27">
        <f t="shared" si="9"/>
        <v>601.31686677983441</v>
      </c>
      <c r="AA32" s="27">
        <f t="shared" si="9"/>
        <v>602.52069946586755</v>
      </c>
      <c r="AB32" s="27">
        <f t="shared" si="9"/>
        <v>603.39427663949834</v>
      </c>
      <c r="AC32" s="27">
        <f t="shared" si="9"/>
        <v>603.93759830072679</v>
      </c>
      <c r="AD32" s="27">
        <f t="shared" si="9"/>
        <v>604.15066444955301</v>
      </c>
      <c r="AE32" s="27">
        <f t="shared" si="9"/>
        <v>604.0334750859771</v>
      </c>
      <c r="AF32" s="27">
        <f t="shared" si="9"/>
        <v>603.58603020999874</v>
      </c>
      <c r="AG32" s="27">
        <f t="shared" si="9"/>
        <v>602.80832982161837</v>
      </c>
      <c r="AH32" s="53">
        <f t="shared" si="9"/>
        <v>601.70037392083555</v>
      </c>
      <c r="AI32" s="53">
        <f t="shared" si="9"/>
        <v>600.2621625076506</v>
      </c>
      <c r="AJ32" s="53">
        <f t="shared" si="9"/>
        <v>598.49369558206331</v>
      </c>
      <c r="AK32" s="53">
        <f t="shared" si="9"/>
        <v>596.39497314407379</v>
      </c>
      <c r="AL32" s="53">
        <f t="shared" si="9"/>
        <v>593.96599519368203</v>
      </c>
      <c r="AM32" s="53">
        <f t="shared" si="9"/>
        <v>591.20676173088805</v>
      </c>
      <c r="AN32" s="53">
        <f t="shared" si="9"/>
        <v>588.11727275569194</v>
      </c>
      <c r="AO32" s="27">
        <f t="shared" si="9"/>
        <v>584.69752826809349</v>
      </c>
      <c r="AP32" s="27">
        <f>AP33+AP34</f>
        <v>580.94752826809292</v>
      </c>
    </row>
    <row r="33" spans="1:42" x14ac:dyDescent="0.25">
      <c r="A33" s="1" t="s">
        <v>26</v>
      </c>
      <c r="B33" s="1"/>
      <c r="C33" s="1"/>
      <c r="D33" s="1"/>
      <c r="E33" s="26">
        <f>'Données capacités de production'!B71</f>
        <v>160.74229411253526</v>
      </c>
      <c r="F33" s="26">
        <f>'Données capacités de production'!C71</f>
        <v>179.1258806300668</v>
      </c>
      <c r="G33" s="26">
        <f>'Données capacités de production'!D71</f>
        <v>197.38290885841653</v>
      </c>
      <c r="H33" s="26">
        <f>'Données capacités de production'!E71</f>
        <v>215.11152306230304</v>
      </c>
      <c r="I33" s="26">
        <f>'Données capacités de production'!F71</f>
        <v>232.31172324172636</v>
      </c>
      <c r="J33" s="26">
        <f>'Données capacités de production'!G71</f>
        <v>248.98350939668649</v>
      </c>
      <c r="K33" s="26">
        <f>'Données capacités de production'!H71</f>
        <v>265.1268815271834</v>
      </c>
      <c r="L33" s="26">
        <f>'Données capacités de production'!I71</f>
        <v>280.74183963321713</v>
      </c>
      <c r="M33" s="26">
        <f>'Données capacités de production'!J71</f>
        <v>295.82838371478772</v>
      </c>
      <c r="N33" s="26">
        <f>'Données capacités de production'!K71</f>
        <v>310.38651377189507</v>
      </c>
      <c r="O33" s="26">
        <f>'Données capacités de production'!L71</f>
        <v>324.41622980453928</v>
      </c>
      <c r="P33" s="26">
        <f>'Données capacités de production'!M71</f>
        <v>337.91753181272026</v>
      </c>
      <c r="Q33" s="26">
        <f>'Données capacités de production'!N71</f>
        <v>350.8904197964381</v>
      </c>
      <c r="R33" s="26">
        <f>'Données capacités de production'!O71</f>
        <v>363.33489375569275</v>
      </c>
      <c r="S33" s="26">
        <f>'Données capacités de production'!P71</f>
        <v>375.25095369048421</v>
      </c>
      <c r="T33" s="26">
        <f>'Données capacités de production'!Q71</f>
        <v>386.63859960081243</v>
      </c>
      <c r="U33" s="26">
        <f>'Données capacités de production'!R71</f>
        <v>397.49783148667757</v>
      </c>
      <c r="V33" s="26">
        <f>'Données capacités de production'!S71</f>
        <v>407.82864934807935</v>
      </c>
      <c r="W33" s="26">
        <f>'Données capacités de production'!T71</f>
        <v>417.71031528868753</v>
      </c>
      <c r="X33" s="26">
        <f>'Données capacités de production'!U71</f>
        <v>427.14282930850186</v>
      </c>
      <c r="Y33" s="26">
        <f>'Données capacités de production'!V71</f>
        <v>428.49093243717721</v>
      </c>
      <c r="Z33" s="26">
        <f>'Données capacités de production'!W71</f>
        <v>429.5869006877881</v>
      </c>
      <c r="AA33" s="26">
        <f>'Données capacités de production'!X71</f>
        <v>430.4469310330353</v>
      </c>
      <c r="AB33" s="26">
        <f>'Données capacités de production'!Y71</f>
        <v>431.07102347291868</v>
      </c>
      <c r="AC33" s="26">
        <f>'Données capacités de production'!Z71</f>
        <v>431.4591780074382</v>
      </c>
      <c r="AD33" s="26">
        <f>'Données capacités de production'!AA71</f>
        <v>431.61139463659396</v>
      </c>
      <c r="AE33" s="26">
        <f>'Données capacités de production'!AB71</f>
        <v>431.52767336038607</v>
      </c>
      <c r="AF33" s="26">
        <f>'Données capacités de production'!AC71</f>
        <v>431.20801417881421</v>
      </c>
      <c r="AG33" s="26">
        <f>'Données capacités de production'!AD71</f>
        <v>430.65241709187882</v>
      </c>
      <c r="AH33" s="28">
        <f>'Données capacités de production'!AE71</f>
        <v>429.8608820995795</v>
      </c>
      <c r="AI33" s="28">
        <f>'Données capacités de production'!AF71</f>
        <v>428.83340920191642</v>
      </c>
      <c r="AJ33" s="28">
        <f>'Données capacités de production'!AG71</f>
        <v>427.5699983988896</v>
      </c>
      <c r="AK33" s="28">
        <f>'Données capacités de production'!AH71</f>
        <v>426.07064969049895</v>
      </c>
      <c r="AL33" s="28">
        <f>'Données capacités de production'!AI71</f>
        <v>424.33536307674456</v>
      </c>
      <c r="AM33" s="28">
        <f>'Données capacités de production'!AJ71</f>
        <v>422.36413855762646</v>
      </c>
      <c r="AN33" s="28">
        <f>'Données capacités de production'!AK71</f>
        <v>420.15697613314467</v>
      </c>
      <c r="AO33" s="26">
        <f>'Données capacités de production'!AL71</f>
        <v>417.713875803299</v>
      </c>
      <c r="AP33" s="26">
        <f>'Données capacités de production'!AM71</f>
        <v>415.03483756808964</v>
      </c>
    </row>
    <row r="34" spans="1:42" x14ac:dyDescent="0.25">
      <c r="A34" s="1" t="s">
        <v>25</v>
      </c>
      <c r="B34" s="1"/>
      <c r="C34" s="1"/>
      <c r="D34" s="1"/>
      <c r="E34" s="26">
        <f>'Données capacités de production'!B70</f>
        <v>64.257705887464752</v>
      </c>
      <c r="F34" s="26">
        <f>'Données capacités de production'!C70</f>
        <v>71.60665597009384</v>
      </c>
      <c r="G34" s="26">
        <f>'Données capacités de production'!D70</f>
        <v>78.905013609901545</v>
      </c>
      <c r="H34" s="26">
        <f>'Données capacités de production'!E70</f>
        <v>85.992134542169183</v>
      </c>
      <c r="I34" s="26">
        <f>'Données capacités de production'!F70</f>
        <v>92.868018766896768</v>
      </c>
      <c r="J34" s="26">
        <f>'Données capacités de production'!G70</f>
        <v>99.532666284084272</v>
      </c>
      <c r="K34" s="26">
        <f>'Données capacités de production'!H70</f>
        <v>105.98607709373175</v>
      </c>
      <c r="L34" s="26">
        <f>'Données capacités de production'!I70</f>
        <v>112.22825119583915</v>
      </c>
      <c r="M34" s="26">
        <f>'Données capacités de production'!J70</f>
        <v>118.25918859040651</v>
      </c>
      <c r="N34" s="26">
        <f>'Données capacités de production'!K70</f>
        <v>124.0788892774338</v>
      </c>
      <c r="O34" s="26">
        <f>'Données capacités de production'!L70</f>
        <v>129.68735325692106</v>
      </c>
      <c r="P34" s="26">
        <f>'Données capacités de production'!M70</f>
        <v>135.08458052886823</v>
      </c>
      <c r="Q34" s="26">
        <f>'Données capacités de production'!N70</f>
        <v>140.27057109327541</v>
      </c>
      <c r="R34" s="26">
        <f>'Données capacités de production'!O70</f>
        <v>145.24532495014248</v>
      </c>
      <c r="S34" s="26">
        <f>'Données capacités de production'!P70</f>
        <v>150.00884209946952</v>
      </c>
      <c r="T34" s="26">
        <f>'Données capacités de production'!Q70</f>
        <v>154.56112254125651</v>
      </c>
      <c r="U34" s="26">
        <f>'Données capacités de production'!R70</f>
        <v>158.90216627550345</v>
      </c>
      <c r="V34" s="26">
        <f>'Données capacités de production'!S70</f>
        <v>163.03197330221028</v>
      </c>
      <c r="W34" s="26">
        <f>'Données capacités de production'!T70</f>
        <v>166.98222912750808</v>
      </c>
      <c r="X34" s="26">
        <f>'Données capacités de production'!U70</f>
        <v>170.7529337513968</v>
      </c>
      <c r="Y34" s="26">
        <f>'Données capacités de production'!V70</f>
        <v>171.29184614422195</v>
      </c>
      <c r="Z34" s="26">
        <f>'Données capacités de production'!W70</f>
        <v>171.72996609204634</v>
      </c>
      <c r="AA34" s="26">
        <f>'Données capacités de production'!X70</f>
        <v>172.07376843283225</v>
      </c>
      <c r="AB34" s="26">
        <f>'Données capacités de production'!Y70</f>
        <v>172.32325316657969</v>
      </c>
      <c r="AC34" s="26">
        <f>'Données capacités de production'!Z70</f>
        <v>172.47842029328859</v>
      </c>
      <c r="AD34" s="26">
        <f>'Données capacités de production'!AA70</f>
        <v>172.53926981295905</v>
      </c>
      <c r="AE34" s="26">
        <f>'Données capacités de production'!AB70</f>
        <v>172.50580172559106</v>
      </c>
      <c r="AF34" s="26">
        <f>'Données capacités de production'!AC70</f>
        <v>172.3780160311845</v>
      </c>
      <c r="AG34" s="26">
        <f>'Données capacités de production'!AD70</f>
        <v>172.15591272973955</v>
      </c>
      <c r="AH34" s="26">
        <f>'Données capacités de production'!AE70</f>
        <v>171.83949182125608</v>
      </c>
      <c r="AI34" s="26">
        <f>'Données capacités de production'!AF70</f>
        <v>171.42875330573415</v>
      </c>
      <c r="AJ34" s="26">
        <f>'Données capacités de production'!AG70</f>
        <v>170.92369718317372</v>
      </c>
      <c r="AK34" s="26">
        <f>'Données capacités de production'!AH70</f>
        <v>170.32432345357481</v>
      </c>
      <c r="AL34" s="26">
        <f>'Données capacités de production'!AI70</f>
        <v>169.63063211693745</v>
      </c>
      <c r="AM34" s="26">
        <f>'Données capacités de production'!AJ70</f>
        <v>168.84262317326159</v>
      </c>
      <c r="AN34" s="26">
        <f>'Données capacités de production'!AK70</f>
        <v>167.96029662254728</v>
      </c>
      <c r="AO34" s="26">
        <f>'Données capacités de production'!AL70</f>
        <v>166.98365246479449</v>
      </c>
      <c r="AP34" s="26">
        <f>'Données capacités de production'!AM70</f>
        <v>165.91269070000325</v>
      </c>
    </row>
    <row r="37" spans="1:42" x14ac:dyDescent="0.25">
      <c r="A37" s="40" t="s">
        <v>129</v>
      </c>
      <c r="B37" s="40"/>
      <c r="C37" s="40"/>
      <c r="D37" s="40"/>
      <c r="E37" s="61">
        <f>E38</f>
        <v>84.241910432886939</v>
      </c>
      <c r="F37" s="61">
        <f t="shared" ref="F37:AP37" si="10">F38</f>
        <v>84.558350821401305</v>
      </c>
      <c r="G37" s="61">
        <f t="shared" si="10"/>
        <v>84.836690310970411</v>
      </c>
      <c r="H37" s="61">
        <f t="shared" si="10"/>
        <v>85.076928901594258</v>
      </c>
      <c r="I37" s="61">
        <f t="shared" si="10"/>
        <v>85.279066593272844</v>
      </c>
      <c r="J37" s="61">
        <f t="shared" si="10"/>
        <v>85.443103386006172</v>
      </c>
      <c r="K37" s="61">
        <f t="shared" si="10"/>
        <v>85.569039279794254</v>
      </c>
      <c r="L37" s="61">
        <f t="shared" si="10"/>
        <v>85.656874274637076</v>
      </c>
      <c r="M37" s="61">
        <f t="shared" si="10"/>
        <v>85.706608370534639</v>
      </c>
      <c r="N37" s="61">
        <f t="shared" si="10"/>
        <v>85.718241567486956</v>
      </c>
      <c r="O37" s="61">
        <f t="shared" si="10"/>
        <v>85.691773865494014</v>
      </c>
      <c r="P37" s="61">
        <f t="shared" si="10"/>
        <v>85.627205264555798</v>
      </c>
      <c r="Q37" s="61">
        <f t="shared" si="10"/>
        <v>85.524535764672336</v>
      </c>
      <c r="R37" s="61">
        <f t="shared" si="10"/>
        <v>85.383765365843615</v>
      </c>
      <c r="S37" s="61">
        <f t="shared" si="10"/>
        <v>85.204894068069649</v>
      </c>
      <c r="T37" s="61">
        <f t="shared" si="10"/>
        <v>84.987921871350423</v>
      </c>
      <c r="U37" s="61">
        <f t="shared" si="10"/>
        <v>84.732848775685952</v>
      </c>
      <c r="V37" s="61">
        <f t="shared" si="10"/>
        <v>84.439674781076235</v>
      </c>
      <c r="W37" s="61">
        <f t="shared" si="10"/>
        <v>84.14650078646649</v>
      </c>
      <c r="X37" s="61">
        <f t="shared" si="10"/>
        <v>83.853326791856745</v>
      </c>
      <c r="Y37" s="61">
        <f t="shared" si="10"/>
        <v>83.560152797246985</v>
      </c>
      <c r="Z37" s="61">
        <f t="shared" si="10"/>
        <v>83.266978802637226</v>
      </c>
      <c r="AA37" s="61">
        <f t="shared" si="10"/>
        <v>82.973804808027438</v>
      </c>
      <c r="AB37" s="61">
        <f t="shared" si="10"/>
        <v>82.680630813417665</v>
      </c>
      <c r="AC37" s="61">
        <f t="shared" si="10"/>
        <v>82.387456818807877</v>
      </c>
      <c r="AD37" s="61">
        <f t="shared" si="10"/>
        <v>82.094282824198089</v>
      </c>
      <c r="AE37" s="61">
        <f t="shared" si="10"/>
        <v>81.801108829588287</v>
      </c>
      <c r="AF37" s="61">
        <f t="shared" si="10"/>
        <v>81.507934834978485</v>
      </c>
      <c r="AG37" s="61">
        <f t="shared" si="10"/>
        <v>81.214760840368683</v>
      </c>
      <c r="AH37" s="61">
        <f t="shared" si="10"/>
        <v>80.921586845758881</v>
      </c>
      <c r="AI37" s="61">
        <f t="shared" si="10"/>
        <v>80.628412851149008</v>
      </c>
      <c r="AJ37" s="61">
        <f t="shared" si="10"/>
        <v>80.300728154511404</v>
      </c>
      <c r="AK37" s="61">
        <f t="shared" si="10"/>
        <v>80.180292498317939</v>
      </c>
      <c r="AL37" s="61">
        <f t="shared" si="10"/>
        <v>80.09795774106972</v>
      </c>
      <c r="AM37" s="61">
        <f t="shared" si="10"/>
        <v>80.053723882766775</v>
      </c>
      <c r="AN37" s="61">
        <f t="shared" si="10"/>
        <v>80.047590923409061</v>
      </c>
      <c r="AO37" s="61">
        <f t="shared" si="10"/>
        <v>80.079558862996578</v>
      </c>
      <c r="AP37" s="61">
        <f t="shared" si="10"/>
        <v>80.149627701529354</v>
      </c>
    </row>
    <row r="38" spans="1:42" x14ac:dyDescent="0.25">
      <c r="A38" s="18" t="s">
        <v>15</v>
      </c>
      <c r="B38" s="27"/>
      <c r="C38" s="27"/>
      <c r="D38" s="27"/>
      <c r="E38" s="27">
        <f t="shared" ref="E38:AO38" si="11">E39+E40</f>
        <v>84.241910432886939</v>
      </c>
      <c r="F38" s="27">
        <f t="shared" si="11"/>
        <v>84.558350821401305</v>
      </c>
      <c r="G38" s="27">
        <f t="shared" si="11"/>
        <v>84.836690310970411</v>
      </c>
      <c r="H38" s="27">
        <f t="shared" si="11"/>
        <v>85.076928901594258</v>
      </c>
      <c r="I38" s="27">
        <f t="shared" si="11"/>
        <v>85.279066593272844</v>
      </c>
      <c r="J38" s="27">
        <f t="shared" si="11"/>
        <v>85.443103386006172</v>
      </c>
      <c r="K38" s="27">
        <f t="shared" si="11"/>
        <v>85.569039279794254</v>
      </c>
      <c r="L38" s="27">
        <f t="shared" si="11"/>
        <v>85.656874274637076</v>
      </c>
      <c r="M38" s="27">
        <f t="shared" si="11"/>
        <v>85.706608370534639</v>
      </c>
      <c r="N38" s="27">
        <f t="shared" si="11"/>
        <v>85.718241567486956</v>
      </c>
      <c r="O38" s="27">
        <f t="shared" si="11"/>
        <v>85.691773865494014</v>
      </c>
      <c r="P38" s="27">
        <f t="shared" si="11"/>
        <v>85.627205264555798</v>
      </c>
      <c r="Q38" s="27">
        <f t="shared" si="11"/>
        <v>85.524535764672336</v>
      </c>
      <c r="R38" s="27">
        <f t="shared" si="11"/>
        <v>85.383765365843615</v>
      </c>
      <c r="S38" s="27">
        <f t="shared" si="11"/>
        <v>85.204894068069649</v>
      </c>
      <c r="T38" s="27">
        <f t="shared" si="11"/>
        <v>84.987921871350423</v>
      </c>
      <c r="U38" s="27">
        <f t="shared" si="11"/>
        <v>84.732848775685952</v>
      </c>
      <c r="V38" s="27">
        <f t="shared" si="11"/>
        <v>84.439674781076235</v>
      </c>
      <c r="W38" s="27">
        <f t="shared" si="11"/>
        <v>84.14650078646649</v>
      </c>
      <c r="X38" s="27">
        <f t="shared" si="11"/>
        <v>83.853326791856745</v>
      </c>
      <c r="Y38" s="27">
        <f t="shared" si="11"/>
        <v>83.560152797246985</v>
      </c>
      <c r="Z38" s="27">
        <f t="shared" si="11"/>
        <v>83.266978802637226</v>
      </c>
      <c r="AA38" s="27">
        <f t="shared" si="11"/>
        <v>82.973804808027438</v>
      </c>
      <c r="AB38" s="27">
        <f t="shared" si="11"/>
        <v>82.680630813417665</v>
      </c>
      <c r="AC38" s="27">
        <f t="shared" si="11"/>
        <v>82.387456818807877</v>
      </c>
      <c r="AD38" s="27">
        <f t="shared" si="11"/>
        <v>82.094282824198089</v>
      </c>
      <c r="AE38" s="27">
        <f t="shared" si="11"/>
        <v>81.801108829588287</v>
      </c>
      <c r="AF38" s="27">
        <f t="shared" si="11"/>
        <v>81.507934834978485</v>
      </c>
      <c r="AG38" s="27">
        <f t="shared" si="11"/>
        <v>81.214760840368683</v>
      </c>
      <c r="AH38" s="27">
        <f t="shared" si="11"/>
        <v>80.921586845758881</v>
      </c>
      <c r="AI38" s="27">
        <f t="shared" si="11"/>
        <v>80.628412851149008</v>
      </c>
      <c r="AJ38" s="27">
        <f t="shared" si="11"/>
        <v>80.300728154511404</v>
      </c>
      <c r="AK38" s="27">
        <f t="shared" si="11"/>
        <v>80.180292498317939</v>
      </c>
      <c r="AL38" s="27">
        <f t="shared" si="11"/>
        <v>80.09795774106972</v>
      </c>
      <c r="AM38" s="27">
        <f t="shared" si="11"/>
        <v>80.053723882766775</v>
      </c>
      <c r="AN38" s="27">
        <f t="shared" si="11"/>
        <v>80.047590923409061</v>
      </c>
      <c r="AO38" s="27">
        <f t="shared" si="11"/>
        <v>80.079558862996578</v>
      </c>
      <c r="AP38" s="27">
        <f>AP39+AP40</f>
        <v>80.149627701529354</v>
      </c>
    </row>
    <row r="39" spans="1:42" x14ac:dyDescent="0.25">
      <c r="A39" s="1" t="s">
        <v>26</v>
      </c>
      <c r="B39" s="52"/>
      <c r="C39" s="13"/>
      <c r="D39" s="13"/>
      <c r="E39" s="26">
        <f>'Données capacités de production'!B83</f>
        <v>51.448899649432981</v>
      </c>
      <c r="F39" s="26">
        <f>'Données capacités de production'!C83</f>
        <v>51.642158678223325</v>
      </c>
      <c r="G39" s="26">
        <f>'Données capacités de production'!D83</f>
        <v>51.812148418409997</v>
      </c>
      <c r="H39" s="26">
        <f>'Données capacités de production'!E83</f>
        <v>51.958868869992997</v>
      </c>
      <c r="I39" s="26">
        <f>'Données capacités de production'!F83</f>
        <v>52.082320032972312</v>
      </c>
      <c r="J39" s="26">
        <f>'Données capacités de production'!G83</f>
        <v>52.182501907347962</v>
      </c>
      <c r="K39" s="26">
        <f>'Données capacités de production'!H83</f>
        <v>52.259414493119941</v>
      </c>
      <c r="L39" s="26">
        <f>'Données capacités de production'!I83</f>
        <v>52.313057790288241</v>
      </c>
      <c r="M39" s="26">
        <f>'Données capacités de production'!J83</f>
        <v>52.343431798852869</v>
      </c>
      <c r="N39" s="26">
        <f>'Données capacités de production'!K83</f>
        <v>52.350536518813826</v>
      </c>
      <c r="O39" s="26">
        <f>'Données capacités de production'!L83</f>
        <v>52.334371950171111</v>
      </c>
      <c r="P39" s="26">
        <f>'Données capacités de production'!M83</f>
        <v>52.29493809292471</v>
      </c>
      <c r="Q39" s="26">
        <f>'Données capacités de production'!N83</f>
        <v>52.232234947074637</v>
      </c>
      <c r="R39" s="26">
        <f>'Données capacités de production'!O83</f>
        <v>52.146262512620893</v>
      </c>
      <c r="S39" s="26">
        <f>'Données capacités de production'!P83</f>
        <v>52.037020789563485</v>
      </c>
      <c r="T39" s="26">
        <f>'Données capacités de production'!Q83</f>
        <v>51.904509777902398</v>
      </c>
      <c r="U39" s="26">
        <f>'Données capacités de production'!R83</f>
        <v>51.748729477637646</v>
      </c>
      <c r="V39" s="26">
        <f>'Données capacités de production'!S83</f>
        <v>51.569679888769222</v>
      </c>
      <c r="W39" s="26">
        <f>'Données capacités de production'!T83</f>
        <v>51.390630299900785</v>
      </c>
      <c r="X39" s="26">
        <f>'Données capacités de production'!U83</f>
        <v>51.211580711032347</v>
      </c>
      <c r="Y39" s="26">
        <f>'Données capacités de production'!V83</f>
        <v>51.032531122163903</v>
      </c>
      <c r="Z39" s="26">
        <f>'Données capacités de production'!W83</f>
        <v>50.853481533295458</v>
      </c>
      <c r="AA39" s="26">
        <f>'Données capacités de production'!X83</f>
        <v>50.674431944426992</v>
      </c>
      <c r="AB39" s="26">
        <f>'Données capacités de production'!Y83</f>
        <v>50.495382355558533</v>
      </c>
      <c r="AC39" s="26">
        <f>'Données capacités de production'!Z83</f>
        <v>50.316332766690074</v>
      </c>
      <c r="AD39" s="26">
        <f>'Données capacités de production'!AA83</f>
        <v>50.137283177821608</v>
      </c>
      <c r="AE39" s="26">
        <f>'Données capacités de production'!AB83</f>
        <v>49.958233588953135</v>
      </c>
      <c r="AF39" s="26">
        <f>'Données capacités de production'!AC83</f>
        <v>49.779184000084662</v>
      </c>
      <c r="AG39" s="26">
        <f>'Données capacités de production'!AD83</f>
        <v>49.600134411216189</v>
      </c>
      <c r="AH39" s="26">
        <f>'Données capacités de production'!AE83</f>
        <v>49.421084822347716</v>
      </c>
      <c r="AI39" s="26">
        <f>'Données capacités de production'!AF83</f>
        <v>49.2420352334792</v>
      </c>
      <c r="AJ39" s="26">
        <f>'Données capacités de production'!AG83</f>
        <v>49.041908990053201</v>
      </c>
      <c r="AK39" s="26">
        <f>'Données capacités de production'!AH83</f>
        <v>48.968355553790055</v>
      </c>
      <c r="AL39" s="26">
        <f>'Données capacités de production'!AI83</f>
        <v>48.918071406130579</v>
      </c>
      <c r="AM39" s="26">
        <f>'Données capacités de production'!AJ83</f>
        <v>48.891056547074783</v>
      </c>
      <c r="AN39" s="26">
        <f>'Données capacités de production'!AK83</f>
        <v>48.887310976622643</v>
      </c>
      <c r="AO39" s="26">
        <f>'Données capacités de production'!AL83</f>
        <v>48.906834694774162</v>
      </c>
      <c r="AP39" s="26">
        <f>'Données capacités de production'!AM83</f>
        <v>48.949627701529351</v>
      </c>
    </row>
    <row r="40" spans="1:42" x14ac:dyDescent="0.25">
      <c r="A40" s="1" t="s">
        <v>25</v>
      </c>
      <c r="B40" s="52"/>
      <c r="C40" s="13"/>
      <c r="D40" s="13"/>
      <c r="E40" s="26">
        <f>'Données capacités de production'!B82</f>
        <v>32.793010783453958</v>
      </c>
      <c r="F40" s="26">
        <f>'Données capacités de production'!C82</f>
        <v>32.91619214317798</v>
      </c>
      <c r="G40" s="26">
        <f>'Données capacités de production'!D82</f>
        <v>33.024541892560414</v>
      </c>
      <c r="H40" s="26">
        <f>'Données capacités de production'!E82</f>
        <v>33.11806003160126</v>
      </c>
      <c r="I40" s="26">
        <f>'Données capacités de production'!F82</f>
        <v>33.196746560300532</v>
      </c>
      <c r="J40" s="26">
        <f>'Données capacités de production'!G82</f>
        <v>33.260601478658209</v>
      </c>
      <c r="K40" s="26">
        <f>'Données capacités de production'!H82</f>
        <v>33.309624786674313</v>
      </c>
      <c r="L40" s="26">
        <f>'Données capacités de production'!I82</f>
        <v>33.343816484348835</v>
      </c>
      <c r="M40" s="26">
        <f>'Données capacités de production'!J82</f>
        <v>33.36317657168177</v>
      </c>
      <c r="N40" s="26">
        <f>'Données capacités de production'!K82</f>
        <v>33.36770504867313</v>
      </c>
      <c r="O40" s="26">
        <f>'Données capacités de production'!L82</f>
        <v>33.357401915322903</v>
      </c>
      <c r="P40" s="26">
        <f>'Données capacités de production'!M82</f>
        <v>33.332267171631088</v>
      </c>
      <c r="Q40" s="26">
        <f>'Données capacités de production'!N82</f>
        <v>33.292300817597699</v>
      </c>
      <c r="R40" s="26">
        <f>'Données capacités de production'!O82</f>
        <v>33.237502853222722</v>
      </c>
      <c r="S40" s="26">
        <f>'Données capacités de production'!P82</f>
        <v>33.167873278506164</v>
      </c>
      <c r="T40" s="26">
        <f>'Données capacités de production'!Q82</f>
        <v>33.083412093448025</v>
      </c>
      <c r="U40" s="26">
        <f>'Données capacités de production'!R82</f>
        <v>32.984119298048306</v>
      </c>
      <c r="V40" s="26">
        <f>'Données capacités de production'!S82</f>
        <v>32.869994892307012</v>
      </c>
      <c r="W40" s="26">
        <f>'Données capacités de production'!T82</f>
        <v>32.755870486565705</v>
      </c>
      <c r="X40" s="26">
        <f>'Données capacités de production'!U82</f>
        <v>32.641746080824397</v>
      </c>
      <c r="Y40" s="26">
        <f>'Données capacités de production'!V82</f>
        <v>32.527621675083083</v>
      </c>
      <c r="Z40" s="26">
        <f>'Données capacités de production'!W82</f>
        <v>32.413497269341768</v>
      </c>
      <c r="AA40" s="26">
        <f>'Données capacités de production'!X82</f>
        <v>32.299372863600446</v>
      </c>
      <c r="AB40" s="26">
        <f>'Données capacités de production'!Y82</f>
        <v>32.185248457859132</v>
      </c>
      <c r="AC40" s="26">
        <f>'Données capacités de production'!Z82</f>
        <v>32.071124052117803</v>
      </c>
      <c r="AD40" s="26">
        <f>'Données capacités de production'!AA82</f>
        <v>31.956999646376481</v>
      </c>
      <c r="AE40" s="26">
        <f>'Données capacités de production'!AB82</f>
        <v>31.842875240635152</v>
      </c>
      <c r="AF40" s="26">
        <f>'Données capacités de production'!AC82</f>
        <v>31.728750834893823</v>
      </c>
      <c r="AG40" s="26">
        <f>'Données capacités de production'!AD82</f>
        <v>31.614626429152494</v>
      </c>
      <c r="AH40" s="26">
        <f>'Données capacités de production'!AE82</f>
        <v>31.500502023411165</v>
      </c>
      <c r="AI40" s="26">
        <f>'Données capacités de production'!AF82</f>
        <v>31.386377617669808</v>
      </c>
      <c r="AJ40" s="26">
        <f>'Données capacités de production'!AG82</f>
        <v>31.258819164458199</v>
      </c>
      <c r="AK40" s="26">
        <f>'Données capacités de production'!AH82</f>
        <v>31.211936944527885</v>
      </c>
      <c r="AL40" s="26">
        <f>'Données capacités de production'!AI82</f>
        <v>31.179886334939145</v>
      </c>
      <c r="AM40" s="26">
        <f>'Données capacités de production'!AJ82</f>
        <v>31.162667335691996</v>
      </c>
      <c r="AN40" s="26">
        <f>'Données capacités de production'!AK82</f>
        <v>31.160279946786421</v>
      </c>
      <c r="AO40" s="26">
        <f>'Données capacités de production'!AL82</f>
        <v>31.172724168222416</v>
      </c>
      <c r="AP40" s="26">
        <f>'Données capacités de production'!AM82</f>
        <v>31.2</v>
      </c>
    </row>
    <row r="41" spans="1:42" x14ac:dyDescent="0.25">
      <c r="A41" s="1"/>
      <c r="B41" s="5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52"/>
      <c r="AI41" s="52"/>
      <c r="AJ41" s="52"/>
      <c r="AK41" s="52"/>
      <c r="AL41" s="52"/>
      <c r="AM41" s="52"/>
      <c r="AN41" s="52"/>
      <c r="AO41" s="1"/>
      <c r="AP41" s="13"/>
    </row>
    <row r="43" spans="1:42" x14ac:dyDescent="0.25">
      <c r="A43" s="40" t="s">
        <v>131</v>
      </c>
      <c r="B43" s="40"/>
      <c r="C43" s="40"/>
      <c r="D43" s="40"/>
      <c r="E43" s="61">
        <f>E44</f>
        <v>0.69747436000000018</v>
      </c>
      <c r="F43" s="61">
        <f t="shared" ref="F43:AP43" si="12">F44</f>
        <v>2.5324291070270717</v>
      </c>
      <c r="G43" s="61">
        <f t="shared" si="12"/>
        <v>4.3691275399541443</v>
      </c>
      <c r="H43" s="61">
        <f t="shared" si="12"/>
        <v>6.2058259728812146</v>
      </c>
      <c r="I43" s="61">
        <f t="shared" si="12"/>
        <v>8.0425244058082868</v>
      </c>
      <c r="J43" s="61">
        <f t="shared" si="12"/>
        <v>9.8792228387353553</v>
      </c>
      <c r="K43" s="61">
        <f t="shared" si="12"/>
        <v>11.715921271662424</v>
      </c>
      <c r="L43" s="61">
        <f t="shared" si="12"/>
        <v>13.552619704589492</v>
      </c>
      <c r="M43" s="61">
        <f t="shared" si="12"/>
        <v>15.389318137516565</v>
      </c>
      <c r="N43" s="61">
        <f t="shared" si="12"/>
        <v>17.226016570443626</v>
      </c>
      <c r="O43" s="61">
        <f t="shared" si="12"/>
        <v>19.062715003370688</v>
      </c>
      <c r="P43" s="61">
        <f t="shared" si="12"/>
        <v>20.899413436297746</v>
      </c>
      <c r="Q43" s="61">
        <f t="shared" si="12"/>
        <v>22.736111869224803</v>
      </c>
      <c r="R43" s="61">
        <f t="shared" si="12"/>
        <v>24.572810302151858</v>
      </c>
      <c r="S43" s="61">
        <f t="shared" si="12"/>
        <v>26.409508735078909</v>
      </c>
      <c r="T43" s="61">
        <f t="shared" si="12"/>
        <v>28.246207168005959</v>
      </c>
      <c r="U43" s="61">
        <f t="shared" si="12"/>
        <v>30.08290560093301</v>
      </c>
      <c r="V43" s="61">
        <f t="shared" si="12"/>
        <v>31.919604033860054</v>
      </c>
      <c r="W43" s="61">
        <f t="shared" si="12"/>
        <v>33.756302466787091</v>
      </c>
      <c r="X43" s="61">
        <f t="shared" si="12"/>
        <v>35.593000899714127</v>
      </c>
      <c r="Y43" s="61">
        <f t="shared" si="12"/>
        <v>37.396569300541152</v>
      </c>
      <c r="Z43" s="61">
        <f t="shared" si="12"/>
        <v>39.231524047568172</v>
      </c>
      <c r="AA43" s="61">
        <f t="shared" si="12"/>
        <v>41.066478794595199</v>
      </c>
      <c r="AB43" s="61">
        <f t="shared" si="12"/>
        <v>42.901433541622211</v>
      </c>
      <c r="AC43" s="61">
        <f t="shared" si="12"/>
        <v>44.736388288649223</v>
      </c>
      <c r="AD43" s="61">
        <f t="shared" si="12"/>
        <v>46.571343035676236</v>
      </c>
      <c r="AE43" s="61">
        <f t="shared" si="12"/>
        <v>48.406297782703248</v>
      </c>
      <c r="AF43" s="61">
        <f t="shared" si="12"/>
        <v>50.241252529730247</v>
      </c>
      <c r="AG43" s="61">
        <f t="shared" si="12"/>
        <v>52.076207276757245</v>
      </c>
      <c r="AH43" s="61">
        <f t="shared" si="12"/>
        <v>53.911162023784243</v>
      </c>
      <c r="AI43" s="61">
        <f t="shared" si="12"/>
        <v>55.746116770811234</v>
      </c>
      <c r="AJ43" s="61">
        <f t="shared" si="12"/>
        <v>57.581071517838218</v>
      </c>
      <c r="AK43" s="61">
        <f t="shared" si="12"/>
        <v>59.416026264865209</v>
      </c>
      <c r="AL43" s="61">
        <f t="shared" si="12"/>
        <v>61.250981011892193</v>
      </c>
      <c r="AM43" s="61">
        <f t="shared" si="12"/>
        <v>63.085935758919163</v>
      </c>
      <c r="AN43" s="61">
        <f t="shared" si="12"/>
        <v>64.920890505946119</v>
      </c>
      <c r="AO43" s="61">
        <f t="shared" si="12"/>
        <v>66.755845252973074</v>
      </c>
      <c r="AP43" s="61">
        <f t="shared" si="12"/>
        <v>68.590800000000002</v>
      </c>
    </row>
    <row r="44" spans="1:42" x14ac:dyDescent="0.25">
      <c r="A44" s="18" t="s">
        <v>18</v>
      </c>
      <c r="B44" s="27"/>
      <c r="C44" s="27"/>
      <c r="D44" s="27"/>
      <c r="E44" s="27">
        <f t="shared" ref="E44:AO44" si="13">E45+E46</f>
        <v>0.69747436000000018</v>
      </c>
      <c r="F44" s="27">
        <f t="shared" si="13"/>
        <v>2.5324291070270717</v>
      </c>
      <c r="G44" s="27">
        <f t="shared" si="13"/>
        <v>4.3691275399541443</v>
      </c>
      <c r="H44" s="27">
        <f t="shared" si="13"/>
        <v>6.2058259728812146</v>
      </c>
      <c r="I44" s="27">
        <f t="shared" si="13"/>
        <v>8.0425244058082868</v>
      </c>
      <c r="J44" s="27">
        <f t="shared" si="13"/>
        <v>9.8792228387353553</v>
      </c>
      <c r="K44" s="27">
        <f t="shared" si="13"/>
        <v>11.715921271662424</v>
      </c>
      <c r="L44" s="27">
        <f t="shared" si="13"/>
        <v>13.552619704589492</v>
      </c>
      <c r="M44" s="27">
        <f t="shared" si="13"/>
        <v>15.389318137516565</v>
      </c>
      <c r="N44" s="27">
        <f t="shared" si="13"/>
        <v>17.226016570443626</v>
      </c>
      <c r="O44" s="27">
        <f t="shared" si="13"/>
        <v>19.062715003370688</v>
      </c>
      <c r="P44" s="27">
        <f t="shared" si="13"/>
        <v>20.899413436297746</v>
      </c>
      <c r="Q44" s="27">
        <f t="shared" si="13"/>
        <v>22.736111869224803</v>
      </c>
      <c r="R44" s="27">
        <f t="shared" si="13"/>
        <v>24.572810302151858</v>
      </c>
      <c r="S44" s="27">
        <f t="shared" si="13"/>
        <v>26.409508735078909</v>
      </c>
      <c r="T44" s="27">
        <f t="shared" si="13"/>
        <v>28.246207168005959</v>
      </c>
      <c r="U44" s="27">
        <f t="shared" si="13"/>
        <v>30.08290560093301</v>
      </c>
      <c r="V44" s="27">
        <f t="shared" si="13"/>
        <v>31.919604033860054</v>
      </c>
      <c r="W44" s="27">
        <f t="shared" si="13"/>
        <v>33.756302466787091</v>
      </c>
      <c r="X44" s="27">
        <f t="shared" si="13"/>
        <v>35.593000899714127</v>
      </c>
      <c r="Y44" s="27">
        <f t="shared" si="13"/>
        <v>37.396569300541152</v>
      </c>
      <c r="Z44" s="27">
        <f t="shared" si="13"/>
        <v>39.231524047568172</v>
      </c>
      <c r="AA44" s="27">
        <f t="shared" si="13"/>
        <v>41.066478794595199</v>
      </c>
      <c r="AB44" s="27">
        <f t="shared" si="13"/>
        <v>42.901433541622211</v>
      </c>
      <c r="AC44" s="27">
        <f t="shared" si="13"/>
        <v>44.736388288649223</v>
      </c>
      <c r="AD44" s="27">
        <f t="shared" si="13"/>
        <v>46.571343035676236</v>
      </c>
      <c r="AE44" s="27">
        <f t="shared" si="13"/>
        <v>48.406297782703248</v>
      </c>
      <c r="AF44" s="27">
        <f t="shared" si="13"/>
        <v>50.241252529730247</v>
      </c>
      <c r="AG44" s="27">
        <f t="shared" si="13"/>
        <v>52.076207276757245</v>
      </c>
      <c r="AH44" s="27">
        <f t="shared" si="13"/>
        <v>53.911162023784243</v>
      </c>
      <c r="AI44" s="27">
        <f t="shared" si="13"/>
        <v>55.746116770811234</v>
      </c>
      <c r="AJ44" s="27">
        <f t="shared" si="13"/>
        <v>57.581071517838218</v>
      </c>
      <c r="AK44" s="27">
        <f t="shared" si="13"/>
        <v>59.416026264865209</v>
      </c>
      <c r="AL44" s="27">
        <f t="shared" si="13"/>
        <v>61.250981011892193</v>
      </c>
      <c r="AM44" s="27">
        <f t="shared" si="13"/>
        <v>63.085935758919163</v>
      </c>
      <c r="AN44" s="27">
        <f t="shared" si="13"/>
        <v>64.920890505946119</v>
      </c>
      <c r="AO44" s="27">
        <f t="shared" si="13"/>
        <v>66.755845252973074</v>
      </c>
      <c r="AP44" s="27">
        <f>AP45+AP46</f>
        <v>68.590800000000002</v>
      </c>
    </row>
    <row r="45" spans="1:42" x14ac:dyDescent="0.25">
      <c r="A45" s="1" t="s">
        <v>26</v>
      </c>
      <c r="B45" s="52"/>
      <c r="C45" s="13"/>
      <c r="D45" s="13"/>
      <c r="E45" s="26">
        <f>'Données capacités de production'!B95</f>
        <v>0.52725151981735174</v>
      </c>
      <c r="F45" s="26">
        <f>'Données capacités de production'!C95</f>
        <v>1.9143744517142136</v>
      </c>
      <c r="G45" s="26">
        <f>'Données capacités de production'!D95</f>
        <v>3.30281551241062</v>
      </c>
      <c r="H45" s="26">
        <f>'Données capacités de production'!E95</f>
        <v>4.6912565731070242</v>
      </c>
      <c r="I45" s="26">
        <f>'Données capacités de production'!F95</f>
        <v>6.0796976338034305</v>
      </c>
      <c r="J45" s="26">
        <f>'Données capacités de production'!G95</f>
        <v>7.4681386944998334</v>
      </c>
      <c r="K45" s="26">
        <f>'Données capacités de production'!H95</f>
        <v>8.8565797551962362</v>
      </c>
      <c r="L45" s="26">
        <f>'Données capacités de production'!I95</f>
        <v>10.245020815892641</v>
      </c>
      <c r="M45" s="26">
        <f>'Données capacités de production'!J95</f>
        <v>11.633461876589045</v>
      </c>
      <c r="N45" s="26">
        <f>'Données capacités de production'!K95</f>
        <v>13.021902937285443</v>
      </c>
      <c r="O45" s="26">
        <f>'Données capacités de production'!L95</f>
        <v>14.41034399798184</v>
      </c>
      <c r="P45" s="26">
        <f>'Données capacités de production'!M95</f>
        <v>15.798785058678236</v>
      </c>
      <c r="Q45" s="26">
        <f>'Données capacités de production'!N95</f>
        <v>17.187226119374632</v>
      </c>
      <c r="R45" s="26">
        <f>'Données capacités de production'!O95</f>
        <v>18.575667180071022</v>
      </c>
      <c r="S45" s="26">
        <f>'Données capacités de production'!P95</f>
        <v>19.964108240767413</v>
      </c>
      <c r="T45" s="26">
        <f>'Données capacités de production'!Q95</f>
        <v>21.352549301463803</v>
      </c>
      <c r="U45" s="26">
        <f>'Données capacités de production'!R95</f>
        <v>22.740990362160193</v>
      </c>
      <c r="V45" s="26">
        <f>'Données capacités de production'!S95</f>
        <v>24.129431422856577</v>
      </c>
      <c r="W45" s="26">
        <f>'Données capacités de production'!T95</f>
        <v>25.517872483552956</v>
      </c>
      <c r="X45" s="26">
        <f>'Données capacités de production'!U95</f>
        <v>26.906313544249336</v>
      </c>
      <c r="Y45" s="26">
        <f>'Données capacités de production'!V95</f>
        <v>28.269710157754382</v>
      </c>
      <c r="Z45" s="26">
        <f>'Données capacités de production'!W95</f>
        <v>29.656833089651204</v>
      </c>
      <c r="AA45" s="26">
        <f>'Données capacités de production'!X95</f>
        <v>31.043956021548034</v>
      </c>
      <c r="AB45" s="26">
        <f>'Données capacités de production'!Y95</f>
        <v>32.431078953444853</v>
      </c>
      <c r="AC45" s="26">
        <f>'Données capacités de production'!Z95</f>
        <v>33.818201885341665</v>
      </c>
      <c r="AD45" s="26">
        <f>'Données capacités de production'!AA95</f>
        <v>35.205324817238484</v>
      </c>
      <c r="AE45" s="26">
        <f>'Données capacités de production'!AB95</f>
        <v>36.592447749135303</v>
      </c>
      <c r="AF45" s="26">
        <f>'Données capacités de production'!AC95</f>
        <v>37.979570681032108</v>
      </c>
      <c r="AG45" s="26">
        <f>'Données capacités de production'!AD95</f>
        <v>39.366693612928913</v>
      </c>
      <c r="AH45" s="26">
        <f>'Données capacités de production'!AE95</f>
        <v>40.753816544825725</v>
      </c>
      <c r="AI45" s="26">
        <f>'Données capacités de production'!AF95</f>
        <v>42.140939476722522</v>
      </c>
      <c r="AJ45" s="26">
        <f>'Données capacités de production'!AG95</f>
        <v>43.52806240861932</v>
      </c>
      <c r="AK45" s="26">
        <f>'Données capacités de production'!AH95</f>
        <v>44.915185340516118</v>
      </c>
      <c r="AL45" s="26">
        <f>'Données capacités de production'!AI95</f>
        <v>46.302308272412915</v>
      </c>
      <c r="AM45" s="26">
        <f>'Données capacités de production'!AJ95</f>
        <v>47.689431204309699</v>
      </c>
      <c r="AN45" s="26">
        <f>'Données capacités de production'!AK95</f>
        <v>49.076554136206475</v>
      </c>
      <c r="AO45" s="26">
        <f>'Données capacités de production'!AL95</f>
        <v>50.463677068103252</v>
      </c>
      <c r="AP45" s="26">
        <f>'Données capacités de production'!AM95</f>
        <v>51.850800000000007</v>
      </c>
    </row>
    <row r="46" spans="1:42" x14ac:dyDescent="0.25">
      <c r="A46" s="1" t="s">
        <v>25</v>
      </c>
      <c r="B46" s="52"/>
      <c r="C46" s="13"/>
      <c r="D46" s="13"/>
      <c r="E46" s="26">
        <f>'Données capacités de production'!B94</f>
        <v>0.17022284018264844</v>
      </c>
      <c r="F46" s="26">
        <f>'Données capacités de production'!C94</f>
        <v>0.61805465531285797</v>
      </c>
      <c r="G46" s="26">
        <f>'Données capacités de production'!D94</f>
        <v>1.0663120275435243</v>
      </c>
      <c r="H46" s="26">
        <f>'Données capacités de production'!E94</f>
        <v>1.51456939977419</v>
      </c>
      <c r="I46" s="26">
        <f>'Données capacités de production'!F94</f>
        <v>1.9628267720048564</v>
      </c>
      <c r="J46" s="26">
        <f>'Données capacités de production'!G94</f>
        <v>2.411084144235522</v>
      </c>
      <c r="K46" s="26">
        <f>'Données capacités de production'!H94</f>
        <v>2.8593415164661873</v>
      </c>
      <c r="L46" s="26">
        <f>'Données capacités de production'!I94</f>
        <v>3.3075988886968526</v>
      </c>
      <c r="M46" s="26">
        <f>'Données capacités de production'!J94</f>
        <v>3.7558562609275188</v>
      </c>
      <c r="N46" s="26">
        <f>'Données capacités de production'!K94</f>
        <v>4.2041136331581823</v>
      </c>
      <c r="O46" s="26">
        <f>'Données capacités de production'!L94</f>
        <v>4.6523710053888463</v>
      </c>
      <c r="P46" s="26">
        <f>'Données capacités de production'!M94</f>
        <v>5.1006283776195094</v>
      </c>
      <c r="Q46" s="26">
        <f>'Données capacités de production'!N94</f>
        <v>5.5488857498501716</v>
      </c>
      <c r="R46" s="26">
        <f>'Données capacités de production'!O94</f>
        <v>5.9971431220808338</v>
      </c>
      <c r="S46" s="26">
        <f>'Données capacités de production'!P94</f>
        <v>6.4454004943114951</v>
      </c>
      <c r="T46" s="26">
        <f>'Données capacités de production'!Q94</f>
        <v>6.8936578665421555</v>
      </c>
      <c r="U46" s="26">
        <f>'Données capacités de production'!R94</f>
        <v>7.3419152387728168</v>
      </c>
      <c r="V46" s="26">
        <f>'Données capacités de production'!S94</f>
        <v>7.7901726110034755</v>
      </c>
      <c r="W46" s="26">
        <f>'Données capacités de production'!T94</f>
        <v>8.2384299832341341</v>
      </c>
      <c r="X46" s="26">
        <f>'Données capacités de production'!U94</f>
        <v>8.686687355464791</v>
      </c>
      <c r="Y46" s="26">
        <f>'Données capacités de production'!V94</f>
        <v>9.1268591427867705</v>
      </c>
      <c r="Z46" s="26">
        <f>'Données capacités de production'!W94</f>
        <v>9.5746909579169674</v>
      </c>
      <c r="AA46" s="26">
        <f>'Données capacités de production'!X94</f>
        <v>10.022522773047166</v>
      </c>
      <c r="AB46" s="26">
        <f>'Données capacités de production'!Y94</f>
        <v>10.470354588177361</v>
      </c>
      <c r="AC46" s="26">
        <f>'Données capacités de production'!Z94</f>
        <v>10.918186403307557</v>
      </c>
      <c r="AD46" s="26">
        <f>'Données capacités de production'!AA94</f>
        <v>11.366018218437752</v>
      </c>
      <c r="AE46" s="26">
        <f>'Données capacités de production'!AB94</f>
        <v>11.813850033567945</v>
      </c>
      <c r="AF46" s="26">
        <f>'Données capacités de production'!AC94</f>
        <v>12.261681848698137</v>
      </c>
      <c r="AG46" s="26">
        <f>'Données capacités de production'!AD94</f>
        <v>12.709513663828329</v>
      </c>
      <c r="AH46" s="26">
        <f>'Données capacités de production'!AE94</f>
        <v>13.15734547895852</v>
      </c>
      <c r="AI46" s="26">
        <f>'Données capacités de production'!AF94</f>
        <v>13.60517729408871</v>
      </c>
      <c r="AJ46" s="26">
        <f>'Données capacités de production'!AG94</f>
        <v>14.053009109218898</v>
      </c>
      <c r="AK46" s="26">
        <f>'Données capacités de production'!AH94</f>
        <v>14.500840924349088</v>
      </c>
      <c r="AL46" s="26">
        <f>'Données capacités de production'!AI94</f>
        <v>14.948672739479274</v>
      </c>
      <c r="AM46" s="26">
        <f>'Données capacités de production'!AJ94</f>
        <v>15.396504554609461</v>
      </c>
      <c r="AN46" s="26">
        <f>'Données capacités de production'!AK94</f>
        <v>15.844336369739644</v>
      </c>
      <c r="AO46" s="26">
        <f>'Données capacités de production'!AL94</f>
        <v>16.292168184869823</v>
      </c>
      <c r="AP46" s="26">
        <f>'Données capacités de production'!AM94</f>
        <v>16.739999999999998</v>
      </c>
    </row>
    <row r="49" spans="1:42" x14ac:dyDescent="0.25">
      <c r="A49" s="40" t="s">
        <v>189</v>
      </c>
      <c r="B49" s="40"/>
      <c r="C49" s="40"/>
      <c r="D49" s="40"/>
      <c r="E49" s="61">
        <f>E50+E51</f>
        <v>5167.2261685953299</v>
      </c>
      <c r="F49" s="61">
        <f t="shared" ref="F49:AP49" si="14">F50+F51</f>
        <v>5151.537792846776</v>
      </c>
      <c r="G49" s="61">
        <f t="shared" si="14"/>
        <v>5134.9515163341093</v>
      </c>
      <c r="H49" s="61">
        <f t="shared" si="14"/>
        <v>5117.4673390573262</v>
      </c>
      <c r="I49" s="61">
        <f t="shared" si="14"/>
        <v>5099.0852610164275</v>
      </c>
      <c r="J49" s="61">
        <f t="shared" si="14"/>
        <v>5079.8052822114159</v>
      </c>
      <c r="K49" s="61">
        <f t="shared" si="14"/>
        <v>5059.627402642288</v>
      </c>
      <c r="L49" s="61">
        <f t="shared" si="14"/>
        <v>5038.5516223090444</v>
      </c>
      <c r="M49" s="61">
        <f t="shared" si="14"/>
        <v>5016.5779412116881</v>
      </c>
      <c r="N49" s="61">
        <f t="shared" si="14"/>
        <v>4993.7063593502162</v>
      </c>
      <c r="O49" s="61">
        <f t="shared" si="14"/>
        <v>4969.9368767246287</v>
      </c>
      <c r="P49" s="61">
        <f t="shared" si="14"/>
        <v>4945.2694933349276</v>
      </c>
      <c r="Q49" s="61">
        <f t="shared" si="14"/>
        <v>4919.7042091811118</v>
      </c>
      <c r="R49" s="61">
        <f t="shared" si="14"/>
        <v>4893.2410242631813</v>
      </c>
      <c r="S49" s="61">
        <f t="shared" si="14"/>
        <v>4865.8799385811362</v>
      </c>
      <c r="T49" s="61">
        <f t="shared" si="14"/>
        <v>4837.6209521349756</v>
      </c>
      <c r="U49" s="61">
        <f t="shared" si="14"/>
        <v>4808.4640649247021</v>
      </c>
      <c r="V49" s="61">
        <f t="shared" si="14"/>
        <v>4778.4092769503141</v>
      </c>
      <c r="W49" s="61">
        <f t="shared" si="14"/>
        <v>4748.3544889759251</v>
      </c>
      <c r="X49" s="61">
        <f t="shared" si="14"/>
        <v>4718.299701001537</v>
      </c>
      <c r="Y49" s="61">
        <f t="shared" si="14"/>
        <v>4688.2449130271452</v>
      </c>
      <c r="Z49" s="61">
        <f t="shared" si="14"/>
        <v>4658.1901250527544</v>
      </c>
      <c r="AA49" s="61">
        <f t="shared" si="14"/>
        <v>4628.1353370783627</v>
      </c>
      <c r="AB49" s="61">
        <f t="shared" si="14"/>
        <v>4598.0805491039691</v>
      </c>
      <c r="AC49" s="61">
        <f t="shared" si="14"/>
        <v>4568.0257611295765</v>
      </c>
      <c r="AD49" s="61">
        <f t="shared" si="14"/>
        <v>4537.9709731551829</v>
      </c>
      <c r="AE49" s="61">
        <f t="shared" si="14"/>
        <v>4507.9161851807885</v>
      </c>
      <c r="AF49" s="61">
        <f t="shared" si="14"/>
        <v>4477.861397206394</v>
      </c>
      <c r="AG49" s="61">
        <f t="shared" si="14"/>
        <v>4447.8066092319996</v>
      </c>
      <c r="AH49" s="61">
        <f t="shared" si="14"/>
        <v>4417.7518212576051</v>
      </c>
      <c r="AI49" s="61">
        <f t="shared" si="14"/>
        <v>4387.6970332832107</v>
      </c>
      <c r="AJ49" s="61">
        <f t="shared" si="14"/>
        <v>4359.9740353695006</v>
      </c>
      <c r="AK49" s="61">
        <f t="shared" si="14"/>
        <v>4338.0601741865257</v>
      </c>
      <c r="AL49" s="61">
        <f t="shared" si="14"/>
        <v>4317.0442137676646</v>
      </c>
      <c r="AM49" s="61">
        <f t="shared" si="14"/>
        <v>4296.9261541129181</v>
      </c>
      <c r="AN49" s="61">
        <f t="shared" si="14"/>
        <v>4277.7059952222862</v>
      </c>
      <c r="AO49" s="61">
        <f t="shared" si="14"/>
        <v>4259.3837370957672</v>
      </c>
      <c r="AP49" s="61">
        <f t="shared" si="14"/>
        <v>4241.9593797333628</v>
      </c>
    </row>
    <row r="50" spans="1:42" x14ac:dyDescent="0.25">
      <c r="A50" s="1" t="s">
        <v>26</v>
      </c>
      <c r="B50" s="52"/>
      <c r="C50" s="13"/>
      <c r="D50" s="13"/>
      <c r="E50" s="26">
        <f>'Données capacités de production'!B108</f>
        <v>4074.963422093595</v>
      </c>
      <c r="F50" s="26">
        <f>'Données capacités de production'!C108</f>
        <v>4062.5912991708633</v>
      </c>
      <c r="G50" s="26">
        <f>'Données capacités de production'!D108</f>
        <v>4049.5110762635272</v>
      </c>
      <c r="H50" s="26">
        <f>'Données capacités de production'!E108</f>
        <v>4035.7227533715841</v>
      </c>
      <c r="I50" s="26">
        <f>'Données capacités de production'!F108</f>
        <v>4021.2263304950338</v>
      </c>
      <c r="J50" s="26">
        <f>'Données capacités de production'!G108</f>
        <v>4006.0218076338797</v>
      </c>
      <c r="K50" s="26">
        <f>'Données capacités de production'!H108</f>
        <v>3990.1091847881185</v>
      </c>
      <c r="L50" s="26">
        <f>'Données capacités de production'!I108</f>
        <v>3973.4884619577506</v>
      </c>
      <c r="M50" s="26">
        <f>'Données capacités de production'!J108</f>
        <v>3956.1596391427784</v>
      </c>
      <c r="N50" s="26">
        <f>'Données capacités de production'!K108</f>
        <v>3938.1227163431995</v>
      </c>
      <c r="O50" s="26">
        <f>'Données capacités de production'!L108</f>
        <v>3919.377693559014</v>
      </c>
      <c r="P50" s="26">
        <f>'Données capacités de production'!M108</f>
        <v>3899.9245707902237</v>
      </c>
      <c r="Q50" s="26">
        <f>'Données capacités de production'!N108</f>
        <v>3879.7633480368277</v>
      </c>
      <c r="R50" s="26">
        <f>'Données capacités de production'!O108</f>
        <v>3858.8940252988259</v>
      </c>
      <c r="S50" s="26">
        <f>'Données capacités de production'!P108</f>
        <v>3837.3166025762175</v>
      </c>
      <c r="T50" s="26">
        <f>'Données capacités de production'!Q108</f>
        <v>3815.0310798690034</v>
      </c>
      <c r="U50" s="26">
        <f>'Données capacités de production'!R108</f>
        <v>3792.0374571771849</v>
      </c>
      <c r="V50" s="26">
        <f>'Données capacités de production'!S108</f>
        <v>3768.3357345007603</v>
      </c>
      <c r="W50" s="26">
        <f>'Données capacités de production'!T108</f>
        <v>3744.6340118243352</v>
      </c>
      <c r="X50" s="26">
        <f>'Données capacités de production'!U108</f>
        <v>3720.9322891479105</v>
      </c>
      <c r="Y50" s="26">
        <f>'Données capacités de production'!V108</f>
        <v>3697.2305664714831</v>
      </c>
      <c r="Z50" s="26">
        <f>'Données capacités de production'!W108</f>
        <v>3673.5288437950567</v>
      </c>
      <c r="AA50" s="26">
        <f>'Données capacités de production'!X108</f>
        <v>3649.8271211186293</v>
      </c>
      <c r="AB50" s="26">
        <f>'Données capacités de production'!Y108</f>
        <v>3626.1253984422005</v>
      </c>
      <c r="AC50" s="26">
        <f>'Données capacités de production'!Z108</f>
        <v>3602.4236757657727</v>
      </c>
      <c r="AD50" s="26">
        <f>'Données capacités de production'!AA108</f>
        <v>3578.7219530893435</v>
      </c>
      <c r="AE50" s="26">
        <f>'Données capacités de production'!AB108</f>
        <v>3555.0202304129143</v>
      </c>
      <c r="AF50" s="26">
        <f>'Données capacités de production'!AC108</f>
        <v>3531.3185077364847</v>
      </c>
      <c r="AG50" s="26">
        <f>'Données capacités de production'!AD108</f>
        <v>3507.616785060055</v>
      </c>
      <c r="AH50" s="26">
        <f>'Données capacités de production'!AE108</f>
        <v>3483.9150623836258</v>
      </c>
      <c r="AI50" s="26">
        <f>'Données capacités de production'!AF108</f>
        <v>3460.2133397071962</v>
      </c>
      <c r="AJ50" s="26">
        <f>'Données capacités de production'!AG108</f>
        <v>3438.35050677456</v>
      </c>
      <c r="AK50" s="26">
        <f>'Données capacités de production'!AH108</f>
        <v>3421.068858972847</v>
      </c>
      <c r="AL50" s="26">
        <f>'Données capacités de production'!AI108</f>
        <v>3404.4953111557393</v>
      </c>
      <c r="AM50" s="26">
        <f>'Données capacités de production'!AJ108</f>
        <v>3388.6298633232373</v>
      </c>
      <c r="AN50" s="26">
        <f>'Données capacités de production'!AK108</f>
        <v>3373.4725154753405</v>
      </c>
      <c r="AO50" s="26">
        <f>'Données capacités de production'!AL108</f>
        <v>3359.0232676120486</v>
      </c>
      <c r="AP50" s="26">
        <f>'Données capacités de production'!AM108</f>
        <v>3345.2821197333628</v>
      </c>
    </row>
    <row r="51" spans="1:42" x14ac:dyDescent="0.25">
      <c r="A51" s="1" t="s">
        <v>25</v>
      </c>
      <c r="B51" s="52"/>
      <c r="C51" s="13"/>
      <c r="D51" s="13"/>
      <c r="E51" s="26">
        <f>'Données capacités de production'!B107</f>
        <v>1092.2627465017349</v>
      </c>
      <c r="F51" s="26">
        <f>'Données capacités de production'!C107</f>
        <v>1088.9464936759127</v>
      </c>
      <c r="G51" s="26">
        <f>'Données capacités de production'!D107</f>
        <v>1085.4404400705821</v>
      </c>
      <c r="H51" s="26">
        <f>'Données capacités de production'!E107</f>
        <v>1081.7445856857423</v>
      </c>
      <c r="I51" s="26">
        <f>'Données capacités de production'!F107</f>
        <v>1077.8589305213934</v>
      </c>
      <c r="J51" s="26">
        <f>'Données capacités de production'!G107</f>
        <v>1073.783474577536</v>
      </c>
      <c r="K51" s="26">
        <f>'Données capacités de production'!H107</f>
        <v>1069.5182178541695</v>
      </c>
      <c r="L51" s="26">
        <f>'Données capacités de production'!I107</f>
        <v>1065.0631603512938</v>
      </c>
      <c r="M51" s="26">
        <f>'Données capacités de production'!J107</f>
        <v>1060.4183020689097</v>
      </c>
      <c r="N51" s="26">
        <f>'Données capacités de production'!K107</f>
        <v>1055.5836430070167</v>
      </c>
      <c r="O51" s="26">
        <f>'Données capacités de production'!L107</f>
        <v>1050.5591831656145</v>
      </c>
      <c r="P51" s="26">
        <f>'Données capacités de production'!M107</f>
        <v>1045.3449225447036</v>
      </c>
      <c r="Q51" s="26">
        <f>'Données capacités de production'!N107</f>
        <v>1039.9408611442841</v>
      </c>
      <c r="R51" s="26">
        <f>'Données capacités de production'!O107</f>
        <v>1034.3469989643556</v>
      </c>
      <c r="S51" s="26">
        <f>'Données capacités de production'!P107</f>
        <v>1028.5633360049185</v>
      </c>
      <c r="T51" s="26">
        <f>'Données capacités de production'!Q107</f>
        <v>1022.5898722659721</v>
      </c>
      <c r="U51" s="26">
        <f>'Données capacités de production'!R107</f>
        <v>1016.4266077475173</v>
      </c>
      <c r="V51" s="26">
        <f>'Données capacités de production'!S107</f>
        <v>1010.0735424495537</v>
      </c>
      <c r="W51" s="26">
        <f>'Données capacités de production'!T107</f>
        <v>1003.7204771515899</v>
      </c>
      <c r="X51" s="26">
        <f>'Données capacités de production'!U107</f>
        <v>997.36741185362632</v>
      </c>
      <c r="Y51" s="26">
        <f>'Données capacités de production'!V107</f>
        <v>991.01434655566186</v>
      </c>
      <c r="Z51" s="26">
        <f>'Données capacités de production'!W107</f>
        <v>984.66128125769774</v>
      </c>
      <c r="AA51" s="26">
        <f>'Données capacités de production'!X107</f>
        <v>978.30821595973327</v>
      </c>
      <c r="AB51" s="26">
        <f>'Données capacités de production'!Y107</f>
        <v>971.95515066176858</v>
      </c>
      <c r="AC51" s="26">
        <f>'Données capacités de production'!Z107</f>
        <v>965.60208536380401</v>
      </c>
      <c r="AD51" s="26">
        <f>'Données capacités de production'!AA107</f>
        <v>959.2490200658392</v>
      </c>
      <c r="AE51" s="26">
        <f>'Données capacités de production'!AB107</f>
        <v>952.89595476787429</v>
      </c>
      <c r="AF51" s="26">
        <f>'Données capacités de production'!AC107</f>
        <v>946.54288946990937</v>
      </c>
      <c r="AG51" s="26">
        <f>'Données capacités de production'!AD107</f>
        <v>940.18982417194434</v>
      </c>
      <c r="AH51" s="26">
        <f>'Données capacités de production'!AE107</f>
        <v>933.83675887397942</v>
      </c>
      <c r="AI51" s="26">
        <f>'Données capacités de production'!AF107</f>
        <v>927.4836935760145</v>
      </c>
      <c r="AJ51" s="26">
        <f>'Données capacités de production'!AG107</f>
        <v>921.62352859494058</v>
      </c>
      <c r="AK51" s="26">
        <f>'Données capacités de production'!AH107</f>
        <v>916.99131521367872</v>
      </c>
      <c r="AL51" s="26">
        <f>'Données capacités de production'!AI107</f>
        <v>912.54890261192543</v>
      </c>
      <c r="AM51" s="26">
        <f>'Données capacités de production'!AJ107</f>
        <v>908.29629078968105</v>
      </c>
      <c r="AN51" s="26">
        <f>'Données capacités de production'!AK107</f>
        <v>904.23347974694548</v>
      </c>
      <c r="AO51" s="26">
        <f>'Données capacités de production'!AL107</f>
        <v>900.36046948371836</v>
      </c>
      <c r="AP51" s="26">
        <f>'Données capacités de production'!AM107</f>
        <v>896.67726000000005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R51"/>
  <sheetViews>
    <sheetView topLeftCell="W12" workbookViewId="0">
      <selection activeCell="AO17" sqref="AO17"/>
    </sheetView>
  </sheetViews>
  <sheetFormatPr baseColWidth="10" defaultColWidth="9.140625" defaultRowHeight="15" x14ac:dyDescent="0.25"/>
  <cols>
    <col min="1" max="1" width="45.140625" bestFit="1" customWidth="1"/>
    <col min="2" max="41" width="8.7109375" customWidth="1"/>
    <col min="42" max="42" width="7.85546875" bestFit="1" customWidth="1"/>
    <col min="44" max="44" width="27.28515625" bestFit="1" customWidth="1"/>
  </cols>
  <sheetData>
    <row r="1" spans="1:44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  <c r="AR1" t="s">
        <v>116</v>
      </c>
    </row>
    <row r="2" spans="1:44" x14ac:dyDescent="0.25">
      <c r="A2" s="29" t="s">
        <v>79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30"/>
      <c r="R2" s="29"/>
      <c r="S2" s="29"/>
      <c r="T2" s="30">
        <v>0.4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0"/>
      <c r="AI2" s="29"/>
      <c r="AJ2" s="29"/>
      <c r="AK2" s="29"/>
      <c r="AL2" s="29"/>
      <c r="AM2" s="29"/>
      <c r="AN2" s="30"/>
      <c r="AO2" s="29"/>
      <c r="AP2" s="30">
        <v>0.8</v>
      </c>
    </row>
    <row r="3" spans="1:44" s="23" customForma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07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7"/>
      <c r="AI3" s="106"/>
      <c r="AJ3" s="106"/>
      <c r="AK3" s="106"/>
      <c r="AL3" s="106"/>
      <c r="AM3" s="106"/>
      <c r="AN3" s="107"/>
      <c r="AO3" s="106"/>
      <c r="AP3" s="107"/>
    </row>
    <row r="4" spans="1:44" s="23" customFormat="1" x14ac:dyDescent="0.25">
      <c r="A4" s="106" t="s">
        <v>200</v>
      </c>
      <c r="B4" s="106"/>
      <c r="C4" s="106"/>
      <c r="D4" s="106"/>
      <c r="E4" s="108">
        <f>E9</f>
        <v>12760</v>
      </c>
      <c r="F4" s="108">
        <f t="shared" ref="F4:AP4" si="0">F9</f>
        <v>12745.593516639403</v>
      </c>
      <c r="G4" s="108">
        <f t="shared" si="0"/>
        <v>12731.187033278806</v>
      </c>
      <c r="H4" s="108">
        <f t="shared" si="0"/>
        <v>12716.780549918207</v>
      </c>
      <c r="I4" s="108">
        <f t="shared" si="0"/>
        <v>12702.37406655761</v>
      </c>
      <c r="J4" s="108">
        <f t="shared" si="0"/>
        <v>12687.967583197013</v>
      </c>
      <c r="K4" s="108">
        <f t="shared" si="0"/>
        <v>12673.561099836415</v>
      </c>
      <c r="L4" s="108">
        <f t="shared" si="0"/>
        <v>12659.154616475818</v>
      </c>
      <c r="M4" s="108">
        <f t="shared" si="0"/>
        <v>12644.748133115219</v>
      </c>
      <c r="N4" s="108">
        <f t="shared" si="0"/>
        <v>12630.341649754622</v>
      </c>
      <c r="O4" s="108">
        <f t="shared" si="0"/>
        <v>12615.935166394025</v>
      </c>
      <c r="P4" s="108">
        <f t="shared" si="0"/>
        <v>12601.528683033428</v>
      </c>
      <c r="Q4" s="108">
        <f t="shared" si="0"/>
        <v>12587.122199672831</v>
      </c>
      <c r="R4" s="108">
        <f t="shared" si="0"/>
        <v>12572.715716312232</v>
      </c>
      <c r="S4" s="108">
        <f t="shared" si="0"/>
        <v>12558.309232951635</v>
      </c>
      <c r="T4" s="108">
        <f t="shared" si="0"/>
        <v>12543.902749591038</v>
      </c>
      <c r="U4" s="108">
        <f t="shared" si="0"/>
        <v>12563.148865137635</v>
      </c>
      <c r="V4" s="108">
        <f t="shared" si="0"/>
        <v>12582.394980684232</v>
      </c>
      <c r="W4" s="108">
        <f t="shared" si="0"/>
        <v>12601.641096230827</v>
      </c>
      <c r="X4" s="108">
        <f t="shared" si="0"/>
        <v>12620.887211777424</v>
      </c>
      <c r="Y4" s="108">
        <f t="shared" si="0"/>
        <v>12640.133327324022</v>
      </c>
      <c r="Z4" s="108">
        <f t="shared" si="0"/>
        <v>12659.379442870619</v>
      </c>
      <c r="AA4" s="108">
        <f t="shared" si="0"/>
        <v>12678.625558417216</v>
      </c>
      <c r="AB4" s="108">
        <f t="shared" si="0"/>
        <v>12697.871673963811</v>
      </c>
      <c r="AC4" s="108">
        <f t="shared" si="0"/>
        <v>12717.117789510408</v>
      </c>
      <c r="AD4" s="108">
        <f t="shared" si="0"/>
        <v>12736.363905057005</v>
      </c>
      <c r="AE4" s="108">
        <f t="shared" si="0"/>
        <v>12755.610020603603</v>
      </c>
      <c r="AF4" s="108">
        <f t="shared" si="0"/>
        <v>12774.8561361502</v>
      </c>
      <c r="AG4" s="108">
        <f t="shared" si="0"/>
        <v>12794.102251696797</v>
      </c>
      <c r="AH4" s="108">
        <f t="shared" si="0"/>
        <v>12813.348367243392</v>
      </c>
      <c r="AI4" s="108">
        <f t="shared" si="0"/>
        <v>12832.594482789989</v>
      </c>
      <c r="AJ4" s="108">
        <f t="shared" si="0"/>
        <v>12851.840598336586</v>
      </c>
      <c r="AK4" s="108">
        <f t="shared" si="0"/>
        <v>12871.086713883184</v>
      </c>
      <c r="AL4" s="108">
        <f t="shared" si="0"/>
        <v>12890.332829429779</v>
      </c>
      <c r="AM4" s="108">
        <f t="shared" si="0"/>
        <v>12909.578944976376</v>
      </c>
      <c r="AN4" s="108">
        <f t="shared" si="0"/>
        <v>12928.825060522973</v>
      </c>
      <c r="AO4" s="108">
        <f t="shared" si="0"/>
        <v>12948.07117606957</v>
      </c>
      <c r="AP4" s="108">
        <f t="shared" si="0"/>
        <v>12967.317291616167</v>
      </c>
    </row>
    <row r="5" spans="1:44" s="23" customFormat="1" x14ac:dyDescent="0.25">
      <c r="A5" s="106" t="s">
        <v>201</v>
      </c>
      <c r="B5" s="106"/>
      <c r="C5" s="106"/>
      <c r="D5" s="106"/>
      <c r="E5" s="108">
        <f>E20</f>
        <v>1.3001748251748251</v>
      </c>
      <c r="F5" s="108">
        <f t="shared" ref="F5:AP5" si="1">F20</f>
        <v>1.7335664335664336</v>
      </c>
      <c r="G5" s="108">
        <f t="shared" si="1"/>
        <v>5.5241008991008993</v>
      </c>
      <c r="H5" s="108">
        <f t="shared" si="1"/>
        <v>22.743206793206792</v>
      </c>
      <c r="I5" s="108">
        <f t="shared" si="1"/>
        <v>53.390884115884113</v>
      </c>
      <c r="J5" s="108">
        <f t="shared" si="1"/>
        <v>107.53856143856143</v>
      </c>
      <c r="K5" s="108">
        <f t="shared" si="1"/>
        <v>161.68623876123874</v>
      </c>
      <c r="L5" s="108">
        <f t="shared" si="1"/>
        <v>212.47677322677322</v>
      </c>
      <c r="M5" s="108">
        <f t="shared" si="1"/>
        <v>239.7673076923077</v>
      </c>
      <c r="N5" s="108">
        <f t="shared" si="1"/>
        <v>240.20069930069931</v>
      </c>
      <c r="O5" s="108">
        <f t="shared" si="1"/>
        <v>240.6340909090909</v>
      </c>
      <c r="P5" s="108">
        <f t="shared" si="1"/>
        <v>241.06748251748252</v>
      </c>
      <c r="Q5" s="108">
        <f t="shared" si="1"/>
        <v>241.50087412587413</v>
      </c>
      <c r="R5" s="108">
        <f t="shared" si="1"/>
        <v>241.93426573426572</v>
      </c>
      <c r="S5" s="108">
        <f t="shared" si="1"/>
        <v>242.36765734265734</v>
      </c>
      <c r="T5" s="108">
        <f t="shared" si="1"/>
        <v>242.80104895104895</v>
      </c>
      <c r="U5" s="108">
        <f t="shared" si="1"/>
        <v>243.23444055944057</v>
      </c>
      <c r="V5" s="108">
        <f t="shared" si="1"/>
        <v>243.66783216783216</v>
      </c>
      <c r="W5" s="108">
        <f t="shared" si="1"/>
        <v>244.90944055944055</v>
      </c>
      <c r="X5" s="108">
        <f t="shared" si="1"/>
        <v>246.15104895104895</v>
      </c>
      <c r="Y5" s="108">
        <f t="shared" si="1"/>
        <v>247.39265734265734</v>
      </c>
      <c r="Z5" s="108">
        <f t="shared" si="1"/>
        <v>248.63426573426574</v>
      </c>
      <c r="AA5" s="108">
        <f t="shared" si="1"/>
        <v>306.51873126873124</v>
      </c>
      <c r="AB5" s="108">
        <f t="shared" si="1"/>
        <v>350.97462537462536</v>
      </c>
      <c r="AC5" s="108">
        <f t="shared" si="1"/>
        <v>382.00194805194803</v>
      </c>
      <c r="AD5" s="108">
        <f t="shared" si="1"/>
        <v>389.52927072927076</v>
      </c>
      <c r="AE5" s="108">
        <f t="shared" si="1"/>
        <v>397.05659340659344</v>
      </c>
      <c r="AF5" s="108">
        <f t="shared" si="1"/>
        <v>407.941058941059</v>
      </c>
      <c r="AG5" s="108">
        <f t="shared" si="1"/>
        <v>442.3255244755245</v>
      </c>
      <c r="AH5" s="108">
        <f t="shared" si="1"/>
        <v>443.56713286713284</v>
      </c>
      <c r="AI5" s="108">
        <f t="shared" si="1"/>
        <v>444.80874125874124</v>
      </c>
      <c r="AJ5" s="108">
        <f t="shared" si="1"/>
        <v>446.05034965034963</v>
      </c>
      <c r="AK5" s="108">
        <f t="shared" si="1"/>
        <v>447.29195804195803</v>
      </c>
      <c r="AL5" s="108">
        <f t="shared" si="1"/>
        <v>448.53356643356642</v>
      </c>
      <c r="AM5" s="108">
        <f t="shared" si="1"/>
        <v>449.77517482517482</v>
      </c>
      <c r="AN5" s="108">
        <f t="shared" si="1"/>
        <v>451.01678321678321</v>
      </c>
      <c r="AO5" s="108">
        <f t="shared" si="1"/>
        <v>452.25839160839161</v>
      </c>
      <c r="AP5" s="108">
        <f t="shared" si="1"/>
        <v>453.5</v>
      </c>
    </row>
    <row r="6" spans="1:44" s="23" customFormat="1" x14ac:dyDescent="0.25">
      <c r="A6" s="106" t="s">
        <v>202</v>
      </c>
      <c r="B6" s="106"/>
      <c r="C6" s="106"/>
      <c r="D6" s="106"/>
      <c r="E6" s="108">
        <f>E30</f>
        <v>841.28705739348368</v>
      </c>
      <c r="F6" s="108">
        <f t="shared" ref="F6:AP6" si="2">F30</f>
        <v>849.01446526460268</v>
      </c>
      <c r="G6" s="108">
        <f t="shared" si="2"/>
        <v>856.66040177262937</v>
      </c>
      <c r="H6" s="108">
        <f t="shared" si="2"/>
        <v>864.22486691756399</v>
      </c>
      <c r="I6" s="108">
        <f t="shared" si="2"/>
        <v>871.7078606994063</v>
      </c>
      <c r="J6" s="108">
        <f t="shared" si="2"/>
        <v>879.10938311815642</v>
      </c>
      <c r="K6" s="108">
        <f t="shared" si="2"/>
        <v>886.42943417381434</v>
      </c>
      <c r="L6" s="108">
        <f t="shared" si="2"/>
        <v>893.66801386637985</v>
      </c>
      <c r="M6" s="108">
        <f t="shared" si="2"/>
        <v>900.8251221958534</v>
      </c>
      <c r="N6" s="108">
        <f t="shared" si="2"/>
        <v>907.90075916223452</v>
      </c>
      <c r="O6" s="108">
        <f t="shared" si="2"/>
        <v>914.89492476552346</v>
      </c>
      <c r="P6" s="108">
        <f t="shared" si="2"/>
        <v>921.8076190057202</v>
      </c>
      <c r="Q6" s="108">
        <f t="shared" si="2"/>
        <v>928.63884188282464</v>
      </c>
      <c r="R6" s="108">
        <f t="shared" si="2"/>
        <v>935.388593396837</v>
      </c>
      <c r="S6" s="108">
        <f t="shared" si="2"/>
        <v>942.05687354775705</v>
      </c>
      <c r="T6" s="108">
        <f t="shared" si="2"/>
        <v>948.64368233558491</v>
      </c>
      <c r="U6" s="108">
        <f t="shared" si="2"/>
        <v>948.39724625794372</v>
      </c>
      <c r="V6" s="108">
        <f t="shared" si="2"/>
        <v>948.00122852307754</v>
      </c>
      <c r="W6" s="108">
        <f t="shared" si="2"/>
        <v>965.39240502885423</v>
      </c>
      <c r="X6" s="108">
        <f t="shared" si="2"/>
        <v>982.71398669822474</v>
      </c>
      <c r="Y6" s="108">
        <f t="shared" si="2"/>
        <v>999.96597353062407</v>
      </c>
      <c r="Z6" s="108">
        <f t="shared" si="2"/>
        <v>1016.2293143861079</v>
      </c>
      <c r="AA6" s="108">
        <f t="shared" si="2"/>
        <v>1032.450575607608</v>
      </c>
      <c r="AB6" s="108">
        <f t="shared" si="2"/>
        <v>1048.6297571948442</v>
      </c>
      <c r="AC6" s="108">
        <f t="shared" si="2"/>
        <v>1064.7668591476408</v>
      </c>
      <c r="AD6" s="108">
        <f t="shared" si="2"/>
        <v>1080.8618814659278</v>
      </c>
      <c r="AE6" s="108">
        <f t="shared" si="2"/>
        <v>1096.9148241497376</v>
      </c>
      <c r="AF6" s="108">
        <f t="shared" si="2"/>
        <v>1112.9256871992038</v>
      </c>
      <c r="AG6" s="108">
        <f t="shared" si="2"/>
        <v>1128.8944706145544</v>
      </c>
      <c r="AH6" s="108">
        <f t="shared" si="2"/>
        <v>1144.8211743961047</v>
      </c>
      <c r="AI6" s="108">
        <f t="shared" si="2"/>
        <v>1160.7057985442495</v>
      </c>
      <c r="AJ6" s="108">
        <f t="shared" si="2"/>
        <v>1176.5483430594518</v>
      </c>
      <c r="AK6" s="108">
        <f t="shared" si="2"/>
        <v>1192.3488079422323</v>
      </c>
      <c r="AL6" s="108">
        <f t="shared" si="2"/>
        <v>1208.1071931931574</v>
      </c>
      <c r="AM6" s="108">
        <f t="shared" si="2"/>
        <v>1223.8234988128256</v>
      </c>
      <c r="AN6" s="108">
        <f t="shared" si="2"/>
        <v>1239.4977248018556</v>
      </c>
      <c r="AO6" s="108">
        <f t="shared" si="2"/>
        <v>1254.7065836154297</v>
      </c>
      <c r="AP6" s="108">
        <f t="shared" si="2"/>
        <v>1280.4250429823564</v>
      </c>
    </row>
    <row r="7" spans="1:44" s="23" customFormat="1" x14ac:dyDescent="0.25">
      <c r="A7" s="106"/>
      <c r="B7" s="106"/>
      <c r="C7" s="106"/>
      <c r="D7" s="106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</row>
    <row r="8" spans="1:44" s="23" customFormat="1" x14ac:dyDescent="0.25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7"/>
      <c r="Q8" s="107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7"/>
      <c r="AI8" s="106"/>
      <c r="AJ8" s="106"/>
      <c r="AK8" s="106"/>
      <c r="AL8" s="106"/>
      <c r="AM8" s="106"/>
      <c r="AN8" s="107"/>
      <c r="AO8" s="106"/>
      <c r="AP8" s="107"/>
    </row>
    <row r="9" spans="1:44" x14ac:dyDescent="0.25">
      <c r="A9" s="38" t="s">
        <v>115</v>
      </c>
      <c r="B9" s="39"/>
      <c r="C9" s="39"/>
      <c r="D9" s="39"/>
      <c r="E9" s="39">
        <f>E10+E15</f>
        <v>12760</v>
      </c>
      <c r="F9" s="39">
        <f t="shared" ref="F9:AO9" si="3">F10+F15</f>
        <v>12745.593516639403</v>
      </c>
      <c r="G9" s="39">
        <f t="shared" si="3"/>
        <v>12731.187033278806</v>
      </c>
      <c r="H9" s="39">
        <f t="shared" si="3"/>
        <v>12716.780549918207</v>
      </c>
      <c r="I9" s="39">
        <f t="shared" si="3"/>
        <v>12702.37406655761</v>
      </c>
      <c r="J9" s="39">
        <f t="shared" si="3"/>
        <v>12687.967583197013</v>
      </c>
      <c r="K9" s="39">
        <f t="shared" si="3"/>
        <v>12673.561099836415</v>
      </c>
      <c r="L9" s="39">
        <f t="shared" si="3"/>
        <v>12659.154616475818</v>
      </c>
      <c r="M9" s="39">
        <f t="shared" si="3"/>
        <v>12644.748133115219</v>
      </c>
      <c r="N9" s="39">
        <f t="shared" si="3"/>
        <v>12630.341649754622</v>
      </c>
      <c r="O9" s="39">
        <f t="shared" si="3"/>
        <v>12615.935166394025</v>
      </c>
      <c r="P9" s="39">
        <f t="shared" si="3"/>
        <v>12601.528683033428</v>
      </c>
      <c r="Q9" s="39">
        <f t="shared" si="3"/>
        <v>12587.122199672831</v>
      </c>
      <c r="R9" s="39">
        <f t="shared" si="3"/>
        <v>12572.715716312232</v>
      </c>
      <c r="S9" s="39">
        <f t="shared" si="3"/>
        <v>12558.309232951635</v>
      </c>
      <c r="T9" s="39">
        <f t="shared" si="3"/>
        <v>12543.902749591038</v>
      </c>
      <c r="U9" s="39">
        <f t="shared" si="3"/>
        <v>12563.148865137635</v>
      </c>
      <c r="V9" s="39">
        <f t="shared" si="3"/>
        <v>12582.394980684232</v>
      </c>
      <c r="W9" s="39">
        <f t="shared" si="3"/>
        <v>12601.641096230827</v>
      </c>
      <c r="X9" s="39">
        <f t="shared" si="3"/>
        <v>12620.887211777424</v>
      </c>
      <c r="Y9" s="39">
        <f t="shared" si="3"/>
        <v>12640.133327324022</v>
      </c>
      <c r="Z9" s="39">
        <f t="shared" si="3"/>
        <v>12659.379442870619</v>
      </c>
      <c r="AA9" s="39">
        <f t="shared" si="3"/>
        <v>12678.625558417216</v>
      </c>
      <c r="AB9" s="39">
        <f t="shared" si="3"/>
        <v>12697.871673963811</v>
      </c>
      <c r="AC9" s="39">
        <f t="shared" si="3"/>
        <v>12717.117789510408</v>
      </c>
      <c r="AD9" s="39">
        <f t="shared" si="3"/>
        <v>12736.363905057005</v>
      </c>
      <c r="AE9" s="39">
        <f t="shared" si="3"/>
        <v>12755.610020603603</v>
      </c>
      <c r="AF9" s="39">
        <f t="shared" si="3"/>
        <v>12774.8561361502</v>
      </c>
      <c r="AG9" s="39">
        <f t="shared" si="3"/>
        <v>12794.102251696797</v>
      </c>
      <c r="AH9" s="39">
        <f t="shared" si="3"/>
        <v>12813.348367243392</v>
      </c>
      <c r="AI9" s="39">
        <f t="shared" si="3"/>
        <v>12832.594482789989</v>
      </c>
      <c r="AJ9" s="39">
        <f t="shared" si="3"/>
        <v>12851.840598336586</v>
      </c>
      <c r="AK9" s="39">
        <f t="shared" si="3"/>
        <v>12871.086713883184</v>
      </c>
      <c r="AL9" s="39">
        <f t="shared" si="3"/>
        <v>12890.332829429779</v>
      </c>
      <c r="AM9" s="39">
        <f t="shared" si="3"/>
        <v>12909.578944976376</v>
      </c>
      <c r="AN9" s="39">
        <f t="shared" si="3"/>
        <v>12928.825060522973</v>
      </c>
      <c r="AO9" s="39">
        <f t="shared" si="3"/>
        <v>12948.07117606957</v>
      </c>
      <c r="AP9" s="39">
        <f>AP10+AP15</f>
        <v>12967.317291616167</v>
      </c>
    </row>
    <row r="10" spans="1:44" x14ac:dyDescent="0.25">
      <c r="A10" s="18" t="s">
        <v>32</v>
      </c>
      <c r="B10" s="19"/>
      <c r="C10" s="19"/>
      <c r="D10" s="19"/>
      <c r="E10" s="114">
        <v>11117.5</v>
      </c>
      <c r="F10" s="114">
        <v>11117.5</v>
      </c>
      <c r="G10" s="114">
        <v>11117.5</v>
      </c>
      <c r="H10" s="114">
        <v>11117.5</v>
      </c>
      <c r="I10" s="114">
        <v>11117.5</v>
      </c>
      <c r="J10" s="114">
        <v>11117.5</v>
      </c>
      <c r="K10" s="114">
        <v>11117.5</v>
      </c>
      <c r="L10" s="114">
        <v>11117.5</v>
      </c>
      <c r="M10" s="114">
        <v>11117.5</v>
      </c>
      <c r="N10" s="114">
        <v>11117.5</v>
      </c>
      <c r="O10" s="114">
        <v>11117.5</v>
      </c>
      <c r="P10" s="114">
        <v>11117.5</v>
      </c>
      <c r="Q10" s="114">
        <v>11117.5</v>
      </c>
      <c r="R10" s="114">
        <v>11117.5</v>
      </c>
      <c r="S10" s="114">
        <v>11117.5</v>
      </c>
      <c r="T10" s="114">
        <v>11117.5</v>
      </c>
      <c r="U10" s="114">
        <v>11117.5</v>
      </c>
      <c r="V10" s="114">
        <v>11117.5</v>
      </c>
      <c r="W10" s="114">
        <v>11117.5</v>
      </c>
      <c r="X10" s="114">
        <v>11117.5</v>
      </c>
      <c r="Y10" s="114">
        <v>11117.5</v>
      </c>
      <c r="Z10" s="114">
        <v>11117.5</v>
      </c>
      <c r="AA10" s="114">
        <v>11117.5</v>
      </c>
      <c r="AB10" s="114">
        <v>11117.5</v>
      </c>
      <c r="AC10" s="114">
        <v>11117.5</v>
      </c>
      <c r="AD10" s="114">
        <v>11117.5</v>
      </c>
      <c r="AE10" s="114">
        <v>11117.5</v>
      </c>
      <c r="AF10" s="114">
        <v>11117.5</v>
      </c>
      <c r="AG10" s="114">
        <v>11117.5</v>
      </c>
      <c r="AH10" s="114">
        <v>11117.5</v>
      </c>
      <c r="AI10" s="114">
        <v>11117.5</v>
      </c>
      <c r="AJ10" s="114">
        <v>11117.5</v>
      </c>
      <c r="AK10" s="114">
        <v>11117.5</v>
      </c>
      <c r="AL10" s="114">
        <v>11117.5</v>
      </c>
      <c r="AM10" s="114">
        <v>11117.5</v>
      </c>
      <c r="AN10" s="114">
        <v>11117.5</v>
      </c>
      <c r="AO10" s="114">
        <v>11117.5</v>
      </c>
      <c r="AP10" s="114">
        <v>11117.5</v>
      </c>
    </row>
    <row r="11" spans="1:44" x14ac:dyDescent="0.25">
      <c r="A11" s="1" t="s">
        <v>26</v>
      </c>
      <c r="B11" s="1"/>
      <c r="C11" s="1"/>
      <c r="D11" s="1"/>
      <c r="E11" s="34">
        <f>'Structure de coûts RTE'!C23+'Structure de coûts RTE'!B23/2</f>
        <v>2550</v>
      </c>
      <c r="F11" s="34">
        <f>E11</f>
        <v>2550</v>
      </c>
      <c r="G11" s="34">
        <f t="shared" ref="G11:AP11" si="4">F11</f>
        <v>2550</v>
      </c>
      <c r="H11" s="34">
        <f t="shared" si="4"/>
        <v>2550</v>
      </c>
      <c r="I11" s="34">
        <f t="shared" si="4"/>
        <v>2550</v>
      </c>
      <c r="J11" s="34">
        <f t="shared" si="4"/>
        <v>2550</v>
      </c>
      <c r="K11" s="34">
        <f t="shared" si="4"/>
        <v>2550</v>
      </c>
      <c r="L11" s="34">
        <f t="shared" si="4"/>
        <v>2550</v>
      </c>
      <c r="M11" s="34">
        <f t="shared" si="4"/>
        <v>2550</v>
      </c>
      <c r="N11" s="34">
        <f t="shared" si="4"/>
        <v>2550</v>
      </c>
      <c r="O11" s="34">
        <f t="shared" si="4"/>
        <v>2550</v>
      </c>
      <c r="P11" s="34">
        <f t="shared" si="4"/>
        <v>2550</v>
      </c>
      <c r="Q11" s="34">
        <f t="shared" si="4"/>
        <v>2550</v>
      </c>
      <c r="R11" s="34">
        <f t="shared" si="4"/>
        <v>2550</v>
      </c>
      <c r="S11" s="34">
        <f t="shared" si="4"/>
        <v>2550</v>
      </c>
      <c r="T11" s="34">
        <f t="shared" si="4"/>
        <v>2550</v>
      </c>
      <c r="U11" s="34">
        <f t="shared" si="4"/>
        <v>2550</v>
      </c>
      <c r="V11" s="34">
        <f t="shared" si="4"/>
        <v>2550</v>
      </c>
      <c r="W11" s="34">
        <f t="shared" si="4"/>
        <v>2550</v>
      </c>
      <c r="X11" s="34">
        <f t="shared" si="4"/>
        <v>2550</v>
      </c>
      <c r="Y11" s="34">
        <f t="shared" si="4"/>
        <v>2550</v>
      </c>
      <c r="Z11" s="34">
        <f t="shared" si="4"/>
        <v>2550</v>
      </c>
      <c r="AA11" s="34">
        <f t="shared" si="4"/>
        <v>2550</v>
      </c>
      <c r="AB11" s="34">
        <f t="shared" si="4"/>
        <v>2550</v>
      </c>
      <c r="AC11" s="34">
        <f t="shared" si="4"/>
        <v>2550</v>
      </c>
      <c r="AD11" s="34">
        <f t="shared" si="4"/>
        <v>2550</v>
      </c>
      <c r="AE11" s="34">
        <f t="shared" si="4"/>
        <v>2550</v>
      </c>
      <c r="AF11" s="34">
        <f t="shared" si="4"/>
        <v>2550</v>
      </c>
      <c r="AG11" s="34">
        <f t="shared" si="4"/>
        <v>2550</v>
      </c>
      <c r="AH11" s="34">
        <f t="shared" si="4"/>
        <v>2550</v>
      </c>
      <c r="AI11" s="34">
        <f t="shared" si="4"/>
        <v>2550</v>
      </c>
      <c r="AJ11" s="34">
        <f t="shared" si="4"/>
        <v>2550</v>
      </c>
      <c r="AK11" s="34">
        <f t="shared" si="4"/>
        <v>2550</v>
      </c>
      <c r="AL11" s="34">
        <f t="shared" si="4"/>
        <v>2550</v>
      </c>
      <c r="AM11" s="34">
        <f t="shared" si="4"/>
        <v>2550</v>
      </c>
      <c r="AN11" s="34">
        <f t="shared" si="4"/>
        <v>2550</v>
      </c>
      <c r="AO11" s="34">
        <f t="shared" si="4"/>
        <v>2550</v>
      </c>
      <c r="AP11" s="34">
        <f t="shared" si="4"/>
        <v>2550</v>
      </c>
    </row>
    <row r="12" spans="1:44" x14ac:dyDescent="0.25">
      <c r="A12" s="1" t="s">
        <v>54</v>
      </c>
      <c r="B12" s="1"/>
      <c r="C12" s="1"/>
      <c r="D12" s="1"/>
      <c r="E12" s="34">
        <f>(E10-E11)*'Structure de coûts RTE'!$B$16</f>
        <v>3766.5518372703414</v>
      </c>
      <c r="F12" s="34">
        <f>E12</f>
        <v>3766.5518372703414</v>
      </c>
      <c r="G12" s="34">
        <f t="shared" ref="G12:AP12" si="5">F12</f>
        <v>3766.5518372703414</v>
      </c>
      <c r="H12" s="34">
        <f t="shared" si="5"/>
        <v>3766.5518372703414</v>
      </c>
      <c r="I12" s="34">
        <f t="shared" si="5"/>
        <v>3766.5518372703414</v>
      </c>
      <c r="J12" s="34">
        <f t="shared" si="5"/>
        <v>3766.5518372703414</v>
      </c>
      <c r="K12" s="34">
        <f t="shared" si="5"/>
        <v>3766.5518372703414</v>
      </c>
      <c r="L12" s="34">
        <f t="shared" si="5"/>
        <v>3766.5518372703414</v>
      </c>
      <c r="M12" s="34">
        <f t="shared" si="5"/>
        <v>3766.5518372703414</v>
      </c>
      <c r="N12" s="34">
        <f t="shared" si="5"/>
        <v>3766.5518372703414</v>
      </c>
      <c r="O12" s="34">
        <f t="shared" si="5"/>
        <v>3766.5518372703414</v>
      </c>
      <c r="P12" s="34">
        <f t="shared" si="5"/>
        <v>3766.5518372703414</v>
      </c>
      <c r="Q12" s="34">
        <f t="shared" si="5"/>
        <v>3766.5518372703414</v>
      </c>
      <c r="R12" s="34">
        <f t="shared" si="5"/>
        <v>3766.5518372703414</v>
      </c>
      <c r="S12" s="34">
        <f t="shared" si="5"/>
        <v>3766.5518372703414</v>
      </c>
      <c r="T12" s="34">
        <f t="shared" si="5"/>
        <v>3766.5518372703414</v>
      </c>
      <c r="U12" s="34">
        <f t="shared" si="5"/>
        <v>3766.5518372703414</v>
      </c>
      <c r="V12" s="34">
        <f t="shared" si="5"/>
        <v>3766.5518372703414</v>
      </c>
      <c r="W12" s="34">
        <f t="shared" si="5"/>
        <v>3766.5518372703414</v>
      </c>
      <c r="X12" s="34">
        <f t="shared" si="5"/>
        <v>3766.5518372703414</v>
      </c>
      <c r="Y12" s="34">
        <f t="shared" si="5"/>
        <v>3766.5518372703414</v>
      </c>
      <c r="Z12" s="34">
        <f t="shared" si="5"/>
        <v>3766.5518372703414</v>
      </c>
      <c r="AA12" s="34">
        <f t="shared" si="5"/>
        <v>3766.5518372703414</v>
      </c>
      <c r="AB12" s="34">
        <f t="shared" si="5"/>
        <v>3766.5518372703414</v>
      </c>
      <c r="AC12" s="34">
        <f t="shared" si="5"/>
        <v>3766.5518372703414</v>
      </c>
      <c r="AD12" s="34">
        <f t="shared" si="5"/>
        <v>3766.5518372703414</v>
      </c>
      <c r="AE12" s="34">
        <f t="shared" si="5"/>
        <v>3766.5518372703414</v>
      </c>
      <c r="AF12" s="34">
        <f t="shared" si="5"/>
        <v>3766.5518372703414</v>
      </c>
      <c r="AG12" s="34">
        <f t="shared" si="5"/>
        <v>3766.5518372703414</v>
      </c>
      <c r="AH12" s="34">
        <f t="shared" si="5"/>
        <v>3766.5518372703414</v>
      </c>
      <c r="AI12" s="34">
        <f t="shared" si="5"/>
        <v>3766.5518372703414</v>
      </c>
      <c r="AJ12" s="34">
        <f t="shared" si="5"/>
        <v>3766.5518372703414</v>
      </c>
      <c r="AK12" s="34">
        <f t="shared" si="5"/>
        <v>3766.5518372703414</v>
      </c>
      <c r="AL12" s="34">
        <f t="shared" si="5"/>
        <v>3766.5518372703414</v>
      </c>
      <c r="AM12" s="34">
        <f t="shared" si="5"/>
        <v>3766.5518372703414</v>
      </c>
      <c r="AN12" s="34">
        <f t="shared" si="5"/>
        <v>3766.5518372703414</v>
      </c>
      <c r="AO12" s="34">
        <f t="shared" si="5"/>
        <v>3766.5518372703414</v>
      </c>
      <c r="AP12" s="34">
        <f t="shared" si="5"/>
        <v>3766.5518372703414</v>
      </c>
    </row>
    <row r="13" spans="1:44" x14ac:dyDescent="0.25">
      <c r="A13" s="1" t="s">
        <v>55</v>
      </c>
      <c r="B13" s="1"/>
      <c r="C13" s="1"/>
      <c r="D13" s="1"/>
      <c r="E13" s="34">
        <f>(E10-E11)*(1-'Structure de coûts RTE'!$B$16)</f>
        <v>4800.9481627296591</v>
      </c>
      <c r="F13" s="34">
        <f>(F10-F11)*(1-'Structure de coûts RTE'!$B$16)</f>
        <v>4800.9481627296591</v>
      </c>
      <c r="G13" s="34">
        <f>(G10-G11)*(1-'Structure de coûts RTE'!$B$16)</f>
        <v>4800.9481627296591</v>
      </c>
      <c r="H13" s="34">
        <f>(H10-H11)*(1-'Structure de coûts RTE'!$B$16)</f>
        <v>4800.9481627296591</v>
      </c>
      <c r="I13" s="34">
        <f>(I10-I11)*(1-'Structure de coûts RTE'!$B$16)</f>
        <v>4800.9481627296591</v>
      </c>
      <c r="J13" s="34">
        <f>(J10-J11)*(1-'Structure de coûts RTE'!$B$16)</f>
        <v>4800.9481627296591</v>
      </c>
      <c r="K13" s="34">
        <f>(K10-K11)*(1-'Structure de coûts RTE'!$B$16)</f>
        <v>4800.9481627296591</v>
      </c>
      <c r="L13" s="34">
        <f>(L10-L11)*(1-'Structure de coûts RTE'!$B$16)</f>
        <v>4800.9481627296591</v>
      </c>
      <c r="M13" s="34">
        <f>(M10-M11)*(1-'Structure de coûts RTE'!$B$16)</f>
        <v>4800.9481627296591</v>
      </c>
      <c r="N13" s="34">
        <f>(N10-N11)*(1-'Structure de coûts RTE'!$B$16)</f>
        <v>4800.9481627296591</v>
      </c>
      <c r="O13" s="34">
        <f>(O10-O11)*(1-'Structure de coûts RTE'!$B$16)</f>
        <v>4800.9481627296591</v>
      </c>
      <c r="P13" s="34">
        <f>(P10-P11)*(1-'Structure de coûts RTE'!$B$16)</f>
        <v>4800.9481627296591</v>
      </c>
      <c r="Q13" s="34">
        <f>(Q10-Q11)*(1-'Structure de coûts RTE'!$B$16)</f>
        <v>4800.9481627296591</v>
      </c>
      <c r="R13" s="34">
        <f>(R10-R11)*(1-'Structure de coûts RTE'!$B$16)</f>
        <v>4800.9481627296591</v>
      </c>
      <c r="S13" s="34">
        <f>(S10-S11)*(1-'Structure de coûts RTE'!$B$16)</f>
        <v>4800.9481627296591</v>
      </c>
      <c r="T13" s="34">
        <f>(T10-T11)*(1-'Structure de coûts RTE'!$B$16)</f>
        <v>4800.9481627296591</v>
      </c>
      <c r="U13" s="34">
        <f>(U10-U11)*(1-'Structure de coûts RTE'!$B$16)</f>
        <v>4800.9481627296591</v>
      </c>
      <c r="V13" s="34">
        <f>(V10-V11)*(1-'Structure de coûts RTE'!$B$16)</f>
        <v>4800.9481627296591</v>
      </c>
      <c r="W13" s="34">
        <f>(W10-W11)*(1-'Structure de coûts RTE'!$B$16)</f>
        <v>4800.9481627296591</v>
      </c>
      <c r="X13" s="34">
        <f>(X10-X11)*(1-'Structure de coûts RTE'!$B$16)</f>
        <v>4800.9481627296591</v>
      </c>
      <c r="Y13" s="34">
        <f>(Y10-Y11)*(1-'Structure de coûts RTE'!$B$16)</f>
        <v>4800.9481627296591</v>
      </c>
      <c r="Z13" s="34">
        <f>(Z10-Z11)*(1-'Structure de coûts RTE'!$B$16)</f>
        <v>4800.9481627296591</v>
      </c>
      <c r="AA13" s="34">
        <f>(AA10-AA11)*(1-'Structure de coûts RTE'!$B$16)</f>
        <v>4800.9481627296591</v>
      </c>
      <c r="AB13" s="34">
        <f>(AB10-AB11)*(1-'Structure de coûts RTE'!$B$16)</f>
        <v>4800.9481627296591</v>
      </c>
      <c r="AC13" s="34">
        <f>(AC10-AC11)*(1-'Structure de coûts RTE'!$B$16)</f>
        <v>4800.9481627296591</v>
      </c>
      <c r="AD13" s="34">
        <f>(AD10-AD11)*(1-'Structure de coûts RTE'!$B$16)</f>
        <v>4800.9481627296591</v>
      </c>
      <c r="AE13" s="34">
        <f>(AE10-AE11)*(1-'Structure de coûts RTE'!$B$16)</f>
        <v>4800.9481627296591</v>
      </c>
      <c r="AF13" s="34">
        <f>(AF10-AF11)*(1-'Structure de coûts RTE'!$B$16)</f>
        <v>4800.9481627296591</v>
      </c>
      <c r="AG13" s="34">
        <f>(AG10-AG11)*(1-'Structure de coûts RTE'!$B$16)</f>
        <v>4800.9481627296591</v>
      </c>
      <c r="AH13" s="34">
        <f>(AH10-AH11)*(1-'Structure de coûts RTE'!$B$16)</f>
        <v>4800.9481627296591</v>
      </c>
      <c r="AI13" s="34">
        <f>(AI10-AI11)*(1-'Structure de coûts RTE'!$B$16)</f>
        <v>4800.9481627296591</v>
      </c>
      <c r="AJ13" s="34">
        <f>(AJ10-AJ11)*(1-'Structure de coûts RTE'!$B$16)</f>
        <v>4800.9481627296591</v>
      </c>
      <c r="AK13" s="34">
        <f>(AK10-AK11)*(1-'Structure de coûts RTE'!$B$16)</f>
        <v>4800.9481627296591</v>
      </c>
      <c r="AL13" s="34">
        <f>(AL10-AL11)*(1-'Structure de coûts RTE'!$B$16)</f>
        <v>4800.9481627296591</v>
      </c>
      <c r="AM13" s="34">
        <f>(AM10-AM11)*(1-'Structure de coûts RTE'!$B$16)</f>
        <v>4800.9481627296591</v>
      </c>
      <c r="AN13" s="34">
        <f>(AN10-AN11)*(1-'Structure de coûts RTE'!$B$16)</f>
        <v>4800.9481627296591</v>
      </c>
      <c r="AO13" s="34">
        <f>(AO10-AO11)*(1-'Structure de coûts RTE'!$B$16)</f>
        <v>4800.9481627296591</v>
      </c>
      <c r="AP13" s="34">
        <f>(AP10-AP11)*(1-'Structure de coûts RTE'!$B$16)</f>
        <v>4800.9481627296591</v>
      </c>
    </row>
    <row r="14" spans="1:44" ht="6" customHeight="1" x14ac:dyDescent="0.25">
      <c r="A14" s="1"/>
      <c r="B14" s="1"/>
      <c r="C14" s="1"/>
      <c r="D14" s="1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</row>
    <row r="15" spans="1:44" x14ac:dyDescent="0.25">
      <c r="A15" s="16" t="s">
        <v>5</v>
      </c>
      <c r="B15" s="17"/>
      <c r="C15" s="17"/>
      <c r="D15" s="17"/>
      <c r="E15" s="56">
        <f>SUM(E16:E18)</f>
        <v>1642.5</v>
      </c>
      <c r="F15" s="56">
        <f t="shared" ref="F15:AO15" si="6">SUM(F16:F18)</f>
        <v>1628.0935166394027</v>
      </c>
      <c r="G15" s="56">
        <f t="shared" si="6"/>
        <v>1613.6870332788048</v>
      </c>
      <c r="H15" s="56">
        <f t="shared" si="6"/>
        <v>1599.2805499182075</v>
      </c>
      <c r="I15" s="56">
        <f t="shared" si="6"/>
        <v>1584.8740665576101</v>
      </c>
      <c r="J15" s="56">
        <f t="shared" si="6"/>
        <v>1570.4675831970123</v>
      </c>
      <c r="K15" s="56">
        <f t="shared" si="6"/>
        <v>1556.061099836415</v>
      </c>
      <c r="L15" s="56">
        <f t="shared" si="6"/>
        <v>1541.6546164758174</v>
      </c>
      <c r="M15" s="56">
        <f t="shared" si="6"/>
        <v>1527.2481331152198</v>
      </c>
      <c r="N15" s="56">
        <f t="shared" si="6"/>
        <v>1512.8416497546225</v>
      </c>
      <c r="O15" s="56">
        <f t="shared" si="6"/>
        <v>1498.4351663940247</v>
      </c>
      <c r="P15" s="56">
        <f t="shared" si="6"/>
        <v>1484.0286830334273</v>
      </c>
      <c r="Q15" s="56">
        <f t="shared" si="6"/>
        <v>1469.62219967283</v>
      </c>
      <c r="R15" s="56">
        <f t="shared" si="6"/>
        <v>1455.2157163122324</v>
      </c>
      <c r="S15" s="56">
        <f t="shared" si="6"/>
        <v>1440.8092329516348</v>
      </c>
      <c r="T15" s="56">
        <v>1426.4027495910375</v>
      </c>
      <c r="U15" s="56">
        <f t="shared" si="6"/>
        <v>1445.6488651376344</v>
      </c>
      <c r="V15" s="56">
        <f t="shared" si="6"/>
        <v>1464.8949806842311</v>
      </c>
      <c r="W15" s="56">
        <f t="shared" si="6"/>
        <v>1484.141096230828</v>
      </c>
      <c r="X15" s="56">
        <f t="shared" si="6"/>
        <v>1503.3872117774247</v>
      </c>
      <c r="Y15" s="56">
        <f t="shared" si="6"/>
        <v>1522.6333273240216</v>
      </c>
      <c r="Z15" s="56">
        <f t="shared" si="6"/>
        <v>1541.8794428706183</v>
      </c>
      <c r="AA15" s="56">
        <f t="shared" si="6"/>
        <v>1561.1255584172152</v>
      </c>
      <c r="AB15" s="56">
        <f t="shared" si="6"/>
        <v>1580.3716739638119</v>
      </c>
      <c r="AC15" s="56">
        <f t="shared" si="6"/>
        <v>1599.6177895104088</v>
      </c>
      <c r="AD15" s="56">
        <f t="shared" si="6"/>
        <v>1618.8639050570055</v>
      </c>
      <c r="AE15" s="56">
        <f t="shared" si="6"/>
        <v>1638.1100206036024</v>
      </c>
      <c r="AF15" s="56">
        <f t="shared" si="6"/>
        <v>1657.3561361501991</v>
      </c>
      <c r="AG15" s="56">
        <f t="shared" si="6"/>
        <v>1676.602251696796</v>
      </c>
      <c r="AH15" s="56">
        <f t="shared" si="6"/>
        <v>1695.8483672433927</v>
      </c>
      <c r="AI15" s="56">
        <f t="shared" si="6"/>
        <v>1715.0944827899896</v>
      </c>
      <c r="AJ15" s="56">
        <f t="shared" si="6"/>
        <v>1734.3405983365863</v>
      </c>
      <c r="AK15" s="56">
        <f t="shared" si="6"/>
        <v>1753.5867138831832</v>
      </c>
      <c r="AL15" s="56">
        <f t="shared" si="6"/>
        <v>1772.8328294297798</v>
      </c>
      <c r="AM15" s="56">
        <f t="shared" si="6"/>
        <v>1792.0789449763768</v>
      </c>
      <c r="AN15" s="56">
        <f t="shared" si="6"/>
        <v>1811.3250605229734</v>
      </c>
      <c r="AO15" s="56">
        <f t="shared" si="6"/>
        <v>1830.5711760695704</v>
      </c>
      <c r="AP15" s="56">
        <v>1849.8172916161673</v>
      </c>
    </row>
    <row r="16" spans="1:44" x14ac:dyDescent="0.25">
      <c r="A16" s="1" t="s">
        <v>26</v>
      </c>
      <c r="B16" s="1"/>
      <c r="C16" s="1"/>
      <c r="D16" s="1"/>
      <c r="E16" s="34">
        <f>'Structure de coûts RTE'!B23/2</f>
        <v>750</v>
      </c>
      <c r="F16" s="52">
        <f>E16+($T16-$E16)/(2028-2013)</f>
        <v>743.42169709561756</v>
      </c>
      <c r="G16" s="52">
        <f t="shared" ref="G16:R16" si="7">F16+($T16-$E16)/(2028-2013)</f>
        <v>736.84339419123512</v>
      </c>
      <c r="H16" s="52">
        <f t="shared" si="7"/>
        <v>730.26509128685268</v>
      </c>
      <c r="I16" s="52">
        <f t="shared" si="7"/>
        <v>723.68678838247024</v>
      </c>
      <c r="J16" s="52">
        <f t="shared" si="7"/>
        <v>717.1084854780878</v>
      </c>
      <c r="K16" s="52">
        <f t="shared" si="7"/>
        <v>710.53018257370536</v>
      </c>
      <c r="L16" s="52">
        <f t="shared" si="7"/>
        <v>703.95187966932292</v>
      </c>
      <c r="M16" s="52">
        <f t="shared" si="7"/>
        <v>697.37357676494048</v>
      </c>
      <c r="N16" s="52">
        <f t="shared" si="7"/>
        <v>690.79527386055804</v>
      </c>
      <c r="O16" s="52">
        <f t="shared" si="7"/>
        <v>684.2169709561756</v>
      </c>
      <c r="P16" s="52">
        <f t="shared" si="7"/>
        <v>677.63866805179316</v>
      </c>
      <c r="Q16" s="52">
        <f t="shared" si="7"/>
        <v>671.06036514741072</v>
      </c>
      <c r="R16" s="52">
        <f t="shared" si="7"/>
        <v>664.48206224302828</v>
      </c>
      <c r="S16" s="52">
        <f>R16+($T16-$E16)/(2028-2013)</f>
        <v>657.90375933864584</v>
      </c>
      <c r="T16" s="34">
        <f>$E16/$E$15*T$15</f>
        <v>651.32545643426363</v>
      </c>
      <c r="U16" s="52">
        <f>T16+($AP16-$T16)/(2050-2028)</f>
        <v>660.113637049148</v>
      </c>
      <c r="V16" s="52">
        <f t="shared" ref="V16:AO18" si="8">U16+($AP16-$T16)/(2050-2028)</f>
        <v>668.90181766403236</v>
      </c>
      <c r="W16" s="52">
        <f t="shared" si="8"/>
        <v>677.68999827891673</v>
      </c>
      <c r="X16" s="52">
        <f t="shared" si="8"/>
        <v>686.4781788938011</v>
      </c>
      <c r="Y16" s="52">
        <f t="shared" si="8"/>
        <v>695.26635950868547</v>
      </c>
      <c r="Z16" s="52">
        <f t="shared" si="8"/>
        <v>704.05454012356984</v>
      </c>
      <c r="AA16" s="52">
        <f t="shared" si="8"/>
        <v>712.8427207384542</v>
      </c>
      <c r="AB16" s="52">
        <f t="shared" si="8"/>
        <v>721.63090135333857</v>
      </c>
      <c r="AC16" s="52">
        <f t="shared" si="8"/>
        <v>730.41908196822294</v>
      </c>
      <c r="AD16" s="52">
        <f t="shared" si="8"/>
        <v>739.20726258310731</v>
      </c>
      <c r="AE16" s="52">
        <f t="shared" si="8"/>
        <v>747.99544319799168</v>
      </c>
      <c r="AF16" s="52">
        <f t="shared" si="8"/>
        <v>756.78362381287604</v>
      </c>
      <c r="AG16" s="52">
        <f t="shared" si="8"/>
        <v>765.57180442776041</v>
      </c>
      <c r="AH16" s="52">
        <f t="shared" si="8"/>
        <v>774.35998504264478</v>
      </c>
      <c r="AI16" s="52">
        <f t="shared" si="8"/>
        <v>783.14816565752915</v>
      </c>
      <c r="AJ16" s="52">
        <f t="shared" si="8"/>
        <v>791.93634627241352</v>
      </c>
      <c r="AK16" s="52">
        <f t="shared" si="8"/>
        <v>800.72452688729788</v>
      </c>
      <c r="AL16" s="52">
        <f t="shared" si="8"/>
        <v>809.51270750218225</v>
      </c>
      <c r="AM16" s="52">
        <f t="shared" si="8"/>
        <v>818.30088811706662</v>
      </c>
      <c r="AN16" s="52">
        <f t="shared" si="8"/>
        <v>827.08906873195099</v>
      </c>
      <c r="AO16" s="52">
        <f t="shared" si="8"/>
        <v>835.87724934683536</v>
      </c>
      <c r="AP16" s="41">
        <f>$E16/$E$15*AP$15</f>
        <v>844.66542996172018</v>
      </c>
    </row>
    <row r="17" spans="1:42" x14ac:dyDescent="0.25">
      <c r="A17" s="1" t="s">
        <v>54</v>
      </c>
      <c r="B17" s="1"/>
      <c r="C17" s="1"/>
      <c r="D17" s="1"/>
      <c r="E17" s="34">
        <f>'Structure de coûts RTE'!$B$24/2*'Structure de coûts RTE'!$B$16</f>
        <v>392.37204724409452</v>
      </c>
      <c r="F17" s="52">
        <f t="shared" ref="F17:S18" si="9">E17+($T17-$E17)/(2028-2013)</f>
        <v>388.93052434011543</v>
      </c>
      <c r="G17" s="52">
        <f t="shared" si="9"/>
        <v>385.48900143613633</v>
      </c>
      <c r="H17" s="52">
        <f t="shared" si="9"/>
        <v>382.04747853215724</v>
      </c>
      <c r="I17" s="52">
        <f t="shared" si="9"/>
        <v>378.60595562817815</v>
      </c>
      <c r="J17" s="52">
        <f t="shared" si="9"/>
        <v>375.16443272419906</v>
      </c>
      <c r="K17" s="52">
        <f t="shared" si="9"/>
        <v>371.72290982021997</v>
      </c>
      <c r="L17" s="52">
        <f t="shared" si="9"/>
        <v>368.28138691624088</v>
      </c>
      <c r="M17" s="52">
        <f t="shared" si="9"/>
        <v>364.83986401226178</v>
      </c>
      <c r="N17" s="52">
        <f t="shared" si="9"/>
        <v>361.39834110828269</v>
      </c>
      <c r="O17" s="52">
        <f t="shared" si="9"/>
        <v>357.9568182043036</v>
      </c>
      <c r="P17" s="52">
        <f t="shared" si="9"/>
        <v>354.51529530032451</v>
      </c>
      <c r="Q17" s="52">
        <f t="shared" si="9"/>
        <v>351.07377239634542</v>
      </c>
      <c r="R17" s="52">
        <f t="shared" si="9"/>
        <v>347.63224949236633</v>
      </c>
      <c r="S17" s="52">
        <f t="shared" si="9"/>
        <v>344.19072658838724</v>
      </c>
      <c r="T17" s="34">
        <f>$E17/$E$15*T$15</f>
        <v>340.74920368440843</v>
      </c>
      <c r="U17" s="52">
        <f t="shared" ref="U17:AJ18" si="10">T17+($AP17-$T17)/(2050-2028)</f>
        <v>345.34685224362585</v>
      </c>
      <c r="V17" s="52">
        <f t="shared" si="10"/>
        <v>349.94450080284327</v>
      </c>
      <c r="W17" s="52">
        <f t="shared" si="10"/>
        <v>354.54214936206068</v>
      </c>
      <c r="X17" s="52">
        <f t="shared" si="10"/>
        <v>359.1397979212781</v>
      </c>
      <c r="Y17" s="52">
        <f t="shared" si="10"/>
        <v>363.73744648049552</v>
      </c>
      <c r="Z17" s="52">
        <f t="shared" si="10"/>
        <v>368.33509503971294</v>
      </c>
      <c r="AA17" s="52">
        <f t="shared" si="10"/>
        <v>372.93274359893036</v>
      </c>
      <c r="AB17" s="52">
        <f t="shared" si="10"/>
        <v>377.53039215814778</v>
      </c>
      <c r="AC17" s="52">
        <f t="shared" si="10"/>
        <v>382.1280407173652</v>
      </c>
      <c r="AD17" s="52">
        <f t="shared" si="10"/>
        <v>386.72568927658261</v>
      </c>
      <c r="AE17" s="52">
        <f t="shared" si="10"/>
        <v>391.32333783580003</v>
      </c>
      <c r="AF17" s="52">
        <f t="shared" si="10"/>
        <v>395.92098639501745</v>
      </c>
      <c r="AG17" s="52">
        <f t="shared" si="10"/>
        <v>400.51863495423487</v>
      </c>
      <c r="AH17" s="52">
        <f t="shared" si="10"/>
        <v>405.11628351345229</v>
      </c>
      <c r="AI17" s="52">
        <f t="shared" si="10"/>
        <v>409.71393207266971</v>
      </c>
      <c r="AJ17" s="52">
        <f t="shared" si="10"/>
        <v>414.31158063188713</v>
      </c>
      <c r="AK17" s="52">
        <f t="shared" si="8"/>
        <v>418.90922919110454</v>
      </c>
      <c r="AL17" s="52">
        <f t="shared" si="8"/>
        <v>423.50687775032196</v>
      </c>
      <c r="AM17" s="52">
        <f t="shared" si="8"/>
        <v>428.10452630953938</v>
      </c>
      <c r="AN17" s="52">
        <f t="shared" si="8"/>
        <v>432.7021748687568</v>
      </c>
      <c r="AO17" s="52">
        <f t="shared" si="8"/>
        <v>437.29982342797422</v>
      </c>
      <c r="AP17" s="41">
        <f>$E17/$E$15*AP$15</f>
        <v>441.8974719871913</v>
      </c>
    </row>
    <row r="18" spans="1:42" x14ac:dyDescent="0.25">
      <c r="A18" s="1" t="s">
        <v>55</v>
      </c>
      <c r="B18" s="1"/>
      <c r="C18" s="1"/>
      <c r="D18" s="1"/>
      <c r="E18" s="34">
        <f>'Structure de coûts RTE'!$B$24/2*(1-'Structure de coûts RTE'!$B$16)</f>
        <v>500.12795275590554</v>
      </c>
      <c r="F18" s="52">
        <f t="shared" si="9"/>
        <v>495.74129520366955</v>
      </c>
      <c r="G18" s="52">
        <f t="shared" si="9"/>
        <v>491.35463765143356</v>
      </c>
      <c r="H18" s="52">
        <f t="shared" si="9"/>
        <v>486.96798009919758</v>
      </c>
      <c r="I18" s="52">
        <f t="shared" si="9"/>
        <v>482.58132254696159</v>
      </c>
      <c r="J18" s="52">
        <f t="shared" si="9"/>
        <v>478.1946649947256</v>
      </c>
      <c r="K18" s="52">
        <f t="shared" si="9"/>
        <v>473.80800744248961</v>
      </c>
      <c r="L18" s="52">
        <f t="shared" si="9"/>
        <v>469.42134989025362</v>
      </c>
      <c r="M18" s="52">
        <f t="shared" si="9"/>
        <v>465.03469233801763</v>
      </c>
      <c r="N18" s="52">
        <f t="shared" si="9"/>
        <v>460.64803478578165</v>
      </c>
      <c r="O18" s="52">
        <f t="shared" si="9"/>
        <v>456.26137723354566</v>
      </c>
      <c r="P18" s="52">
        <f t="shared" si="9"/>
        <v>451.87471968130967</v>
      </c>
      <c r="Q18" s="52">
        <f t="shared" si="9"/>
        <v>447.48806212907368</v>
      </c>
      <c r="R18" s="52">
        <f t="shared" si="9"/>
        <v>443.10140457683769</v>
      </c>
      <c r="S18" s="52">
        <f t="shared" si="9"/>
        <v>438.71474702460171</v>
      </c>
      <c r="T18" s="34">
        <f>$E18/$E$15*T$15</f>
        <v>434.32808947236543</v>
      </c>
      <c r="U18" s="52">
        <f t="shared" si="10"/>
        <v>440.18837584486045</v>
      </c>
      <c r="V18" s="52">
        <f t="shared" si="8"/>
        <v>446.04866221735546</v>
      </c>
      <c r="W18" s="52">
        <f t="shared" si="8"/>
        <v>451.90894858985047</v>
      </c>
      <c r="X18" s="52">
        <f t="shared" si="8"/>
        <v>457.76923496234548</v>
      </c>
      <c r="Y18" s="52">
        <f t="shared" si="8"/>
        <v>463.62952133484049</v>
      </c>
      <c r="Z18" s="52">
        <f t="shared" si="8"/>
        <v>469.4898077073355</v>
      </c>
      <c r="AA18" s="52">
        <f t="shared" si="8"/>
        <v>475.35009407983051</v>
      </c>
      <c r="AB18" s="52">
        <f t="shared" si="8"/>
        <v>481.21038045232552</v>
      </c>
      <c r="AC18" s="52">
        <f t="shared" si="8"/>
        <v>487.07066682482053</v>
      </c>
      <c r="AD18" s="52">
        <f t="shared" si="8"/>
        <v>492.93095319731555</v>
      </c>
      <c r="AE18" s="52">
        <f t="shared" si="8"/>
        <v>498.79123956981056</v>
      </c>
      <c r="AF18" s="52">
        <f t="shared" si="8"/>
        <v>504.65152594230557</v>
      </c>
      <c r="AG18" s="52">
        <f t="shared" si="8"/>
        <v>510.51181231480058</v>
      </c>
      <c r="AH18" s="52">
        <f t="shared" si="8"/>
        <v>516.37209868729565</v>
      </c>
      <c r="AI18" s="52">
        <f t="shared" si="8"/>
        <v>522.23238505979066</v>
      </c>
      <c r="AJ18" s="52">
        <f t="shared" si="8"/>
        <v>528.09267143228567</v>
      </c>
      <c r="AK18" s="52">
        <f t="shared" si="8"/>
        <v>533.95295780478068</v>
      </c>
      <c r="AL18" s="52">
        <f t="shared" si="8"/>
        <v>539.81324417727569</v>
      </c>
      <c r="AM18" s="52">
        <f t="shared" si="8"/>
        <v>545.6735305497707</v>
      </c>
      <c r="AN18" s="52">
        <f t="shared" si="8"/>
        <v>551.53381692226571</v>
      </c>
      <c r="AO18" s="52">
        <f t="shared" si="8"/>
        <v>557.39410329476073</v>
      </c>
      <c r="AP18" s="41">
        <f>$E18/$E$15*AP$15</f>
        <v>563.25438966725585</v>
      </c>
    </row>
    <row r="19" spans="1:42" x14ac:dyDescent="0.25">
      <c r="A19" s="1"/>
      <c r="B19" s="1"/>
      <c r="C19" s="1"/>
      <c r="D19" s="1"/>
      <c r="E19" s="34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41"/>
    </row>
    <row r="20" spans="1:42" x14ac:dyDescent="0.25">
      <c r="A20" s="38" t="s">
        <v>114</v>
      </c>
      <c r="B20" s="39">
        <f t="shared" ref="B20:AO20" si="11">B21+B26</f>
        <v>0</v>
      </c>
      <c r="C20" s="39">
        <f t="shared" si="11"/>
        <v>0.4333916083916084</v>
      </c>
      <c r="D20" s="39">
        <f t="shared" si="11"/>
        <v>0.86678321678321679</v>
      </c>
      <c r="E20" s="39">
        <f t="shared" si="11"/>
        <v>1.3001748251748251</v>
      </c>
      <c r="F20" s="39">
        <f t="shared" si="11"/>
        <v>1.7335664335664336</v>
      </c>
      <c r="G20" s="39">
        <f t="shared" si="11"/>
        <v>5.5241008991008993</v>
      </c>
      <c r="H20" s="39">
        <f t="shared" si="11"/>
        <v>22.743206793206792</v>
      </c>
      <c r="I20" s="39">
        <f t="shared" si="11"/>
        <v>53.390884115884113</v>
      </c>
      <c r="J20" s="39">
        <f t="shared" si="11"/>
        <v>107.53856143856143</v>
      </c>
      <c r="K20" s="39">
        <f t="shared" si="11"/>
        <v>161.68623876123874</v>
      </c>
      <c r="L20" s="39">
        <f t="shared" si="11"/>
        <v>212.47677322677322</v>
      </c>
      <c r="M20" s="39">
        <f t="shared" si="11"/>
        <v>239.7673076923077</v>
      </c>
      <c r="N20" s="39">
        <f t="shared" si="11"/>
        <v>240.20069930069931</v>
      </c>
      <c r="O20" s="39">
        <f t="shared" si="11"/>
        <v>240.6340909090909</v>
      </c>
      <c r="P20" s="39">
        <f t="shared" si="11"/>
        <v>241.06748251748252</v>
      </c>
      <c r="Q20" s="39">
        <f t="shared" si="11"/>
        <v>241.50087412587413</v>
      </c>
      <c r="R20" s="39">
        <f t="shared" si="11"/>
        <v>241.93426573426572</v>
      </c>
      <c r="S20" s="39">
        <f t="shared" si="11"/>
        <v>242.36765734265734</v>
      </c>
      <c r="T20" s="39">
        <f t="shared" si="11"/>
        <v>242.80104895104895</v>
      </c>
      <c r="U20" s="39">
        <f t="shared" si="11"/>
        <v>243.23444055944057</v>
      </c>
      <c r="V20" s="39">
        <f t="shared" si="11"/>
        <v>243.66783216783216</v>
      </c>
      <c r="W20" s="39">
        <f t="shared" si="11"/>
        <v>244.90944055944055</v>
      </c>
      <c r="X20" s="39">
        <f t="shared" si="11"/>
        <v>246.15104895104895</v>
      </c>
      <c r="Y20" s="39">
        <f t="shared" si="11"/>
        <v>247.39265734265734</v>
      </c>
      <c r="Z20" s="39">
        <f t="shared" si="11"/>
        <v>248.63426573426574</v>
      </c>
      <c r="AA20" s="39">
        <f t="shared" si="11"/>
        <v>306.51873126873124</v>
      </c>
      <c r="AB20" s="39">
        <f t="shared" si="11"/>
        <v>350.97462537462536</v>
      </c>
      <c r="AC20" s="39">
        <f t="shared" si="11"/>
        <v>382.00194805194803</v>
      </c>
      <c r="AD20" s="39">
        <f t="shared" si="11"/>
        <v>389.52927072927076</v>
      </c>
      <c r="AE20" s="39">
        <f t="shared" si="11"/>
        <v>397.05659340659344</v>
      </c>
      <c r="AF20" s="39">
        <f t="shared" si="11"/>
        <v>407.941058941059</v>
      </c>
      <c r="AG20" s="39">
        <f t="shared" si="11"/>
        <v>442.3255244755245</v>
      </c>
      <c r="AH20" s="39">
        <f t="shared" si="11"/>
        <v>443.56713286713284</v>
      </c>
      <c r="AI20" s="39">
        <f t="shared" si="11"/>
        <v>444.80874125874124</v>
      </c>
      <c r="AJ20" s="39">
        <f t="shared" si="11"/>
        <v>446.05034965034963</v>
      </c>
      <c r="AK20" s="39">
        <f t="shared" si="11"/>
        <v>447.29195804195803</v>
      </c>
      <c r="AL20" s="39">
        <f t="shared" si="11"/>
        <v>448.53356643356642</v>
      </c>
      <c r="AM20" s="39">
        <f t="shared" si="11"/>
        <v>449.77517482517482</v>
      </c>
      <c r="AN20" s="39">
        <f t="shared" si="11"/>
        <v>451.01678321678321</v>
      </c>
      <c r="AO20" s="39">
        <f t="shared" si="11"/>
        <v>452.25839160839161</v>
      </c>
      <c r="AP20" s="39">
        <f>AP21+AP26</f>
        <v>453.5</v>
      </c>
    </row>
    <row r="21" spans="1:42" x14ac:dyDescent="0.25">
      <c r="A21" s="18" t="s">
        <v>0</v>
      </c>
      <c r="B21" s="114"/>
      <c r="C21" s="114"/>
      <c r="D21" s="114"/>
      <c r="E21" s="114">
        <f>E22+E24</f>
        <v>0</v>
      </c>
      <c r="F21" s="114">
        <f t="shared" ref="F21:AP21" si="12">F22+F24</f>
        <v>0</v>
      </c>
      <c r="G21" s="114">
        <f t="shared" si="12"/>
        <v>3.3571428571428568</v>
      </c>
      <c r="H21" s="114">
        <f t="shared" si="12"/>
        <v>20.142857142857142</v>
      </c>
      <c r="I21" s="114">
        <f t="shared" si="12"/>
        <v>50.357142857142854</v>
      </c>
      <c r="J21" s="114">
        <f t="shared" si="12"/>
        <v>104.07142857142857</v>
      </c>
      <c r="K21" s="114">
        <f t="shared" si="12"/>
        <v>157.78571428571428</v>
      </c>
      <c r="L21" s="114">
        <f t="shared" si="12"/>
        <v>208.14285714285714</v>
      </c>
      <c r="M21" s="114">
        <f t="shared" si="12"/>
        <v>235</v>
      </c>
      <c r="N21" s="114">
        <f t="shared" si="12"/>
        <v>235</v>
      </c>
      <c r="O21" s="114">
        <f t="shared" si="12"/>
        <v>235</v>
      </c>
      <c r="P21" s="114">
        <f t="shared" si="12"/>
        <v>235</v>
      </c>
      <c r="Q21" s="114">
        <f t="shared" si="12"/>
        <v>235</v>
      </c>
      <c r="R21" s="114">
        <f t="shared" si="12"/>
        <v>235</v>
      </c>
      <c r="S21" s="114">
        <f t="shared" si="12"/>
        <v>235</v>
      </c>
      <c r="T21" s="114">
        <f t="shared" si="12"/>
        <v>235</v>
      </c>
      <c r="U21" s="114">
        <f t="shared" si="12"/>
        <v>235</v>
      </c>
      <c r="V21" s="114">
        <f t="shared" si="12"/>
        <v>235</v>
      </c>
      <c r="W21" s="114">
        <f t="shared" si="12"/>
        <v>235</v>
      </c>
      <c r="X21" s="114">
        <f t="shared" si="12"/>
        <v>235</v>
      </c>
      <c r="Y21" s="114">
        <f t="shared" si="12"/>
        <v>235</v>
      </c>
      <c r="Z21" s="114">
        <f t="shared" si="12"/>
        <v>235</v>
      </c>
      <c r="AA21" s="114">
        <f t="shared" si="12"/>
        <v>291.64285714285711</v>
      </c>
      <c r="AB21" s="114">
        <f t="shared" si="12"/>
        <v>334.85714285714283</v>
      </c>
      <c r="AC21" s="114">
        <f t="shared" si="12"/>
        <v>364.64285714285711</v>
      </c>
      <c r="AD21" s="114">
        <f t="shared" si="12"/>
        <v>370.92857142857144</v>
      </c>
      <c r="AE21" s="114">
        <f t="shared" si="12"/>
        <v>377.21428571428572</v>
      </c>
      <c r="AF21" s="114">
        <f t="shared" si="12"/>
        <v>386.85714285714289</v>
      </c>
      <c r="AG21" s="114">
        <f t="shared" si="12"/>
        <v>420</v>
      </c>
      <c r="AH21" s="114">
        <f t="shared" si="12"/>
        <v>420</v>
      </c>
      <c r="AI21" s="114">
        <f t="shared" si="12"/>
        <v>420</v>
      </c>
      <c r="AJ21" s="114">
        <f t="shared" si="12"/>
        <v>420</v>
      </c>
      <c r="AK21" s="114">
        <f t="shared" si="12"/>
        <v>420</v>
      </c>
      <c r="AL21" s="114">
        <f t="shared" si="12"/>
        <v>420</v>
      </c>
      <c r="AM21" s="114">
        <f t="shared" si="12"/>
        <v>420</v>
      </c>
      <c r="AN21" s="114">
        <f t="shared" si="12"/>
        <v>420</v>
      </c>
      <c r="AO21" s="114">
        <f t="shared" si="12"/>
        <v>420</v>
      </c>
      <c r="AP21" s="114">
        <f t="shared" si="12"/>
        <v>420</v>
      </c>
    </row>
    <row r="22" spans="1:42" x14ac:dyDescent="0.25">
      <c r="A22" s="1" t="s">
        <v>26</v>
      </c>
      <c r="B22" s="52"/>
      <c r="C22" s="52"/>
      <c r="D22" s="52"/>
      <c r="E22" s="28">
        <v>0</v>
      </c>
      <c r="F22" s="28">
        <v>0</v>
      </c>
      <c r="G22" s="28">
        <f>'Données Linky'!B22</f>
        <v>3.3571428571428568</v>
      </c>
      <c r="H22" s="28">
        <f>'Données Linky'!C22</f>
        <v>20.142857142857142</v>
      </c>
      <c r="I22" s="28">
        <f>'Données Linky'!D22</f>
        <v>50.357142857142854</v>
      </c>
      <c r="J22" s="28">
        <f>'Données Linky'!E22</f>
        <v>104.07142857142857</v>
      </c>
      <c r="K22" s="28">
        <f>'Données Linky'!F22</f>
        <v>157.78571428571428</v>
      </c>
      <c r="L22" s="28">
        <f>'Données Linky'!G22</f>
        <v>208.14285714285714</v>
      </c>
      <c r="M22" s="28">
        <f>'Données Linky'!H22</f>
        <v>235</v>
      </c>
      <c r="N22" s="28">
        <f>'Données Linky'!I22</f>
        <v>235</v>
      </c>
      <c r="O22" s="28">
        <f>'Données Linky'!J22</f>
        <v>235</v>
      </c>
      <c r="P22" s="28">
        <f>'Données Linky'!K22</f>
        <v>235</v>
      </c>
      <c r="Q22" s="28">
        <f>'Données Linky'!L22</f>
        <v>235</v>
      </c>
      <c r="R22" s="28">
        <f>'Données Linky'!M22</f>
        <v>235</v>
      </c>
      <c r="S22" s="28">
        <f>'Données Linky'!N22</f>
        <v>235</v>
      </c>
      <c r="T22" s="28">
        <f>'Données Linky'!O22</f>
        <v>235</v>
      </c>
      <c r="U22" s="28">
        <f>'Données Linky'!P22</f>
        <v>235</v>
      </c>
      <c r="V22" s="28">
        <f>'Données Linky'!Q22</f>
        <v>235</v>
      </c>
      <c r="W22" s="28">
        <f>'Données Linky'!R22</f>
        <v>235</v>
      </c>
      <c r="X22" s="28">
        <f>'Données Linky'!S22</f>
        <v>235</v>
      </c>
      <c r="Y22" s="28">
        <f>'Données Linky'!T22</f>
        <v>235</v>
      </c>
      <c r="Z22" s="28">
        <f>'Données Linky'!U22</f>
        <v>235</v>
      </c>
      <c r="AA22" s="28">
        <f>'Données Linky'!V22</f>
        <v>291.64285714285711</v>
      </c>
      <c r="AB22" s="28">
        <f>'Données Linky'!W22</f>
        <v>334.85714285714283</v>
      </c>
      <c r="AC22" s="28">
        <f>'Données Linky'!X22</f>
        <v>364.64285714285711</v>
      </c>
      <c r="AD22" s="28">
        <f>'Données Linky'!Y22</f>
        <v>370.92857142857144</v>
      </c>
      <c r="AE22" s="28">
        <f>'Données Linky'!Z22</f>
        <v>377.21428571428572</v>
      </c>
      <c r="AF22" s="28">
        <f>'Données Linky'!AA22</f>
        <v>386.85714285714289</v>
      </c>
      <c r="AG22" s="28">
        <v>420</v>
      </c>
      <c r="AH22" s="28">
        <v>420</v>
      </c>
      <c r="AI22" s="28">
        <v>420</v>
      </c>
      <c r="AJ22" s="28">
        <v>420</v>
      </c>
      <c r="AK22" s="28">
        <v>420</v>
      </c>
      <c r="AL22" s="28">
        <v>420</v>
      </c>
      <c r="AM22" s="28">
        <v>420</v>
      </c>
      <c r="AN22" s="28">
        <v>420</v>
      </c>
      <c r="AO22" s="28">
        <v>420</v>
      </c>
      <c r="AP22" s="28">
        <v>420</v>
      </c>
    </row>
    <row r="23" spans="1:42" x14ac:dyDescent="0.25">
      <c r="A23" s="1" t="s">
        <v>117</v>
      </c>
      <c r="B23" s="52"/>
      <c r="C23" s="52"/>
      <c r="D23" s="52"/>
      <c r="E23" s="28">
        <v>0</v>
      </c>
      <c r="F23" s="28">
        <v>0</v>
      </c>
      <c r="G23" s="28">
        <f>'Données Linky'!B12/1000000</f>
        <v>67.142857142857139</v>
      </c>
      <c r="H23" s="28">
        <f>'Données Linky'!C12/1000000</f>
        <v>335.71428571428567</v>
      </c>
      <c r="I23" s="28">
        <f>'Données Linky'!D12/1000000</f>
        <v>604.28571428571411</v>
      </c>
      <c r="J23" s="28">
        <f>'Données Linky'!E12/1000000</f>
        <v>1074.2857142857142</v>
      </c>
      <c r="K23" s="28">
        <f>'Données Linky'!F12/1000000</f>
        <v>1074.2857142857142</v>
      </c>
      <c r="L23" s="28">
        <f>'Données Linky'!G12/1000000</f>
        <v>1007.1428571428571</v>
      </c>
      <c r="M23" s="28">
        <f>'Données Linky'!H12/1000000</f>
        <v>537.14285714285711</v>
      </c>
      <c r="N23" s="28">
        <f>'Données Linky'!I12/1000000</f>
        <v>0</v>
      </c>
      <c r="O23" s="28">
        <f>'Données Linky'!J12/1000000</f>
        <v>0</v>
      </c>
      <c r="P23" s="28">
        <f>'Données Linky'!K12/1000000</f>
        <v>0</v>
      </c>
      <c r="Q23" s="28">
        <f>'Données Linky'!L12/1000000</f>
        <v>0</v>
      </c>
      <c r="R23" s="28">
        <f>'Données Linky'!M12/1000000</f>
        <v>0</v>
      </c>
      <c r="S23" s="28">
        <f>'Données Linky'!N12/1000000</f>
        <v>0</v>
      </c>
      <c r="T23" s="28">
        <f>'Données Linky'!O12/1000000</f>
        <v>0</v>
      </c>
      <c r="U23" s="28">
        <f>'Données Linky'!P12/1000000</f>
        <v>0</v>
      </c>
      <c r="V23" s="28">
        <f>'Données Linky'!Q12/1000000</f>
        <v>0</v>
      </c>
      <c r="W23" s="28">
        <f>'Données Linky'!R12/1000000</f>
        <v>0</v>
      </c>
      <c r="X23" s="28">
        <f>'Données Linky'!S12/1000000</f>
        <v>0</v>
      </c>
      <c r="Y23" s="28">
        <f>'Données Linky'!T12/1000000</f>
        <v>0</v>
      </c>
      <c r="Z23" s="28">
        <f>'Données Linky'!U12/1000000</f>
        <v>0</v>
      </c>
      <c r="AA23" s="28">
        <f>'Données Linky'!V12/1000000</f>
        <v>0</v>
      </c>
      <c r="AB23" s="28">
        <f>G23/134*150</f>
        <v>75.159914712153508</v>
      </c>
      <c r="AC23" s="28">
        <f t="shared" ref="AC23:AH23" si="13">H23/134*150</f>
        <v>375.7995735607675</v>
      </c>
      <c r="AD23" s="28">
        <f t="shared" si="13"/>
        <v>676.43923240938148</v>
      </c>
      <c r="AE23" s="28">
        <f t="shared" si="13"/>
        <v>1202.5586353944561</v>
      </c>
      <c r="AF23" s="28">
        <f t="shared" si="13"/>
        <v>1202.5586353944561</v>
      </c>
      <c r="AG23" s="28">
        <f t="shared" si="13"/>
        <v>1127.3987206823028</v>
      </c>
      <c r="AH23" s="28">
        <f t="shared" si="13"/>
        <v>601.27931769722807</v>
      </c>
      <c r="AI23" s="28">
        <f>N23/134*150</f>
        <v>0</v>
      </c>
      <c r="AJ23" s="28">
        <f t="shared" ref="AJ23:AP23" si="14">O23/134*150</f>
        <v>0</v>
      </c>
      <c r="AK23" s="28">
        <f t="shared" si="14"/>
        <v>0</v>
      </c>
      <c r="AL23" s="28">
        <f t="shared" si="14"/>
        <v>0</v>
      </c>
      <c r="AM23" s="28">
        <f t="shared" si="14"/>
        <v>0</v>
      </c>
      <c r="AN23" s="28">
        <f t="shared" si="14"/>
        <v>0</v>
      </c>
      <c r="AO23" s="28">
        <f t="shared" si="14"/>
        <v>0</v>
      </c>
      <c r="AP23" s="28">
        <f t="shared" si="14"/>
        <v>0</v>
      </c>
    </row>
    <row r="24" spans="1:42" x14ac:dyDescent="0.25">
      <c r="A24" s="1" t="s">
        <v>25</v>
      </c>
      <c r="B24" s="41"/>
      <c r="C24" s="41"/>
      <c r="D24" s="41"/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</row>
    <row r="25" spans="1:42" ht="6.75" customHeight="1" x14ac:dyDescent="0.25">
      <c r="A25" s="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</row>
    <row r="26" spans="1:42" s="24" customFormat="1" x14ac:dyDescent="0.25">
      <c r="A26" s="16" t="s">
        <v>1</v>
      </c>
      <c r="B26" s="56">
        <f>SUM(B27:B28)</f>
        <v>0</v>
      </c>
      <c r="C26" s="56">
        <f t="shared" ref="C26:AP26" si="15">SUM(C27:C28)</f>
        <v>0.4333916083916084</v>
      </c>
      <c r="D26" s="56">
        <f t="shared" si="15"/>
        <v>0.86678321678321679</v>
      </c>
      <c r="E26" s="56">
        <f t="shared" si="15"/>
        <v>1.3001748251748251</v>
      </c>
      <c r="F26" s="56">
        <f t="shared" si="15"/>
        <v>1.7335664335664336</v>
      </c>
      <c r="G26" s="56">
        <f t="shared" si="15"/>
        <v>2.1669580419580421</v>
      </c>
      <c r="H26" s="56">
        <f t="shared" si="15"/>
        <v>2.6003496503496506</v>
      </c>
      <c r="I26" s="56">
        <f t="shared" si="15"/>
        <v>3.0337412587412591</v>
      </c>
      <c r="J26" s="56">
        <f t="shared" si="15"/>
        <v>3.4671328671328676</v>
      </c>
      <c r="K26" s="56">
        <f t="shared" si="15"/>
        <v>3.9005244755244761</v>
      </c>
      <c r="L26" s="56">
        <f t="shared" si="15"/>
        <v>4.3339160839160842</v>
      </c>
      <c r="M26" s="56">
        <f t="shared" si="15"/>
        <v>4.7673076923076927</v>
      </c>
      <c r="N26" s="56">
        <f t="shared" si="15"/>
        <v>5.2006993006993012</v>
      </c>
      <c r="O26" s="56">
        <f t="shared" si="15"/>
        <v>5.6340909090909097</v>
      </c>
      <c r="P26" s="56">
        <f t="shared" si="15"/>
        <v>6.0674825174825182</v>
      </c>
      <c r="Q26" s="56">
        <f t="shared" si="15"/>
        <v>6.5008741258741267</v>
      </c>
      <c r="R26" s="56">
        <f t="shared" si="15"/>
        <v>6.9342657342657352</v>
      </c>
      <c r="S26" s="56">
        <f t="shared" si="15"/>
        <v>7.3676573426573437</v>
      </c>
      <c r="T26" s="56">
        <f t="shared" si="15"/>
        <v>7.8010489510489522</v>
      </c>
      <c r="U26" s="56">
        <f t="shared" si="15"/>
        <v>8.2344405594405607</v>
      </c>
      <c r="V26" s="56">
        <f t="shared" si="15"/>
        <v>8.6678321678321684</v>
      </c>
      <c r="W26" s="56">
        <f t="shared" si="15"/>
        <v>9.9094405594405597</v>
      </c>
      <c r="X26" s="56">
        <f t="shared" si="15"/>
        <v>11.151048951048951</v>
      </c>
      <c r="Y26" s="56">
        <f t="shared" si="15"/>
        <v>12.392657342657342</v>
      </c>
      <c r="Z26" s="56">
        <f t="shared" si="15"/>
        <v>13.634265734265734</v>
      </c>
      <c r="AA26" s="56">
        <f t="shared" si="15"/>
        <v>14.875874125874125</v>
      </c>
      <c r="AB26" s="56">
        <f t="shared" si="15"/>
        <v>16.117482517482518</v>
      </c>
      <c r="AC26" s="56">
        <f t="shared" si="15"/>
        <v>17.359090909090909</v>
      </c>
      <c r="AD26" s="56">
        <f t="shared" si="15"/>
        <v>18.600699300699301</v>
      </c>
      <c r="AE26" s="56">
        <f t="shared" si="15"/>
        <v>19.842307692307692</v>
      </c>
      <c r="AF26" s="56">
        <f t="shared" si="15"/>
        <v>21.083916083916083</v>
      </c>
      <c r="AG26" s="56">
        <f t="shared" si="15"/>
        <v>22.325524475524475</v>
      </c>
      <c r="AH26" s="56">
        <f t="shared" si="15"/>
        <v>23.567132867132866</v>
      </c>
      <c r="AI26" s="56">
        <f t="shared" si="15"/>
        <v>24.808741258741257</v>
      </c>
      <c r="AJ26" s="56">
        <f t="shared" si="15"/>
        <v>26.050349650349649</v>
      </c>
      <c r="AK26" s="56">
        <f t="shared" si="15"/>
        <v>27.29195804195804</v>
      </c>
      <c r="AL26" s="56">
        <f t="shared" si="15"/>
        <v>28.533566433566431</v>
      </c>
      <c r="AM26" s="56">
        <f t="shared" si="15"/>
        <v>29.775174825174823</v>
      </c>
      <c r="AN26" s="56">
        <f t="shared" si="15"/>
        <v>31.016783216783214</v>
      </c>
      <c r="AO26" s="56">
        <f t="shared" si="15"/>
        <v>32.258391608391605</v>
      </c>
      <c r="AP26" s="56">
        <f t="shared" si="15"/>
        <v>33.5</v>
      </c>
    </row>
    <row r="27" spans="1:42" x14ac:dyDescent="0.25">
      <c r="A27" s="1" t="s">
        <v>26</v>
      </c>
      <c r="B27" s="28">
        <v>0</v>
      </c>
      <c r="C27" s="28">
        <f>B27+($V$27-$B$27)/(2030-2010)</f>
        <v>0.4333916083916084</v>
      </c>
      <c r="D27" s="28">
        <f t="shared" ref="D27:U27" si="16">C27+($V$27-$B$27)/(2030-2010)</f>
        <v>0.86678321678321679</v>
      </c>
      <c r="E27" s="28">
        <f t="shared" si="16"/>
        <v>1.3001748251748251</v>
      </c>
      <c r="F27" s="28">
        <f t="shared" si="16"/>
        <v>1.7335664335664336</v>
      </c>
      <c r="G27" s="28">
        <f t="shared" si="16"/>
        <v>2.1669580419580421</v>
      </c>
      <c r="H27" s="28">
        <f t="shared" si="16"/>
        <v>2.6003496503496506</v>
      </c>
      <c r="I27" s="28">
        <f t="shared" si="16"/>
        <v>3.0337412587412591</v>
      </c>
      <c r="J27" s="28">
        <f t="shared" si="16"/>
        <v>3.4671328671328676</v>
      </c>
      <c r="K27" s="28">
        <f t="shared" si="16"/>
        <v>3.9005244755244761</v>
      </c>
      <c r="L27" s="28">
        <f t="shared" si="16"/>
        <v>4.3339160839160842</v>
      </c>
      <c r="M27" s="28">
        <f t="shared" si="16"/>
        <v>4.7673076923076927</v>
      </c>
      <c r="N27" s="28">
        <f t="shared" si="16"/>
        <v>5.2006993006993012</v>
      </c>
      <c r="O27" s="28">
        <f t="shared" si="16"/>
        <v>5.6340909090909097</v>
      </c>
      <c r="P27" s="28">
        <f t="shared" si="16"/>
        <v>6.0674825174825182</v>
      </c>
      <c r="Q27" s="28">
        <f t="shared" si="16"/>
        <v>6.5008741258741267</v>
      </c>
      <c r="R27" s="28">
        <f t="shared" si="16"/>
        <v>6.9342657342657352</v>
      </c>
      <c r="S27" s="28">
        <f t="shared" si="16"/>
        <v>7.3676573426573437</v>
      </c>
      <c r="T27" s="28">
        <f t="shared" si="16"/>
        <v>7.8010489510489522</v>
      </c>
      <c r="U27" s="28">
        <f t="shared" si="16"/>
        <v>8.2344405594405607</v>
      </c>
      <c r="V27" s="28">
        <f>3.7/14.3*AP27</f>
        <v>8.6678321678321684</v>
      </c>
      <c r="W27" s="28">
        <f>V27+($AP$27-$V$27)/(2050-2030)</f>
        <v>9.9094405594405597</v>
      </c>
      <c r="X27" s="28">
        <f t="shared" ref="X27:AO27" si="17">W27+($AP$27-$V$27)/(2050-2030)</f>
        <v>11.151048951048951</v>
      </c>
      <c r="Y27" s="28">
        <f t="shared" si="17"/>
        <v>12.392657342657342</v>
      </c>
      <c r="Z27" s="28">
        <f t="shared" si="17"/>
        <v>13.634265734265734</v>
      </c>
      <c r="AA27" s="28">
        <f t="shared" si="17"/>
        <v>14.875874125874125</v>
      </c>
      <c r="AB27" s="28">
        <f t="shared" si="17"/>
        <v>16.117482517482518</v>
      </c>
      <c r="AC27" s="28">
        <f t="shared" si="17"/>
        <v>17.359090909090909</v>
      </c>
      <c r="AD27" s="28">
        <f t="shared" si="17"/>
        <v>18.600699300699301</v>
      </c>
      <c r="AE27" s="28">
        <f t="shared" si="17"/>
        <v>19.842307692307692</v>
      </c>
      <c r="AF27" s="28">
        <f t="shared" si="17"/>
        <v>21.083916083916083</v>
      </c>
      <c r="AG27" s="28">
        <f t="shared" si="17"/>
        <v>22.325524475524475</v>
      </c>
      <c r="AH27" s="28">
        <f t="shared" si="17"/>
        <v>23.567132867132866</v>
      </c>
      <c r="AI27" s="28">
        <f t="shared" si="17"/>
        <v>24.808741258741257</v>
      </c>
      <c r="AJ27" s="28">
        <f t="shared" si="17"/>
        <v>26.050349650349649</v>
      </c>
      <c r="AK27" s="28">
        <f t="shared" si="17"/>
        <v>27.29195804195804</v>
      </c>
      <c r="AL27" s="28">
        <f t="shared" si="17"/>
        <v>28.533566433566431</v>
      </c>
      <c r="AM27" s="28">
        <f t="shared" si="17"/>
        <v>29.775174825174823</v>
      </c>
      <c r="AN27" s="28">
        <f t="shared" si="17"/>
        <v>31.016783216783214</v>
      </c>
      <c r="AO27" s="28">
        <f t="shared" si="17"/>
        <v>32.258391608391605</v>
      </c>
      <c r="AP27" s="28">
        <v>33.5</v>
      </c>
    </row>
    <row r="28" spans="1:42" x14ac:dyDescent="0.25">
      <c r="A28" s="1" t="s">
        <v>25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</row>
    <row r="29" spans="1:42" x14ac:dyDescent="0.25">
      <c r="A29" s="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1:42" x14ac:dyDescent="0.25">
      <c r="A30" s="40" t="s">
        <v>113</v>
      </c>
      <c r="B30" s="39">
        <f t="shared" ref="B30:D30" si="18">B31+B35+B40</f>
        <v>0</v>
      </c>
      <c r="C30" s="39">
        <f t="shared" si="18"/>
        <v>0</v>
      </c>
      <c r="D30" s="39">
        <f t="shared" si="18"/>
        <v>0</v>
      </c>
      <c r="E30" s="39">
        <f>E31+E35+E40+E44</f>
        <v>841.28705739348368</v>
      </c>
      <c r="F30" s="39">
        <f>F31+F35+F40+F44</f>
        <v>849.01446526460268</v>
      </c>
      <c r="G30" s="39">
        <f t="shared" ref="G30:AP30" si="19">G31+G35+G40+G44</f>
        <v>856.66040177262937</v>
      </c>
      <c r="H30" s="39">
        <f t="shared" si="19"/>
        <v>864.22486691756399</v>
      </c>
      <c r="I30" s="39">
        <f t="shared" si="19"/>
        <v>871.7078606994063</v>
      </c>
      <c r="J30" s="39">
        <f t="shared" si="19"/>
        <v>879.10938311815642</v>
      </c>
      <c r="K30" s="39">
        <f t="shared" si="19"/>
        <v>886.42943417381434</v>
      </c>
      <c r="L30" s="39">
        <f t="shared" si="19"/>
        <v>893.66801386637985</v>
      </c>
      <c r="M30" s="39">
        <f t="shared" si="19"/>
        <v>900.8251221958534</v>
      </c>
      <c r="N30" s="39">
        <f t="shared" si="19"/>
        <v>907.90075916223452</v>
      </c>
      <c r="O30" s="39">
        <f t="shared" si="19"/>
        <v>914.89492476552346</v>
      </c>
      <c r="P30" s="39">
        <f t="shared" si="19"/>
        <v>921.8076190057202</v>
      </c>
      <c r="Q30" s="39">
        <f t="shared" si="19"/>
        <v>928.63884188282464</v>
      </c>
      <c r="R30" s="39">
        <f t="shared" si="19"/>
        <v>935.388593396837</v>
      </c>
      <c r="S30" s="39">
        <f t="shared" si="19"/>
        <v>942.05687354775705</v>
      </c>
      <c r="T30" s="39">
        <f t="shared" si="19"/>
        <v>948.64368233558491</v>
      </c>
      <c r="U30" s="39">
        <f t="shared" si="19"/>
        <v>948.39724625794372</v>
      </c>
      <c r="V30" s="39">
        <f t="shared" si="19"/>
        <v>948.00122852307754</v>
      </c>
      <c r="W30" s="39">
        <f t="shared" si="19"/>
        <v>965.39240502885423</v>
      </c>
      <c r="X30" s="39">
        <f t="shared" si="19"/>
        <v>982.71398669822474</v>
      </c>
      <c r="Y30" s="39">
        <f t="shared" si="19"/>
        <v>999.96597353062407</v>
      </c>
      <c r="Z30" s="39">
        <f t="shared" si="19"/>
        <v>1016.2293143861079</v>
      </c>
      <c r="AA30" s="39">
        <f t="shared" si="19"/>
        <v>1032.450575607608</v>
      </c>
      <c r="AB30" s="39">
        <f t="shared" si="19"/>
        <v>1048.6297571948442</v>
      </c>
      <c r="AC30" s="39">
        <f t="shared" si="19"/>
        <v>1064.7668591476408</v>
      </c>
      <c r="AD30" s="39">
        <f t="shared" si="19"/>
        <v>1080.8618814659278</v>
      </c>
      <c r="AE30" s="39">
        <f t="shared" si="19"/>
        <v>1096.9148241497376</v>
      </c>
      <c r="AF30" s="39">
        <f t="shared" si="19"/>
        <v>1112.9256871992038</v>
      </c>
      <c r="AG30" s="39">
        <f t="shared" si="19"/>
        <v>1128.8944706145544</v>
      </c>
      <c r="AH30" s="39">
        <f t="shared" si="19"/>
        <v>1144.8211743961047</v>
      </c>
      <c r="AI30" s="39">
        <f t="shared" si="19"/>
        <v>1160.7057985442495</v>
      </c>
      <c r="AJ30" s="39">
        <f t="shared" si="19"/>
        <v>1176.5483430594518</v>
      </c>
      <c r="AK30" s="39">
        <f t="shared" si="19"/>
        <v>1192.3488079422323</v>
      </c>
      <c r="AL30" s="39">
        <f t="shared" si="19"/>
        <v>1208.1071931931574</v>
      </c>
      <c r="AM30" s="39">
        <f t="shared" si="19"/>
        <v>1223.8234988128256</v>
      </c>
      <c r="AN30" s="39">
        <f t="shared" si="19"/>
        <v>1239.4977248018556</v>
      </c>
      <c r="AO30" s="39">
        <f t="shared" si="19"/>
        <v>1254.7065836154297</v>
      </c>
      <c r="AP30" s="39">
        <f t="shared" si="19"/>
        <v>1280.4250429823564</v>
      </c>
    </row>
    <row r="31" spans="1:42" x14ac:dyDescent="0.25">
      <c r="A31" s="18" t="s">
        <v>4</v>
      </c>
      <c r="B31" s="53"/>
      <c r="C31" s="53"/>
      <c r="D31" s="53"/>
      <c r="E31" s="53">
        <f t="shared" ref="E31:AP31" si="20">SUM(E32:E33)</f>
        <v>0</v>
      </c>
      <c r="F31" s="53">
        <f t="shared" si="20"/>
        <v>10.637654944684918</v>
      </c>
      <c r="G31" s="53">
        <f t="shared" si="20"/>
        <v>21.193838526277666</v>
      </c>
      <c r="H31" s="53">
        <f t="shared" si="20"/>
        <v>31.668550744778241</v>
      </c>
      <c r="I31" s="53">
        <f t="shared" si="20"/>
        <v>42.061791600186645</v>
      </c>
      <c r="J31" s="53">
        <f t="shared" si="20"/>
        <v>52.373561092502868</v>
      </c>
      <c r="K31" s="53">
        <f t="shared" si="20"/>
        <v>62.603859221726907</v>
      </c>
      <c r="L31" s="53">
        <f t="shared" si="20"/>
        <v>72.752685987858769</v>
      </c>
      <c r="M31" s="53">
        <f t="shared" si="20"/>
        <v>82.820041390898467</v>
      </c>
      <c r="N31" s="53">
        <f t="shared" si="20"/>
        <v>92.805925430845974</v>
      </c>
      <c r="O31" s="53">
        <f t="shared" si="20"/>
        <v>102.71033810770129</v>
      </c>
      <c r="P31" s="53">
        <f t="shared" si="20"/>
        <v>112.53327942146443</v>
      </c>
      <c r="Q31" s="53">
        <f t="shared" si="20"/>
        <v>122.27474937213539</v>
      </c>
      <c r="R31" s="53">
        <f t="shared" si="20"/>
        <v>131.93474795971414</v>
      </c>
      <c r="S31" s="53">
        <f t="shared" si="20"/>
        <v>141.51327518420072</v>
      </c>
      <c r="T31" s="53">
        <f t="shared" si="20"/>
        <v>151.01033104559514</v>
      </c>
      <c r="U31" s="53">
        <f t="shared" si="20"/>
        <v>168.48557061294886</v>
      </c>
      <c r="V31" s="53">
        <f t="shared" si="20"/>
        <v>185.81122852307757</v>
      </c>
      <c r="W31" s="53">
        <f t="shared" si="20"/>
        <v>203.20240502885412</v>
      </c>
      <c r="X31" s="53">
        <f t="shared" si="20"/>
        <v>220.52398669822483</v>
      </c>
      <c r="Y31" s="53">
        <f t="shared" si="20"/>
        <v>237.77597353062404</v>
      </c>
      <c r="Z31" s="53">
        <f t="shared" si="20"/>
        <v>254.03931438610795</v>
      </c>
      <c r="AA31" s="53">
        <f t="shared" si="20"/>
        <v>270.2605756076079</v>
      </c>
      <c r="AB31" s="53">
        <f t="shared" si="20"/>
        <v>286.43975719484411</v>
      </c>
      <c r="AC31" s="53">
        <f t="shared" si="20"/>
        <v>302.5768591476409</v>
      </c>
      <c r="AD31" s="53">
        <f t="shared" si="20"/>
        <v>318.67188146592775</v>
      </c>
      <c r="AE31" s="53">
        <f t="shared" si="20"/>
        <v>334.72482414973763</v>
      </c>
      <c r="AF31" s="53">
        <f t="shared" si="20"/>
        <v>350.73568719920388</v>
      </c>
      <c r="AG31" s="53">
        <f t="shared" si="20"/>
        <v>366.70447061455428</v>
      </c>
      <c r="AH31" s="53">
        <f t="shared" si="20"/>
        <v>382.63117439610471</v>
      </c>
      <c r="AI31" s="53">
        <f t="shared" si="20"/>
        <v>398.51579854424949</v>
      </c>
      <c r="AJ31" s="53">
        <f t="shared" si="20"/>
        <v>414.35834305945173</v>
      </c>
      <c r="AK31" s="53">
        <f t="shared" si="20"/>
        <v>430.15880794223233</v>
      </c>
      <c r="AL31" s="53">
        <f t="shared" si="20"/>
        <v>445.91719319315746</v>
      </c>
      <c r="AM31" s="53">
        <f t="shared" si="20"/>
        <v>461.63349881282568</v>
      </c>
      <c r="AN31" s="53">
        <f t="shared" si="20"/>
        <v>477.30772480185556</v>
      </c>
      <c r="AO31" s="53">
        <f t="shared" si="20"/>
        <v>492.51658361542957</v>
      </c>
      <c r="AP31" s="53">
        <f t="shared" si="20"/>
        <v>507.7063655888723</v>
      </c>
    </row>
    <row r="32" spans="1:42" x14ac:dyDescent="0.25">
      <c r="A32" s="1" t="s">
        <v>26</v>
      </c>
      <c r="B32" s="52"/>
      <c r="C32" s="41"/>
      <c r="D32" s="41"/>
      <c r="E32" s="28">
        <f>'Données capacités de stockage'!B17</f>
        <v>0</v>
      </c>
      <c r="F32" s="28">
        <f>'Données capacités de stockage'!C17</f>
        <v>8.2356038281431694</v>
      </c>
      <c r="G32" s="28">
        <f>'Données capacités de stockage'!D17</f>
        <v>16.419752058543917</v>
      </c>
      <c r="H32" s="28">
        <f>'Données capacités de stockage'!E17</f>
        <v>24.55244469120224</v>
      </c>
      <c r="I32" s="28">
        <f>'Données capacités de stockage'!F17</f>
        <v>32.633681726118141</v>
      </c>
      <c r="J32" s="28">
        <f>'Données capacités de stockage'!G17</f>
        <v>40.66346316329161</v>
      </c>
      <c r="K32" s="28">
        <f>'Données capacités de stockage'!H17</f>
        <v>48.641789002722646</v>
      </c>
      <c r="L32" s="28">
        <f>'Données capacités de stockage'!I17</f>
        <v>56.568659244411251</v>
      </c>
      <c r="M32" s="28">
        <f>'Données capacités de stockage'!J17</f>
        <v>64.444073888357437</v>
      </c>
      <c r="N32" s="28">
        <f>'Données capacités de stockage'!K17</f>
        <v>72.268032934561191</v>
      </c>
      <c r="O32" s="28">
        <f>'Données capacités de stockage'!L17</f>
        <v>80.040536383022499</v>
      </c>
      <c r="P32" s="28">
        <f>'Données capacités de stockage'!M17</f>
        <v>87.761584233741374</v>
      </c>
      <c r="Q32" s="28">
        <f>'Données capacités de stockage'!N17</f>
        <v>95.431176486717817</v>
      </c>
      <c r="R32" s="28">
        <f>'Données capacités de stockage'!O17</f>
        <v>103.04931314195181</v>
      </c>
      <c r="S32" s="28">
        <f>'Données capacités de stockage'!P17</f>
        <v>110.61599419944338</v>
      </c>
      <c r="T32" s="28">
        <f>'Données capacités de stockage'!Q17</f>
        <v>118.13121965919252</v>
      </c>
      <c r="U32" s="28">
        <f>'Données capacités de stockage'!R17</f>
        <v>131.83472248674698</v>
      </c>
      <c r="V32" s="28">
        <f>'Données capacités de stockage'!S17</f>
        <v>145.44375268800428</v>
      </c>
      <c r="W32" s="28">
        <f>'Données capacités de stockage'!T17</f>
        <v>159.00882825525872</v>
      </c>
      <c r="X32" s="28">
        <f>'Données capacités de stockage'!U17</f>
        <v>172.52994918786533</v>
      </c>
      <c r="Y32" s="28">
        <f>'Données capacités de stockage'!V17</f>
        <v>186.00711548525842</v>
      </c>
      <c r="Z32" s="28">
        <f>'Données capacités de stockage'!W17</f>
        <v>198.52127600749424</v>
      </c>
      <c r="AA32" s="28">
        <f>'Données capacités de stockage'!X17</f>
        <v>211.01899709750407</v>
      </c>
      <c r="AB32" s="28">
        <f>'Données capacités de stockage'!Y17</f>
        <v>223.50027875500811</v>
      </c>
      <c r="AC32" s="28">
        <f>'Données capacités de stockage'!Z17</f>
        <v>235.96512097983077</v>
      </c>
      <c r="AD32" s="28">
        <f>'Données capacités de stockage'!AA17</f>
        <v>248.41352377190151</v>
      </c>
      <c r="AE32" s="28">
        <f>'Données capacités de stockage'!AB17</f>
        <v>260.84548713125326</v>
      </c>
      <c r="AF32" s="28">
        <f>'Données capacités de stockage'!AC17</f>
        <v>273.26101105801933</v>
      </c>
      <c r="AG32" s="28">
        <f>'Données capacités de stockage'!AD17</f>
        <v>285.66009555242761</v>
      </c>
      <c r="AH32" s="28">
        <f>'Données capacités de stockage'!AE17</f>
        <v>298.04274061479384</v>
      </c>
      <c r="AI32" s="28">
        <f>'Données capacités de stockage'!AF17</f>
        <v>310.40894624551242</v>
      </c>
      <c r="AJ32" s="28">
        <f>'Données capacités de stockage'!AG17</f>
        <v>322.75871244504651</v>
      </c>
      <c r="AK32" s="28">
        <f>'Données capacités de stockage'!AH17</f>
        <v>335.09203921391691</v>
      </c>
      <c r="AL32" s="28">
        <f>'Données capacités de stockage'!AI17</f>
        <v>347.40892655268982</v>
      </c>
      <c r="AM32" s="28">
        <f>'Données capacités de stockage'!AJ17</f>
        <v>359.70937446196388</v>
      </c>
      <c r="AN32" s="28">
        <f>'Données capacités de stockage'!AK17</f>
        <v>371.99338294235753</v>
      </c>
      <c r="AO32" s="28">
        <f>'Données capacités de stockage'!AL17</f>
        <v>383.83766444905331</v>
      </c>
      <c r="AP32" s="28">
        <f>'Données capacités de stockage'!AM17</f>
        <v>395.68850931737575</v>
      </c>
    </row>
    <row r="33" spans="1:42" x14ac:dyDescent="0.25">
      <c r="A33" s="1" t="s">
        <v>25</v>
      </c>
      <c r="B33" s="52"/>
      <c r="C33" s="41"/>
      <c r="D33" s="41"/>
      <c r="E33" s="28">
        <f>'Données capacités de stockage'!B18</f>
        <v>0</v>
      </c>
      <c r="F33" s="28">
        <f>'Données capacités de stockage'!C18</f>
        <v>2.4020511165417489</v>
      </c>
      <c r="G33" s="28">
        <f>'Données capacités de stockage'!D18</f>
        <v>4.7740864677337491</v>
      </c>
      <c r="H33" s="28">
        <f>'Données capacités de stockage'!E18</f>
        <v>7.1161060535759999</v>
      </c>
      <c r="I33" s="28">
        <f>'Données capacités de stockage'!F18</f>
        <v>9.4281098740685021</v>
      </c>
      <c r="J33" s="28">
        <f>'Données capacités de stockage'!G18</f>
        <v>11.710097929211257</v>
      </c>
      <c r="K33" s="28">
        <f>'Données capacités de stockage'!H18</f>
        <v>13.962070219004262</v>
      </c>
      <c r="L33" s="28">
        <f>'Données capacités de stockage'!I18</f>
        <v>16.184026743447522</v>
      </c>
      <c r="M33" s="28">
        <f>'Données capacités de stockage'!J18</f>
        <v>18.375967502541027</v>
      </c>
      <c r="N33" s="28">
        <f>'Données capacités de stockage'!K18</f>
        <v>20.537892496284787</v>
      </c>
      <c r="O33" s="28">
        <f>'Données capacités de stockage'!L18</f>
        <v>22.669801724678798</v>
      </c>
      <c r="P33" s="28">
        <f>'Données capacités de stockage'!M18</f>
        <v>24.771695187723058</v>
      </c>
      <c r="Q33" s="28">
        <f>'Données capacités de stockage'!N18</f>
        <v>26.843572885417572</v>
      </c>
      <c r="R33" s="28">
        <f>'Données capacités de stockage'!O18</f>
        <v>28.885434817762338</v>
      </c>
      <c r="S33" s="28">
        <f>'Données capacités de stockage'!P18</f>
        <v>30.897280984757352</v>
      </c>
      <c r="T33" s="28">
        <f>'Données capacités de stockage'!Q18</f>
        <v>32.879111386402613</v>
      </c>
      <c r="U33" s="28">
        <f>'Données capacités de stockage'!R18</f>
        <v>36.650848126201879</v>
      </c>
      <c r="V33" s="28">
        <f>'Données capacités de stockage'!S18</f>
        <v>40.3674758350733</v>
      </c>
      <c r="W33" s="28">
        <f>'Données capacités de stockage'!T18</f>
        <v>44.193576773595396</v>
      </c>
      <c r="X33" s="28">
        <f>'Données capacités de stockage'!U18</f>
        <v>47.994037510359497</v>
      </c>
      <c r="Y33" s="28">
        <f>'Données capacités de stockage'!V18</f>
        <v>51.768858045365612</v>
      </c>
      <c r="Z33" s="28">
        <f>'Données capacités de stockage'!W18</f>
        <v>55.518038378613724</v>
      </c>
      <c r="AA33" s="28">
        <f>'Données capacités de stockage'!X18</f>
        <v>59.241578510103842</v>
      </c>
      <c r="AB33" s="28">
        <f>'Données capacités de stockage'!Y18</f>
        <v>62.939478439835973</v>
      </c>
      <c r="AC33" s="28">
        <f>'Données capacités de stockage'!Z18</f>
        <v>66.611738167810103</v>
      </c>
      <c r="AD33" s="28">
        <f>'Données capacités de stockage'!AA18</f>
        <v>70.258357694026245</v>
      </c>
      <c r="AE33" s="28">
        <f>'Données capacités de stockage'!AB18</f>
        <v>73.879337018484378</v>
      </c>
      <c r="AF33" s="28">
        <f>'Données capacités de stockage'!AC18</f>
        <v>77.474676141184545</v>
      </c>
      <c r="AG33" s="28">
        <f>'Données capacités de stockage'!AD18</f>
        <v>81.04437506212669</v>
      </c>
      <c r="AH33" s="28">
        <f>'Données capacités de stockage'!AE18</f>
        <v>84.588433781310869</v>
      </c>
      <c r="AI33" s="28">
        <f>'Données capacités de stockage'!AF18</f>
        <v>88.106852298737053</v>
      </c>
      <c r="AJ33" s="28">
        <f>'Données capacités de stockage'!AG18</f>
        <v>91.599630614405228</v>
      </c>
      <c r="AK33" s="28">
        <f>'Données capacités de stockage'!AH18</f>
        <v>95.066768728315409</v>
      </c>
      <c r="AL33" s="28">
        <f>'Données capacités de stockage'!AI18</f>
        <v>98.50826664046761</v>
      </c>
      <c r="AM33" s="28">
        <f>'Données capacités de stockage'!AJ18</f>
        <v>101.92412435086182</v>
      </c>
      <c r="AN33" s="28">
        <f>'Données capacités de stockage'!AK18</f>
        <v>105.31434185949804</v>
      </c>
      <c r="AO33" s="28">
        <f>'Données capacités de stockage'!AL18</f>
        <v>108.67891916637625</v>
      </c>
      <c r="AP33" s="28">
        <f>'Données capacités de stockage'!AM18</f>
        <v>112.01785627149657</v>
      </c>
    </row>
    <row r="34" spans="1:42" ht="6" customHeight="1" x14ac:dyDescent="0.25">
      <c r="A34" s="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41"/>
    </row>
    <row r="35" spans="1:42" x14ac:dyDescent="0.25">
      <c r="A35" s="16" t="s">
        <v>3</v>
      </c>
      <c r="B35" s="53"/>
      <c r="C35" s="53"/>
      <c r="D35" s="53"/>
      <c r="E35" s="53">
        <f t="shared" ref="E35:AP35" si="21">SUM(E36:E38)</f>
        <v>0</v>
      </c>
      <c r="F35" s="53">
        <f t="shared" si="21"/>
        <v>0</v>
      </c>
      <c r="G35" s="53">
        <f t="shared" si="21"/>
        <v>0</v>
      </c>
      <c r="H35" s="53">
        <f t="shared" si="21"/>
        <v>0</v>
      </c>
      <c r="I35" s="53">
        <f t="shared" si="21"/>
        <v>0</v>
      </c>
      <c r="J35" s="53">
        <f t="shared" si="21"/>
        <v>0</v>
      </c>
      <c r="K35" s="53">
        <f t="shared" si="21"/>
        <v>0</v>
      </c>
      <c r="L35" s="53">
        <f t="shared" si="21"/>
        <v>0</v>
      </c>
      <c r="M35" s="53">
        <f t="shared" si="21"/>
        <v>0</v>
      </c>
      <c r="N35" s="53">
        <f t="shared" si="21"/>
        <v>0</v>
      </c>
      <c r="O35" s="53">
        <f t="shared" si="21"/>
        <v>0</v>
      </c>
      <c r="P35" s="53">
        <f t="shared" si="21"/>
        <v>0</v>
      </c>
      <c r="Q35" s="53">
        <f t="shared" si="21"/>
        <v>0</v>
      </c>
      <c r="R35" s="53">
        <f t="shared" si="21"/>
        <v>0</v>
      </c>
      <c r="S35" s="53">
        <f t="shared" si="21"/>
        <v>0</v>
      </c>
      <c r="T35" s="53">
        <f t="shared" si="21"/>
        <v>0</v>
      </c>
      <c r="U35" s="53">
        <f t="shared" si="21"/>
        <v>0</v>
      </c>
      <c r="V35" s="53">
        <f t="shared" si="21"/>
        <v>0</v>
      </c>
      <c r="W35" s="53">
        <f t="shared" si="21"/>
        <v>0</v>
      </c>
      <c r="X35" s="53">
        <f t="shared" si="21"/>
        <v>0</v>
      </c>
      <c r="Y35" s="53">
        <f t="shared" si="21"/>
        <v>0</v>
      </c>
      <c r="Z35" s="53">
        <f t="shared" si="21"/>
        <v>0</v>
      </c>
      <c r="AA35" s="53">
        <f t="shared" si="21"/>
        <v>0</v>
      </c>
      <c r="AB35" s="53">
        <f t="shared" si="21"/>
        <v>0</v>
      </c>
      <c r="AC35" s="53">
        <f t="shared" si="21"/>
        <v>0</v>
      </c>
      <c r="AD35" s="53">
        <f t="shared" si="21"/>
        <v>0</v>
      </c>
      <c r="AE35" s="53">
        <f t="shared" si="21"/>
        <v>0</v>
      </c>
      <c r="AF35" s="53">
        <f t="shared" si="21"/>
        <v>0</v>
      </c>
      <c r="AG35" s="53">
        <f t="shared" si="21"/>
        <v>0</v>
      </c>
      <c r="AH35" s="53">
        <f t="shared" si="21"/>
        <v>0</v>
      </c>
      <c r="AI35" s="53">
        <f t="shared" si="21"/>
        <v>0</v>
      </c>
      <c r="AJ35" s="53">
        <f t="shared" si="21"/>
        <v>0</v>
      </c>
      <c r="AK35" s="53">
        <f t="shared" si="21"/>
        <v>0</v>
      </c>
      <c r="AL35" s="53">
        <f t="shared" si="21"/>
        <v>0</v>
      </c>
      <c r="AM35" s="53">
        <f t="shared" si="21"/>
        <v>0</v>
      </c>
      <c r="AN35" s="53">
        <f t="shared" si="21"/>
        <v>0</v>
      </c>
      <c r="AO35" s="53">
        <f t="shared" si="21"/>
        <v>0</v>
      </c>
      <c r="AP35" s="53">
        <f t="shared" si="21"/>
        <v>10.528677393484177</v>
      </c>
    </row>
    <row r="36" spans="1:42" x14ac:dyDescent="0.25">
      <c r="A36" s="1" t="s">
        <v>26</v>
      </c>
      <c r="B36" s="52"/>
      <c r="C36" s="115"/>
      <c r="D36" s="115"/>
      <c r="E36" s="34">
        <f>'Données capacités de stockage'!B29+'Données capacités de stockage'!B65</f>
        <v>0</v>
      </c>
      <c r="F36" s="34">
        <f>'Données capacités de stockage'!C29+'Données capacités de stockage'!C65</f>
        <v>0</v>
      </c>
      <c r="G36" s="34">
        <f>'Données capacités de stockage'!D29+'Données capacités de stockage'!D65</f>
        <v>0</v>
      </c>
      <c r="H36" s="34">
        <f>'Données capacités de stockage'!E29+'Données capacités de stockage'!E65</f>
        <v>0</v>
      </c>
      <c r="I36" s="34">
        <f>'Données capacités de stockage'!F29+'Données capacités de stockage'!F65</f>
        <v>0</v>
      </c>
      <c r="J36" s="34">
        <f>'Données capacités de stockage'!G29+'Données capacités de stockage'!G65</f>
        <v>0</v>
      </c>
      <c r="K36" s="34">
        <f>'Données capacités de stockage'!H29+'Données capacités de stockage'!H65</f>
        <v>0</v>
      </c>
      <c r="L36" s="34">
        <f>'Données capacités de stockage'!I29+'Données capacités de stockage'!I65</f>
        <v>0</v>
      </c>
      <c r="M36" s="34">
        <f>'Données capacités de stockage'!J29+'Données capacités de stockage'!J65</f>
        <v>0</v>
      </c>
      <c r="N36" s="34">
        <f>'Données capacités de stockage'!K29+'Données capacités de stockage'!K65</f>
        <v>0</v>
      </c>
      <c r="O36" s="34">
        <f>'Données capacités de stockage'!L29+'Données capacités de stockage'!L65</f>
        <v>0</v>
      </c>
      <c r="P36" s="34">
        <f>'Données capacités de stockage'!M29+'Données capacités de stockage'!M65</f>
        <v>0</v>
      </c>
      <c r="Q36" s="34">
        <f>'Données capacités de stockage'!N29+'Données capacités de stockage'!N65</f>
        <v>0</v>
      </c>
      <c r="R36" s="34">
        <f>'Données capacités de stockage'!O29+'Données capacités de stockage'!O65</f>
        <v>0</v>
      </c>
      <c r="S36" s="34">
        <f>'Données capacités de stockage'!P29+'Données capacités de stockage'!P65</f>
        <v>0</v>
      </c>
      <c r="T36" s="34">
        <f>'Données capacités de stockage'!Q29+'Données capacités de stockage'!Q65</f>
        <v>0</v>
      </c>
      <c r="U36" s="34">
        <f>'Données capacités de stockage'!R29+'Données capacités de stockage'!R65</f>
        <v>0</v>
      </c>
      <c r="V36" s="34">
        <f>'Données capacités de stockage'!S29+'Données capacités de stockage'!S65</f>
        <v>0</v>
      </c>
      <c r="W36" s="34">
        <f>'Données capacités de stockage'!T29+'Données capacités de stockage'!T65</f>
        <v>0</v>
      </c>
      <c r="X36" s="34">
        <f>'Données capacités de stockage'!U29+'Données capacités de stockage'!U65</f>
        <v>0</v>
      </c>
      <c r="Y36" s="34">
        <f>'Données capacités de stockage'!V29+'Données capacités de stockage'!V65</f>
        <v>0</v>
      </c>
      <c r="Z36" s="34">
        <f>'Données capacités de stockage'!W29+'Données capacités de stockage'!W65</f>
        <v>0</v>
      </c>
      <c r="AA36" s="34">
        <f>'Données capacités de stockage'!X29+'Données capacités de stockage'!X65</f>
        <v>0</v>
      </c>
      <c r="AB36" s="34">
        <f>'Données capacités de stockage'!Y29+'Données capacités de stockage'!Y65</f>
        <v>0</v>
      </c>
      <c r="AC36" s="34">
        <f>'Données capacités de stockage'!Z29+'Données capacités de stockage'!Z65</f>
        <v>0</v>
      </c>
      <c r="AD36" s="34">
        <f>'Données capacités de stockage'!AA29+'Données capacités de stockage'!AA65</f>
        <v>0</v>
      </c>
      <c r="AE36" s="34">
        <f>'Données capacités de stockage'!AB29+'Données capacités de stockage'!AB65</f>
        <v>0</v>
      </c>
      <c r="AF36" s="34">
        <f>'Données capacités de stockage'!AC29+'Données capacités de stockage'!AC65</f>
        <v>0</v>
      </c>
      <c r="AG36" s="34">
        <f>'Données capacités de stockage'!AD29+'Données capacités de stockage'!AD65</f>
        <v>0</v>
      </c>
      <c r="AH36" s="34">
        <f>'Données capacités de stockage'!AE29+'Données capacités de stockage'!AE65</f>
        <v>0</v>
      </c>
      <c r="AI36" s="34">
        <f>'Données capacités de stockage'!AF29+'Données capacités de stockage'!AF65</f>
        <v>0</v>
      </c>
      <c r="AJ36" s="34">
        <f>'Données capacités de stockage'!AG29+'Données capacités de stockage'!AG65</f>
        <v>0</v>
      </c>
      <c r="AK36" s="34">
        <f>'Données capacités de stockage'!AH29+'Données capacités de stockage'!AH65</f>
        <v>0</v>
      </c>
      <c r="AL36" s="34">
        <f>'Données capacités de stockage'!AI29+'Données capacités de stockage'!AI65</f>
        <v>0</v>
      </c>
      <c r="AM36" s="34">
        <f>'Données capacités de stockage'!AJ29+'Données capacités de stockage'!AJ65</f>
        <v>0</v>
      </c>
      <c r="AN36" s="34">
        <f>'Données capacités de stockage'!AK29+'Données capacités de stockage'!AK65</f>
        <v>0</v>
      </c>
      <c r="AO36" s="34">
        <f>'Données capacités de stockage'!AL29+'Données capacités de stockage'!AL65</f>
        <v>0</v>
      </c>
      <c r="AP36" s="34">
        <f>'Données capacités de stockage'!AM29+'Données capacités de stockage'!AM65</f>
        <v>4.7042430202601686</v>
      </c>
    </row>
    <row r="37" spans="1:42" x14ac:dyDescent="0.25">
      <c r="A37" s="1" t="s">
        <v>25</v>
      </c>
      <c r="B37" s="52"/>
      <c r="C37" s="115"/>
      <c r="D37" s="115"/>
      <c r="E37" s="34">
        <f>'Données capacités de stockage'!B66-'Coûts annuels réseaux et stocka'!E36</f>
        <v>0</v>
      </c>
      <c r="F37" s="34">
        <f>'Données capacités de stockage'!C66-'Coûts annuels réseaux et stocka'!F36</f>
        <v>0</v>
      </c>
      <c r="G37" s="34">
        <f>'Données capacités de stockage'!D66-'Coûts annuels réseaux et stocka'!G36</f>
        <v>0</v>
      </c>
      <c r="H37" s="34">
        <f>'Données capacités de stockage'!E66-'Coûts annuels réseaux et stocka'!H36</f>
        <v>0</v>
      </c>
      <c r="I37" s="34">
        <f>'Données capacités de stockage'!F66-'Coûts annuels réseaux et stocka'!I36</f>
        <v>0</v>
      </c>
      <c r="J37" s="34">
        <f>'Données capacités de stockage'!G66-'Coûts annuels réseaux et stocka'!J36</f>
        <v>0</v>
      </c>
      <c r="K37" s="34">
        <f>'Données capacités de stockage'!H66-'Coûts annuels réseaux et stocka'!K36</f>
        <v>0</v>
      </c>
      <c r="L37" s="34">
        <f>'Données capacités de stockage'!I66-'Coûts annuels réseaux et stocka'!L36</f>
        <v>0</v>
      </c>
      <c r="M37" s="34">
        <f>'Données capacités de stockage'!J66-'Coûts annuels réseaux et stocka'!M36</f>
        <v>0</v>
      </c>
      <c r="N37" s="34">
        <f>'Données capacités de stockage'!K66-'Coûts annuels réseaux et stocka'!N36</f>
        <v>0</v>
      </c>
      <c r="O37" s="34">
        <f>'Données capacités de stockage'!L66-'Coûts annuels réseaux et stocka'!O36</f>
        <v>0</v>
      </c>
      <c r="P37" s="34">
        <f>'Données capacités de stockage'!M66-'Coûts annuels réseaux et stocka'!P36</f>
        <v>0</v>
      </c>
      <c r="Q37" s="34">
        <f>'Données capacités de stockage'!N66-'Coûts annuels réseaux et stocka'!Q36</f>
        <v>0</v>
      </c>
      <c r="R37" s="34">
        <f>'Données capacités de stockage'!O66-'Coûts annuels réseaux et stocka'!R36</f>
        <v>0</v>
      </c>
      <c r="S37" s="34">
        <f>'Données capacités de stockage'!P66-'Coûts annuels réseaux et stocka'!S36</f>
        <v>0</v>
      </c>
      <c r="T37" s="34">
        <f>'Données capacités de stockage'!Q66-'Coûts annuels réseaux et stocka'!T36</f>
        <v>0</v>
      </c>
      <c r="U37" s="34">
        <f>'Données capacités de stockage'!R66-'Coûts annuels réseaux et stocka'!U36</f>
        <v>0</v>
      </c>
      <c r="V37" s="34">
        <f>'Données capacités de stockage'!S66-'Coûts annuels réseaux et stocka'!V36</f>
        <v>0</v>
      </c>
      <c r="W37" s="34">
        <f>'Données capacités de stockage'!T66-'Coûts annuels réseaux et stocka'!W36</f>
        <v>0</v>
      </c>
      <c r="X37" s="34">
        <f>'Données capacités de stockage'!U66-'Coûts annuels réseaux et stocka'!X36</f>
        <v>0</v>
      </c>
      <c r="Y37" s="34">
        <f>'Données capacités de stockage'!V66-'Coûts annuels réseaux et stocka'!Y36</f>
        <v>0</v>
      </c>
      <c r="Z37" s="34">
        <f>'Données capacités de stockage'!W66-'Coûts annuels réseaux et stocka'!Z36</f>
        <v>0</v>
      </c>
      <c r="AA37" s="34">
        <f>'Données capacités de stockage'!X66-'Coûts annuels réseaux et stocka'!AA36</f>
        <v>0</v>
      </c>
      <c r="AB37" s="34">
        <f>'Données capacités de stockage'!Y66-'Coûts annuels réseaux et stocka'!AB36</f>
        <v>0</v>
      </c>
      <c r="AC37" s="34">
        <f>'Données capacités de stockage'!Z66-'Coûts annuels réseaux et stocka'!AC36</f>
        <v>0</v>
      </c>
      <c r="AD37" s="34">
        <f>'Données capacités de stockage'!AA66-'Coûts annuels réseaux et stocka'!AD36</f>
        <v>0</v>
      </c>
      <c r="AE37" s="34">
        <f>'Données capacités de stockage'!AB66-'Coûts annuels réseaux et stocka'!AE36</f>
        <v>0</v>
      </c>
      <c r="AF37" s="34">
        <f>'Données capacités de stockage'!AC66-'Coûts annuels réseaux et stocka'!AF36</f>
        <v>0</v>
      </c>
      <c r="AG37" s="34">
        <f>'Données capacités de stockage'!AD66-'Coûts annuels réseaux et stocka'!AG36</f>
        <v>0</v>
      </c>
      <c r="AH37" s="34">
        <f>'Données capacités de stockage'!AE66-'Coûts annuels réseaux et stocka'!AH36</f>
        <v>0</v>
      </c>
      <c r="AI37" s="34">
        <f>'Données capacités de stockage'!AF66-'Coûts annuels réseaux et stocka'!AI36</f>
        <v>0</v>
      </c>
      <c r="AJ37" s="34">
        <f>'Données capacités de stockage'!AG66-'Coûts annuels réseaux et stocka'!AJ36</f>
        <v>0</v>
      </c>
      <c r="AK37" s="34">
        <f>'Données capacités de stockage'!AH66-'Coûts annuels réseaux et stocka'!AK36</f>
        <v>0</v>
      </c>
      <c r="AL37" s="34">
        <f>'Données capacités de stockage'!AI66-'Coûts annuels réseaux et stocka'!AL36</f>
        <v>0</v>
      </c>
      <c r="AM37" s="34">
        <f>'Données capacités de stockage'!AJ66-'Coûts annuels réseaux et stocka'!AM36</f>
        <v>0</v>
      </c>
      <c r="AN37" s="34">
        <f>'Données capacités de stockage'!AK66-'Coûts annuels réseaux et stocka'!AN36</f>
        <v>0</v>
      </c>
      <c r="AO37" s="34">
        <f>'Données capacités de stockage'!AL66-'Coûts annuels réseaux et stocka'!AO36</f>
        <v>0</v>
      </c>
      <c r="AP37" s="34">
        <f>'Données capacités de stockage'!AM66+'Données capacités de stockage'!AM31-'Coûts annuels réseaux et stocka'!AP36</f>
        <v>5.8244343732240083</v>
      </c>
    </row>
    <row r="38" spans="1:42" x14ac:dyDescent="0.25">
      <c r="A38" s="1"/>
      <c r="B38" s="52"/>
      <c r="C38" s="115"/>
      <c r="D38" s="115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</row>
    <row r="39" spans="1:42" ht="7.5" customHeight="1" x14ac:dyDescent="0.25">
      <c r="A39" s="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41"/>
    </row>
    <row r="40" spans="1:42" x14ac:dyDescent="0.25">
      <c r="A40" s="16" t="s">
        <v>2</v>
      </c>
      <c r="B40" s="54"/>
      <c r="C40" s="54"/>
      <c r="D40" s="54"/>
      <c r="E40" s="56">
        <f t="shared" ref="E40:AO40" si="22">E41+E42</f>
        <v>353.82857142857142</v>
      </c>
      <c r="F40" s="56">
        <f t="shared" si="22"/>
        <v>368.64000000000027</v>
      </c>
      <c r="G40" s="56">
        <f t="shared" si="22"/>
        <v>383.45142857142912</v>
      </c>
      <c r="H40" s="56">
        <f t="shared" si="22"/>
        <v>398.26285714285802</v>
      </c>
      <c r="I40" s="56">
        <f t="shared" si="22"/>
        <v>413.0742857142867</v>
      </c>
      <c r="J40" s="56">
        <f t="shared" si="22"/>
        <v>427.88571428571544</v>
      </c>
      <c r="K40" s="56">
        <f t="shared" si="22"/>
        <v>442.69714285714417</v>
      </c>
      <c r="L40" s="56">
        <f t="shared" si="22"/>
        <v>457.50857142857274</v>
      </c>
      <c r="M40" s="56">
        <f t="shared" si="22"/>
        <v>472.3200000000013</v>
      </c>
      <c r="N40" s="56">
        <f t="shared" si="22"/>
        <v>487.13142857142981</v>
      </c>
      <c r="O40" s="56">
        <f t="shared" si="22"/>
        <v>501.94285714285832</v>
      </c>
      <c r="P40" s="56">
        <f t="shared" si="22"/>
        <v>516.75428571428677</v>
      </c>
      <c r="Q40" s="56">
        <f t="shared" si="22"/>
        <v>531.5657142857151</v>
      </c>
      <c r="R40" s="56">
        <f t="shared" si="22"/>
        <v>546.37714285714344</v>
      </c>
      <c r="S40" s="56">
        <f t="shared" si="22"/>
        <v>561.18857142857166</v>
      </c>
      <c r="T40" s="56">
        <f t="shared" si="22"/>
        <v>576</v>
      </c>
      <c r="U40" s="56">
        <f t="shared" si="22"/>
        <v>576</v>
      </c>
      <c r="V40" s="56">
        <f t="shared" si="22"/>
        <v>576</v>
      </c>
      <c r="W40" s="56">
        <f t="shared" si="22"/>
        <v>576</v>
      </c>
      <c r="X40" s="56">
        <f t="shared" si="22"/>
        <v>576</v>
      </c>
      <c r="Y40" s="56">
        <f t="shared" si="22"/>
        <v>576</v>
      </c>
      <c r="Z40" s="56">
        <f t="shared" si="22"/>
        <v>576</v>
      </c>
      <c r="AA40" s="56">
        <f t="shared" si="22"/>
        <v>576</v>
      </c>
      <c r="AB40" s="56">
        <f t="shared" si="22"/>
        <v>576</v>
      </c>
      <c r="AC40" s="56">
        <f t="shared" si="22"/>
        <v>576</v>
      </c>
      <c r="AD40" s="56">
        <f t="shared" si="22"/>
        <v>576</v>
      </c>
      <c r="AE40" s="56">
        <f t="shared" si="22"/>
        <v>576</v>
      </c>
      <c r="AF40" s="56">
        <f t="shared" si="22"/>
        <v>576</v>
      </c>
      <c r="AG40" s="56">
        <f t="shared" si="22"/>
        <v>576</v>
      </c>
      <c r="AH40" s="56">
        <f t="shared" si="22"/>
        <v>576</v>
      </c>
      <c r="AI40" s="56">
        <f t="shared" si="22"/>
        <v>576</v>
      </c>
      <c r="AJ40" s="56">
        <f t="shared" si="22"/>
        <v>576</v>
      </c>
      <c r="AK40" s="56">
        <f t="shared" si="22"/>
        <v>576</v>
      </c>
      <c r="AL40" s="56">
        <f t="shared" si="22"/>
        <v>576</v>
      </c>
      <c r="AM40" s="56">
        <f t="shared" si="22"/>
        <v>576</v>
      </c>
      <c r="AN40" s="56">
        <f t="shared" si="22"/>
        <v>576</v>
      </c>
      <c r="AO40" s="56">
        <f t="shared" si="22"/>
        <v>576</v>
      </c>
      <c r="AP40" s="56">
        <f>AP41+AP42</f>
        <v>576</v>
      </c>
    </row>
    <row r="41" spans="1:42" x14ac:dyDescent="0.25">
      <c r="A41" s="1" t="s">
        <v>26</v>
      </c>
      <c r="B41" s="52"/>
      <c r="C41" s="52"/>
      <c r="D41" s="52"/>
      <c r="E41" s="28">
        <f>'Données capacités de stockage'!B51</f>
        <v>290.18857142857144</v>
      </c>
      <c r="F41" s="28">
        <f>'Données capacités de stockage'!C51</f>
        <v>302.33600000000024</v>
      </c>
      <c r="G41" s="28">
        <f>'Données capacités de stockage'!D51</f>
        <v>314.48342857142904</v>
      </c>
      <c r="H41" s="28">
        <f>'Données capacités de stockage'!E51</f>
        <v>326.63085714285785</v>
      </c>
      <c r="I41" s="28">
        <f>'Données capacités de stockage'!F51</f>
        <v>338.77828571428654</v>
      </c>
      <c r="J41" s="28">
        <f>'Données capacités de stockage'!G51</f>
        <v>350.92571428571523</v>
      </c>
      <c r="K41" s="28">
        <f>'Données capacités de stockage'!H51</f>
        <v>363.07314285714392</v>
      </c>
      <c r="L41" s="28">
        <f>'Données capacités de stockage'!I51</f>
        <v>375.2205714285725</v>
      </c>
      <c r="M41" s="28">
        <f>'Données capacités de stockage'!J51</f>
        <v>387.36800000000108</v>
      </c>
      <c r="N41" s="28">
        <f>'Données capacités de stockage'!K51</f>
        <v>399.5154285714296</v>
      </c>
      <c r="O41" s="28">
        <f>'Données capacités de stockage'!L51</f>
        <v>411.66285714285812</v>
      </c>
      <c r="P41" s="28">
        <f>'Données capacités de stockage'!M51</f>
        <v>423.81028571428658</v>
      </c>
      <c r="Q41" s="28">
        <f>'Données capacités de stockage'!N51</f>
        <v>435.95771428571493</v>
      </c>
      <c r="R41" s="28">
        <f>'Données capacités de stockage'!O51</f>
        <v>448.10514285714333</v>
      </c>
      <c r="S41" s="28">
        <f>'Données capacités de stockage'!P51</f>
        <v>460.25257142857163</v>
      </c>
      <c r="T41" s="28">
        <f>'Données capacités de stockage'!Q51</f>
        <v>472.4</v>
      </c>
      <c r="U41" s="28">
        <f>'Données capacités de stockage'!R51</f>
        <v>472.4</v>
      </c>
      <c r="V41" s="28">
        <f>'Données capacités de stockage'!S51</f>
        <v>472.4</v>
      </c>
      <c r="W41" s="28">
        <f>'Données capacités de stockage'!T51</f>
        <v>472.4</v>
      </c>
      <c r="X41" s="28">
        <f>'Données capacités de stockage'!U51</f>
        <v>472.4</v>
      </c>
      <c r="Y41" s="28">
        <f>'Données capacités de stockage'!V51</f>
        <v>472.4</v>
      </c>
      <c r="Z41" s="28">
        <f>'Données capacités de stockage'!W51</f>
        <v>472.4</v>
      </c>
      <c r="AA41" s="28">
        <f>'Données capacités de stockage'!X51</f>
        <v>472.4</v>
      </c>
      <c r="AB41" s="28">
        <f>'Données capacités de stockage'!Y51</f>
        <v>472.4</v>
      </c>
      <c r="AC41" s="28">
        <f>'Données capacités de stockage'!Z51</f>
        <v>472.4</v>
      </c>
      <c r="AD41" s="28">
        <f>'Données capacités de stockage'!AA51</f>
        <v>472.4</v>
      </c>
      <c r="AE41" s="28">
        <f>'Données capacités de stockage'!AB51</f>
        <v>472.4</v>
      </c>
      <c r="AF41" s="28">
        <f>'Données capacités de stockage'!AC51</f>
        <v>472.4</v>
      </c>
      <c r="AG41" s="28">
        <f>'Données capacités de stockage'!AD51</f>
        <v>472.4</v>
      </c>
      <c r="AH41" s="28">
        <f>'Données capacités de stockage'!AE51</f>
        <v>472.4</v>
      </c>
      <c r="AI41" s="28">
        <f>'Données capacités de stockage'!AF51</f>
        <v>472.4</v>
      </c>
      <c r="AJ41" s="28">
        <f>'Données capacités de stockage'!AG51</f>
        <v>472.4</v>
      </c>
      <c r="AK41" s="28">
        <f>'Données capacités de stockage'!AH51</f>
        <v>472.4</v>
      </c>
      <c r="AL41" s="28">
        <f>'Données capacités de stockage'!AI51</f>
        <v>472.4</v>
      </c>
      <c r="AM41" s="28">
        <f>'Données capacités de stockage'!AJ51</f>
        <v>472.4</v>
      </c>
      <c r="AN41" s="28">
        <f>'Données capacités de stockage'!AK51</f>
        <v>472.4</v>
      </c>
      <c r="AO41" s="28">
        <f>'Données capacités de stockage'!AL51</f>
        <v>472.4</v>
      </c>
      <c r="AP41" s="28">
        <f>'Données capacités de stockage'!AM51</f>
        <v>472.4</v>
      </c>
    </row>
    <row r="42" spans="1:42" x14ac:dyDescent="0.25">
      <c r="A42" s="1" t="s">
        <v>25</v>
      </c>
      <c r="B42" s="52"/>
      <c r="C42" s="52"/>
      <c r="D42" s="52"/>
      <c r="E42" s="28">
        <f>'Données capacités de stockage'!B50</f>
        <v>63.64</v>
      </c>
      <c r="F42" s="28">
        <f>'Données capacités de stockage'!C50</f>
        <v>66.304000000000045</v>
      </c>
      <c r="G42" s="28">
        <f>'Données capacités de stockage'!D50</f>
        <v>68.968000000000103</v>
      </c>
      <c r="H42" s="28">
        <f>'Données capacités de stockage'!E50</f>
        <v>71.632000000000147</v>
      </c>
      <c r="I42" s="28">
        <f>'Données capacités de stockage'!F50</f>
        <v>74.296000000000191</v>
      </c>
      <c r="J42" s="28">
        <f>'Données capacités de stockage'!G50</f>
        <v>76.960000000000207</v>
      </c>
      <c r="K42" s="28">
        <f>'Données capacités de stockage'!H50</f>
        <v>79.624000000000223</v>
      </c>
      <c r="L42" s="28">
        <f>'Données capacités de stockage'!I50</f>
        <v>82.288000000000238</v>
      </c>
      <c r="M42" s="28">
        <f>'Données capacités de stockage'!J50</f>
        <v>84.95200000000024</v>
      </c>
      <c r="N42" s="28">
        <f>'Données capacités de stockage'!K50</f>
        <v>87.616000000000227</v>
      </c>
      <c r="O42" s="28">
        <f>'Données capacités de stockage'!L50</f>
        <v>90.280000000000214</v>
      </c>
      <c r="P42" s="28">
        <f>'Données capacités de stockage'!M50</f>
        <v>92.944000000000187</v>
      </c>
      <c r="Q42" s="28">
        <f>'Données capacités de stockage'!N50</f>
        <v>95.608000000000146</v>
      </c>
      <c r="R42" s="28">
        <f>'Données capacités de stockage'!O50</f>
        <v>98.272000000000105</v>
      </c>
      <c r="S42" s="28">
        <f>'Données capacités de stockage'!P50</f>
        <v>100.93600000000004</v>
      </c>
      <c r="T42" s="28">
        <f>'Données capacités de stockage'!Q50</f>
        <v>103.6</v>
      </c>
      <c r="U42" s="28">
        <f>'Données capacités de stockage'!R50</f>
        <v>103.6</v>
      </c>
      <c r="V42" s="28">
        <f>'Données capacités de stockage'!S50</f>
        <v>103.6</v>
      </c>
      <c r="W42" s="28">
        <f>'Données capacités de stockage'!T50</f>
        <v>103.6</v>
      </c>
      <c r="X42" s="28">
        <f>'Données capacités de stockage'!U50</f>
        <v>103.6</v>
      </c>
      <c r="Y42" s="28">
        <f>'Données capacités de stockage'!V50</f>
        <v>103.6</v>
      </c>
      <c r="Z42" s="28">
        <f>'Données capacités de stockage'!W50</f>
        <v>103.6</v>
      </c>
      <c r="AA42" s="28">
        <f>'Données capacités de stockage'!X50</f>
        <v>103.6</v>
      </c>
      <c r="AB42" s="28">
        <f>'Données capacités de stockage'!Y50</f>
        <v>103.6</v>
      </c>
      <c r="AC42" s="28">
        <f>'Données capacités de stockage'!Z50</f>
        <v>103.6</v>
      </c>
      <c r="AD42" s="28">
        <f>'Données capacités de stockage'!AA50</f>
        <v>103.6</v>
      </c>
      <c r="AE42" s="28">
        <f>'Données capacités de stockage'!AB50</f>
        <v>103.6</v>
      </c>
      <c r="AF42" s="28">
        <f>'Données capacités de stockage'!AC50</f>
        <v>103.6</v>
      </c>
      <c r="AG42" s="28">
        <f>'Données capacités de stockage'!AD50</f>
        <v>103.6</v>
      </c>
      <c r="AH42" s="28">
        <f>'Données capacités de stockage'!AE50</f>
        <v>103.6</v>
      </c>
      <c r="AI42" s="28">
        <f>'Données capacités de stockage'!AF50</f>
        <v>103.6</v>
      </c>
      <c r="AJ42" s="28">
        <f>'Données capacités de stockage'!AG50</f>
        <v>103.6</v>
      </c>
      <c r="AK42" s="28">
        <f>'Données capacités de stockage'!AH50</f>
        <v>103.6</v>
      </c>
      <c r="AL42" s="28">
        <f>'Données capacités de stockage'!AI50</f>
        <v>103.6</v>
      </c>
      <c r="AM42" s="28">
        <f>'Données capacités de stockage'!AJ50</f>
        <v>103.6</v>
      </c>
      <c r="AN42" s="28">
        <f>'Données capacités de stockage'!AK50</f>
        <v>103.6</v>
      </c>
      <c r="AO42" s="28">
        <f>'Données capacités de stockage'!AL50</f>
        <v>103.6</v>
      </c>
      <c r="AP42" s="28">
        <f>'Données capacités de stockage'!AM50</f>
        <v>103.6</v>
      </c>
    </row>
    <row r="43" spans="1:42" ht="7.5" customHeight="1" x14ac:dyDescent="0.25">
      <c r="A43" s="1"/>
      <c r="B43" s="5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1"/>
      <c r="AI43" s="1"/>
      <c r="AJ43" s="1"/>
      <c r="AK43" s="1"/>
      <c r="AL43" s="1"/>
      <c r="AM43" s="1"/>
      <c r="AN43" s="31"/>
      <c r="AO43" s="1"/>
      <c r="AP43" s="13"/>
    </row>
    <row r="44" spans="1:42" x14ac:dyDescent="0.25">
      <c r="A44" s="16" t="s">
        <v>243</v>
      </c>
      <c r="B44" s="54"/>
      <c r="C44" s="17"/>
      <c r="D44" s="17"/>
      <c r="E44" s="56">
        <f>E45+E46</f>
        <v>487.45848596491226</v>
      </c>
      <c r="F44" s="56">
        <f t="shared" ref="F44:AP44" si="23">F45+F46</f>
        <v>469.73681031991742</v>
      </c>
      <c r="G44" s="56">
        <f t="shared" si="23"/>
        <v>452.01513467492259</v>
      </c>
      <c r="H44" s="56">
        <f t="shared" si="23"/>
        <v>434.29345902992776</v>
      </c>
      <c r="I44" s="56">
        <f t="shared" si="23"/>
        <v>416.57178338493293</v>
      </c>
      <c r="J44" s="56">
        <f t="shared" si="23"/>
        <v>398.8501077399381</v>
      </c>
      <c r="K44" s="56">
        <f t="shared" si="23"/>
        <v>381.12843209494326</v>
      </c>
      <c r="L44" s="56">
        <f t="shared" si="23"/>
        <v>363.40675644994838</v>
      </c>
      <c r="M44" s="56">
        <f t="shared" si="23"/>
        <v>345.6850808049536</v>
      </c>
      <c r="N44" s="56">
        <f t="shared" si="23"/>
        <v>327.96340515995871</v>
      </c>
      <c r="O44" s="56">
        <f t="shared" si="23"/>
        <v>310.24172951496388</v>
      </c>
      <c r="P44" s="56">
        <f t="shared" si="23"/>
        <v>292.52005386996905</v>
      </c>
      <c r="Q44" s="56">
        <f t="shared" si="23"/>
        <v>274.79837822497421</v>
      </c>
      <c r="R44" s="56">
        <f t="shared" si="23"/>
        <v>257.07670257997938</v>
      </c>
      <c r="S44" s="56">
        <f t="shared" si="23"/>
        <v>239.35502693498455</v>
      </c>
      <c r="T44" s="56">
        <f t="shared" si="23"/>
        <v>221.63335128998972</v>
      </c>
      <c r="U44" s="56">
        <f t="shared" si="23"/>
        <v>203.91167564499486</v>
      </c>
      <c r="V44" s="56">
        <f t="shared" si="23"/>
        <v>186.19</v>
      </c>
      <c r="W44" s="56">
        <f t="shared" si="23"/>
        <v>186.19</v>
      </c>
      <c r="X44" s="56">
        <f t="shared" si="23"/>
        <v>186.19</v>
      </c>
      <c r="Y44" s="56">
        <f t="shared" si="23"/>
        <v>186.19</v>
      </c>
      <c r="Z44" s="56">
        <f t="shared" si="23"/>
        <v>186.19</v>
      </c>
      <c r="AA44" s="56">
        <f t="shared" si="23"/>
        <v>186.19</v>
      </c>
      <c r="AB44" s="56">
        <f t="shared" si="23"/>
        <v>186.19</v>
      </c>
      <c r="AC44" s="56">
        <f t="shared" si="23"/>
        <v>186.19</v>
      </c>
      <c r="AD44" s="56">
        <f t="shared" si="23"/>
        <v>186.19</v>
      </c>
      <c r="AE44" s="56">
        <f t="shared" si="23"/>
        <v>186.19</v>
      </c>
      <c r="AF44" s="56">
        <f t="shared" si="23"/>
        <v>186.19</v>
      </c>
      <c r="AG44" s="56">
        <f t="shared" si="23"/>
        <v>186.19</v>
      </c>
      <c r="AH44" s="56">
        <f t="shared" si="23"/>
        <v>186.19</v>
      </c>
      <c r="AI44" s="56">
        <f t="shared" si="23"/>
        <v>186.19</v>
      </c>
      <c r="AJ44" s="56">
        <f t="shared" si="23"/>
        <v>186.19</v>
      </c>
      <c r="AK44" s="56">
        <f t="shared" si="23"/>
        <v>186.19</v>
      </c>
      <c r="AL44" s="56">
        <f t="shared" si="23"/>
        <v>186.19</v>
      </c>
      <c r="AM44" s="56">
        <f t="shared" si="23"/>
        <v>186.19</v>
      </c>
      <c r="AN44" s="56">
        <f t="shared" si="23"/>
        <v>186.19</v>
      </c>
      <c r="AO44" s="56">
        <f t="shared" si="23"/>
        <v>186.19</v>
      </c>
      <c r="AP44" s="56">
        <f t="shared" si="23"/>
        <v>186.19</v>
      </c>
    </row>
    <row r="45" spans="1:42" x14ac:dyDescent="0.25">
      <c r="A45" s="1" t="s">
        <v>26</v>
      </c>
      <c r="B45" s="1"/>
      <c r="C45" s="1"/>
      <c r="D45" s="1"/>
      <c r="E45" s="26">
        <f>LCOE!AN25/LCOE!AQ25*'Données capacités de stockage'!B47/1000</f>
        <v>320.84449999999998</v>
      </c>
      <c r="F45" s="136">
        <f>E45+($V$45-$E$45)/(2030-2013)</f>
        <v>309.18011764705881</v>
      </c>
      <c r="G45" s="136">
        <f t="shared" ref="G45:U45" si="24">F45+($V$45-$E$45)/(2030-2013)</f>
        <v>297.51573529411763</v>
      </c>
      <c r="H45" s="136">
        <f>G45+($V$45-$E$45)/(2030-2013)</f>
        <v>285.85135294117646</v>
      </c>
      <c r="I45" s="136">
        <f t="shared" si="24"/>
        <v>274.18697058823528</v>
      </c>
      <c r="J45" s="136">
        <f t="shared" si="24"/>
        <v>262.52258823529411</v>
      </c>
      <c r="K45" s="136">
        <f t="shared" si="24"/>
        <v>250.85820588235293</v>
      </c>
      <c r="L45" s="136">
        <f t="shared" si="24"/>
        <v>239.19382352941176</v>
      </c>
      <c r="M45" s="136">
        <f t="shared" si="24"/>
        <v>227.52944117647058</v>
      </c>
      <c r="N45" s="136">
        <f t="shared" si="24"/>
        <v>215.86505882352941</v>
      </c>
      <c r="O45" s="136">
        <f t="shared" si="24"/>
        <v>204.20067647058823</v>
      </c>
      <c r="P45" s="136">
        <f t="shared" si="24"/>
        <v>192.53629411764706</v>
      </c>
      <c r="Q45" s="136">
        <f t="shared" si="24"/>
        <v>180.87191176470589</v>
      </c>
      <c r="R45" s="136">
        <f t="shared" si="24"/>
        <v>169.20752941176471</v>
      </c>
      <c r="S45" s="136">
        <f t="shared" si="24"/>
        <v>157.54314705882354</v>
      </c>
      <c r="T45" s="136">
        <f t="shared" si="24"/>
        <v>145.87876470588236</v>
      </c>
      <c r="U45" s="136">
        <f t="shared" si="24"/>
        <v>134.21438235294119</v>
      </c>
      <c r="V45" s="26">
        <f>LCOE!AO25/LCOE!AQ25*'Données capacités de stockage'!B47/1000</f>
        <v>122.55</v>
      </c>
      <c r="W45" s="26">
        <f t="shared" ref="W45:AO45" si="25">$V$45</f>
        <v>122.55</v>
      </c>
      <c r="X45" s="26">
        <f t="shared" si="25"/>
        <v>122.55</v>
      </c>
      <c r="Y45" s="26">
        <f t="shared" si="25"/>
        <v>122.55</v>
      </c>
      <c r="Z45" s="26">
        <f t="shared" si="25"/>
        <v>122.55</v>
      </c>
      <c r="AA45" s="26">
        <f t="shared" si="25"/>
        <v>122.55</v>
      </c>
      <c r="AB45" s="26">
        <f t="shared" si="25"/>
        <v>122.55</v>
      </c>
      <c r="AC45" s="26">
        <f t="shared" si="25"/>
        <v>122.55</v>
      </c>
      <c r="AD45" s="26">
        <f t="shared" si="25"/>
        <v>122.55</v>
      </c>
      <c r="AE45" s="26">
        <f t="shared" si="25"/>
        <v>122.55</v>
      </c>
      <c r="AF45" s="26">
        <f t="shared" si="25"/>
        <v>122.55</v>
      </c>
      <c r="AG45" s="26">
        <f t="shared" si="25"/>
        <v>122.55</v>
      </c>
      <c r="AH45" s="26">
        <f t="shared" si="25"/>
        <v>122.55</v>
      </c>
      <c r="AI45" s="26">
        <f t="shared" si="25"/>
        <v>122.55</v>
      </c>
      <c r="AJ45" s="26">
        <f t="shared" si="25"/>
        <v>122.55</v>
      </c>
      <c r="AK45" s="26">
        <f t="shared" si="25"/>
        <v>122.55</v>
      </c>
      <c r="AL45" s="26">
        <f t="shared" si="25"/>
        <v>122.55</v>
      </c>
      <c r="AM45" s="26">
        <f t="shared" si="25"/>
        <v>122.55</v>
      </c>
      <c r="AN45" s="26">
        <f t="shared" si="25"/>
        <v>122.55</v>
      </c>
      <c r="AO45" s="26">
        <f t="shared" si="25"/>
        <v>122.55</v>
      </c>
      <c r="AP45" s="26">
        <f>$V$45</f>
        <v>122.55</v>
      </c>
    </row>
    <row r="46" spans="1:42" x14ac:dyDescent="0.25">
      <c r="A46" s="1" t="s">
        <v>25</v>
      </c>
      <c r="B46" s="1"/>
      <c r="C46" s="1"/>
      <c r="D46" s="1"/>
      <c r="E46" s="26">
        <f>E45*($AP$46/$AP$45)</f>
        <v>166.6139859649123</v>
      </c>
      <c r="F46" s="26">
        <f t="shared" ref="F46:AN46" si="26">F45*($AP$46/$AP$45)</f>
        <v>160.55669267285862</v>
      </c>
      <c r="G46" s="26">
        <f t="shared" si="26"/>
        <v>154.49939938080496</v>
      </c>
      <c r="H46" s="26">
        <f t="shared" si="26"/>
        <v>148.4421060887513</v>
      </c>
      <c r="I46" s="26">
        <f t="shared" si="26"/>
        <v>142.38481279669764</v>
      </c>
      <c r="J46" s="26">
        <f t="shared" si="26"/>
        <v>136.32751950464399</v>
      </c>
      <c r="K46" s="26">
        <f t="shared" si="26"/>
        <v>130.2702262125903</v>
      </c>
      <c r="L46" s="26">
        <f t="shared" si="26"/>
        <v>124.21293292053664</v>
      </c>
      <c r="M46" s="26">
        <f t="shared" si="26"/>
        <v>118.15563962848299</v>
      </c>
      <c r="N46" s="26">
        <f t="shared" si="26"/>
        <v>112.09834633642932</v>
      </c>
      <c r="O46" s="26">
        <f t="shared" si="26"/>
        <v>106.04105304437566</v>
      </c>
      <c r="P46" s="26">
        <f t="shared" si="26"/>
        <v>99.983759752321987</v>
      </c>
      <c r="Q46" s="26">
        <f t="shared" si="26"/>
        <v>93.92646646026833</v>
      </c>
      <c r="R46" s="26">
        <f t="shared" si="26"/>
        <v>87.869173168214672</v>
      </c>
      <c r="S46" s="26">
        <f t="shared" si="26"/>
        <v>81.811879876161001</v>
      </c>
      <c r="T46" s="26">
        <f t="shared" si="26"/>
        <v>75.754586584107344</v>
      </c>
      <c r="U46" s="26">
        <f t="shared" si="26"/>
        <v>69.697293292053672</v>
      </c>
      <c r="V46" s="26">
        <f t="shared" si="26"/>
        <v>63.640000000000008</v>
      </c>
      <c r="W46" s="26">
        <f t="shared" si="26"/>
        <v>63.640000000000008</v>
      </c>
      <c r="X46" s="26">
        <f t="shared" si="26"/>
        <v>63.640000000000008</v>
      </c>
      <c r="Y46" s="26">
        <f t="shared" si="26"/>
        <v>63.640000000000008</v>
      </c>
      <c r="Z46" s="26">
        <f t="shared" si="26"/>
        <v>63.640000000000008</v>
      </c>
      <c r="AA46" s="26">
        <f t="shared" si="26"/>
        <v>63.640000000000008</v>
      </c>
      <c r="AB46" s="26">
        <f t="shared" si="26"/>
        <v>63.640000000000008</v>
      </c>
      <c r="AC46" s="26">
        <f t="shared" si="26"/>
        <v>63.640000000000008</v>
      </c>
      <c r="AD46" s="26">
        <f t="shared" si="26"/>
        <v>63.640000000000008</v>
      </c>
      <c r="AE46" s="26">
        <f t="shared" si="26"/>
        <v>63.640000000000008</v>
      </c>
      <c r="AF46" s="26">
        <f t="shared" si="26"/>
        <v>63.640000000000008</v>
      </c>
      <c r="AG46" s="26">
        <f t="shared" si="26"/>
        <v>63.640000000000008</v>
      </c>
      <c r="AH46" s="26">
        <f t="shared" si="26"/>
        <v>63.640000000000008</v>
      </c>
      <c r="AI46" s="26">
        <f t="shared" si="26"/>
        <v>63.640000000000008</v>
      </c>
      <c r="AJ46" s="26">
        <f t="shared" si="26"/>
        <v>63.640000000000008</v>
      </c>
      <c r="AK46" s="26">
        <f t="shared" si="26"/>
        <v>63.640000000000008</v>
      </c>
      <c r="AL46" s="26">
        <f t="shared" si="26"/>
        <v>63.640000000000008</v>
      </c>
      <c r="AM46" s="26">
        <f t="shared" si="26"/>
        <v>63.640000000000008</v>
      </c>
      <c r="AN46" s="26">
        <f t="shared" si="26"/>
        <v>63.640000000000008</v>
      </c>
      <c r="AO46" s="26">
        <f>AO45*($AP$46/$AP$45)</f>
        <v>63.640000000000008</v>
      </c>
      <c r="AP46" s="26">
        <f>LCOE!AS25*'Données capacités de stockage'!B47/1000</f>
        <v>63.64</v>
      </c>
    </row>
    <row r="47" spans="1:42" x14ac:dyDescent="0.25">
      <c r="A47" s="1"/>
      <c r="B47" s="52"/>
      <c r="C47" s="52"/>
      <c r="D47" s="52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</row>
    <row r="48" spans="1:42" x14ac:dyDescent="0.25">
      <c r="A48" s="14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</row>
    <row r="49" spans="1:42" x14ac:dyDescent="0.25">
      <c r="A49" s="14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</row>
    <row r="51" spans="1:42" x14ac:dyDescent="0.25">
      <c r="A51" s="15"/>
      <c r="B51" s="2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112"/>
  <sheetViews>
    <sheetView topLeftCell="B75" workbookViewId="0">
      <selection activeCell="B96" sqref="B96:AM96"/>
    </sheetView>
  </sheetViews>
  <sheetFormatPr baseColWidth="10" defaultRowHeight="15" outlineLevelRow="1" x14ac:dyDescent="0.25"/>
  <cols>
    <col min="1" max="1" width="30.140625" bestFit="1" customWidth="1"/>
    <col min="2" max="2" width="12.28515625" bestFit="1" customWidth="1"/>
    <col min="3" max="13" width="11.28515625" bestFit="1" customWidth="1"/>
    <col min="14" max="18" width="10.28515625" bestFit="1" customWidth="1"/>
    <col min="19" max="19" width="11.28515625" bestFit="1" customWidth="1"/>
    <col min="20" max="38" width="10.28515625" bestFit="1" customWidth="1"/>
    <col min="39" max="39" width="13.7109375" bestFit="1" customWidth="1"/>
  </cols>
  <sheetData>
    <row r="1" spans="1:39" ht="34.5" customHeight="1" x14ac:dyDescent="0.25">
      <c r="A1" s="62" t="s">
        <v>121</v>
      </c>
      <c r="B1" t="s">
        <v>30</v>
      </c>
      <c r="C1">
        <v>20</v>
      </c>
    </row>
    <row r="2" spans="1:39" outlineLevel="1" x14ac:dyDescent="0.25"/>
    <row r="3" spans="1:39" outlineLevel="1" x14ac:dyDescent="0.25">
      <c r="A3" s="3" t="s">
        <v>173</v>
      </c>
      <c r="B3" s="47">
        <v>2013</v>
      </c>
      <c r="C3" s="47">
        <v>2014</v>
      </c>
      <c r="D3" s="47">
        <v>2015</v>
      </c>
      <c r="E3" s="47">
        <v>2016</v>
      </c>
      <c r="F3" s="47">
        <v>2017</v>
      </c>
      <c r="G3" s="47">
        <v>2018</v>
      </c>
      <c r="H3" s="47">
        <v>2019</v>
      </c>
      <c r="I3" s="47">
        <v>2020</v>
      </c>
      <c r="J3" s="47">
        <v>2021</v>
      </c>
      <c r="K3" s="47">
        <v>2022</v>
      </c>
      <c r="L3" s="47">
        <v>2023</v>
      </c>
      <c r="M3" s="47">
        <v>2024</v>
      </c>
      <c r="N3" s="47">
        <v>2025</v>
      </c>
      <c r="O3" s="47">
        <v>2026</v>
      </c>
      <c r="P3" s="47">
        <v>2027</v>
      </c>
      <c r="Q3" s="47">
        <v>2028</v>
      </c>
      <c r="R3" s="47">
        <v>2029</v>
      </c>
      <c r="S3" s="47">
        <v>2030</v>
      </c>
      <c r="T3" s="47">
        <v>2031</v>
      </c>
      <c r="U3" s="47">
        <v>2032</v>
      </c>
      <c r="V3" s="47">
        <v>2033</v>
      </c>
      <c r="W3" s="47">
        <v>2034</v>
      </c>
      <c r="X3" s="47">
        <v>2035</v>
      </c>
      <c r="Y3" s="47">
        <v>2036</v>
      </c>
      <c r="Z3" s="47">
        <v>2037</v>
      </c>
      <c r="AA3" s="47">
        <v>2038</v>
      </c>
      <c r="AB3" s="47">
        <v>2039</v>
      </c>
      <c r="AC3" s="47">
        <v>2040</v>
      </c>
      <c r="AD3" s="47">
        <v>2041</v>
      </c>
      <c r="AE3" s="47">
        <v>2042</v>
      </c>
      <c r="AF3" s="47">
        <v>2043</v>
      </c>
      <c r="AG3" s="47">
        <v>2044</v>
      </c>
      <c r="AH3" s="47">
        <v>2045</v>
      </c>
      <c r="AI3" s="47">
        <v>2046</v>
      </c>
      <c r="AJ3" s="47">
        <v>2047</v>
      </c>
      <c r="AK3" s="47">
        <v>2048</v>
      </c>
      <c r="AL3" s="47">
        <v>2049</v>
      </c>
      <c r="AM3" s="47">
        <v>2050</v>
      </c>
    </row>
    <row r="4" spans="1:39" outlineLevel="1" x14ac:dyDescent="0.25">
      <c r="A4" t="s">
        <v>170</v>
      </c>
      <c r="B4" s="60">
        <f>'Linéarisation mix'!B4*1000000</f>
        <v>15900000</v>
      </c>
      <c r="C4" s="60">
        <f>'Linéarisation mix'!C4*1000000</f>
        <v>20433265.654000103</v>
      </c>
      <c r="D4" s="60">
        <f>'Linéarisation mix'!D4*1000000</f>
        <v>24966531.308000203</v>
      </c>
      <c r="E4" s="60">
        <f>'Linéarisation mix'!E4*1000000</f>
        <v>29499796.962000303</v>
      </c>
      <c r="F4" s="60">
        <f>'Linéarisation mix'!F4*1000000</f>
        <v>34033062.616000399</v>
      </c>
      <c r="G4" s="60">
        <f>'Linéarisation mix'!G4*1000000</f>
        <v>38566328.270000495</v>
      </c>
      <c r="H4" s="60">
        <f>'Linéarisation mix'!H4*1000000</f>
        <v>43099593.924000584</v>
      </c>
      <c r="I4" s="60">
        <f>'Linéarisation mix'!I4*1000000</f>
        <v>47632859.578000672</v>
      </c>
      <c r="J4" s="60">
        <f>'Linéarisation mix'!J4*1000000</f>
        <v>52166125.232000753</v>
      </c>
      <c r="K4" s="60">
        <f>'Linéarisation mix'!K4*1000000</f>
        <v>56699390.886000827</v>
      </c>
      <c r="L4" s="60">
        <f>'Linéarisation mix'!L4*1000000</f>
        <v>61232656.540000901</v>
      </c>
      <c r="M4" s="60">
        <f>'Linéarisation mix'!M4*1000000</f>
        <v>65765922.194000982</v>
      </c>
      <c r="N4" s="60">
        <f>'Linéarisation mix'!N4*1000000</f>
        <v>70299187.848001033</v>
      </c>
      <c r="O4" s="60">
        <f>'Linéarisation mix'!O4*1000000</f>
        <v>74832453.502001107</v>
      </c>
      <c r="P4" s="60">
        <f>'Linéarisation mix'!P4*1000000</f>
        <v>79365719.156001151</v>
      </c>
      <c r="Q4" s="60">
        <f>'Linéarisation mix'!Q4*1000000</f>
        <v>83898984.81000118</v>
      </c>
      <c r="R4" s="60">
        <f>'Linéarisation mix'!R4*1000000</f>
        <v>88432250.464001209</v>
      </c>
      <c r="S4" s="60">
        <f>'Linéarisation mix'!S4*1000000</f>
        <v>92965516.118001238</v>
      </c>
      <c r="T4" s="60">
        <f>'Linéarisation mix'!T4*1000000</f>
        <v>97498781.772001237</v>
      </c>
      <c r="U4" s="60">
        <f>'Linéarisation mix'!U4*1000000</f>
        <v>102032047.42600124</v>
      </c>
      <c r="V4" s="60">
        <f>'Linéarisation mix'!V4*1000000</f>
        <v>106565313.08000124</v>
      </c>
      <c r="W4" s="60">
        <f>'Linéarisation mix'!W4*1000000</f>
        <v>111098578.7340012</v>
      </c>
      <c r="X4" s="60">
        <f>'Linéarisation mix'!X4*1000000</f>
        <v>115631844.38800119</v>
      </c>
      <c r="Y4" s="60">
        <f>'Linéarisation mix'!Y4*1000000</f>
        <v>120165110.04200114</v>
      </c>
      <c r="Z4" s="60">
        <f>'Linéarisation mix'!Z4*1000000</f>
        <v>124698375.6960011</v>
      </c>
      <c r="AA4" s="60">
        <f>'Linéarisation mix'!AA4*1000000</f>
        <v>129231641.35000104</v>
      </c>
      <c r="AB4" s="60">
        <f>'Linéarisation mix'!AB4*1000000</f>
        <v>133764907.00400098</v>
      </c>
      <c r="AC4" s="60">
        <f>'Linéarisation mix'!AC4*1000000</f>
        <v>138298172.65800089</v>
      </c>
      <c r="AD4" s="60">
        <f>'Linéarisation mix'!AD4*1000000</f>
        <v>142831438.31200078</v>
      </c>
      <c r="AE4" s="60">
        <f>'Linéarisation mix'!AE4*1000000</f>
        <v>147364703.96600065</v>
      </c>
      <c r="AF4" s="60">
        <f>'Linéarisation mix'!AF4*1000000</f>
        <v>151897969.62000051</v>
      </c>
      <c r="AG4" s="60">
        <f>'Linéarisation mix'!AG4*1000000</f>
        <v>156431235.27400035</v>
      </c>
      <c r="AH4" s="60">
        <f>'Linéarisation mix'!AH4*1000000</f>
        <v>160964500.92800018</v>
      </c>
      <c r="AI4" s="60">
        <f>'Linéarisation mix'!AI4*1000000</f>
        <v>165497766.58199996</v>
      </c>
      <c r="AJ4" s="60">
        <f>'Linéarisation mix'!AJ4*1000000</f>
        <v>170031032.23599976</v>
      </c>
      <c r="AK4" s="60">
        <f>'Linéarisation mix'!AK4*1000000</f>
        <v>174564297.88999951</v>
      </c>
      <c r="AL4" s="60">
        <f>'Linéarisation mix'!AL4*1000000</f>
        <v>179097563.54399925</v>
      </c>
      <c r="AM4" s="60">
        <f>'Linéarisation mix'!AM4*1000000</f>
        <v>183630829.197999</v>
      </c>
    </row>
    <row r="5" spans="1:39" outlineLevel="1" x14ac:dyDescent="0.25">
      <c r="A5" t="s">
        <v>184</v>
      </c>
      <c r="B5" s="60">
        <f>LCOE!B8</f>
        <v>80</v>
      </c>
      <c r="C5" s="60">
        <f>LCOE!C8</f>
        <v>79.411764705882348</v>
      </c>
      <c r="D5" s="60">
        <f>LCOE!D8</f>
        <v>78.823529411764696</v>
      </c>
      <c r="E5" s="60">
        <f>LCOE!E8</f>
        <v>78.235294117647044</v>
      </c>
      <c r="F5" s="60">
        <f>LCOE!F8</f>
        <v>77.647058823529392</v>
      </c>
      <c r="G5" s="60">
        <f>LCOE!G8</f>
        <v>77.05882352941174</v>
      </c>
      <c r="H5" s="60">
        <f>LCOE!H8</f>
        <v>76.470588235294088</v>
      </c>
      <c r="I5" s="60">
        <f>LCOE!I8</f>
        <v>75.882352941176435</v>
      </c>
      <c r="J5" s="60">
        <f>LCOE!J8</f>
        <v>75.294117647058783</v>
      </c>
      <c r="K5" s="60">
        <f>LCOE!K8</f>
        <v>74.705882352941131</v>
      </c>
      <c r="L5" s="60">
        <f>LCOE!L8</f>
        <v>74.117647058823479</v>
      </c>
      <c r="M5" s="60">
        <f>LCOE!M8</f>
        <v>73.529411764705827</v>
      </c>
      <c r="N5" s="60">
        <f>LCOE!N8</f>
        <v>72.941176470588175</v>
      </c>
      <c r="O5" s="60">
        <f>LCOE!O8</f>
        <v>72.352941176470523</v>
      </c>
      <c r="P5" s="60">
        <f>LCOE!P8</f>
        <v>71.764705882352871</v>
      </c>
      <c r="Q5" s="60">
        <f>LCOE!Q8</f>
        <v>71.176470588235219</v>
      </c>
      <c r="R5" s="60">
        <f>LCOE!R8</f>
        <v>70.588235294117567</v>
      </c>
      <c r="S5" s="60">
        <f>LCOE!S8</f>
        <v>70</v>
      </c>
      <c r="T5" s="60">
        <f>LCOE!T8</f>
        <v>69.75</v>
      </c>
      <c r="U5" s="60">
        <f>LCOE!U8</f>
        <v>69.5</v>
      </c>
      <c r="V5" s="60">
        <f>LCOE!V8</f>
        <v>69.25</v>
      </c>
      <c r="W5" s="60">
        <f>LCOE!W8</f>
        <v>69</v>
      </c>
      <c r="X5" s="60">
        <f>LCOE!X8</f>
        <v>68.75</v>
      </c>
      <c r="Y5" s="60">
        <f>LCOE!Y8</f>
        <v>68.5</v>
      </c>
      <c r="Z5" s="60">
        <f>LCOE!Z8</f>
        <v>68.25</v>
      </c>
      <c r="AA5" s="60">
        <f>LCOE!AA8</f>
        <v>68</v>
      </c>
      <c r="AB5" s="60">
        <f>LCOE!AB8</f>
        <v>67.75</v>
      </c>
      <c r="AC5" s="60">
        <f>LCOE!AC8</f>
        <v>67.5</v>
      </c>
      <c r="AD5" s="60">
        <f>LCOE!AD8</f>
        <v>67.25</v>
      </c>
      <c r="AE5" s="60">
        <f>LCOE!AE8</f>
        <v>67</v>
      </c>
      <c r="AF5" s="60">
        <f>LCOE!AF8</f>
        <v>66.75</v>
      </c>
      <c r="AG5" s="60">
        <f>LCOE!AG8</f>
        <v>66.5</v>
      </c>
      <c r="AH5" s="60">
        <f>LCOE!AH8</f>
        <v>66.25</v>
      </c>
      <c r="AI5" s="60">
        <f>LCOE!AI8</f>
        <v>66</v>
      </c>
      <c r="AJ5" s="60">
        <f>LCOE!AJ8</f>
        <v>65.75</v>
      </c>
      <c r="AK5" s="60">
        <f>LCOE!AK8</f>
        <v>65.5</v>
      </c>
      <c r="AL5" s="60">
        <f>LCOE!AL8</f>
        <v>65.25</v>
      </c>
      <c r="AM5" s="60">
        <f>LCOE!AM8</f>
        <v>65</v>
      </c>
    </row>
    <row r="6" spans="1:39" outlineLevel="1" x14ac:dyDescent="0.25">
      <c r="A6" t="s">
        <v>127</v>
      </c>
      <c r="B6" s="48">
        <v>0</v>
      </c>
      <c r="C6" s="64">
        <f t="shared" ref="C6:AM6" si="0">B6+C4-B4</f>
        <v>4533265.6540001035</v>
      </c>
      <c r="D6" s="64">
        <f t="shared" si="0"/>
        <v>9066531.3080002032</v>
      </c>
      <c r="E6" s="64">
        <f t="shared" si="0"/>
        <v>13599796.962000299</v>
      </c>
      <c r="F6" s="64">
        <f t="shared" si="0"/>
        <v>18133062.616000392</v>
      </c>
      <c r="G6" s="64">
        <f t="shared" si="0"/>
        <v>22666328.270000488</v>
      </c>
      <c r="H6" s="64">
        <f t="shared" si="0"/>
        <v>27199593.924000576</v>
      </c>
      <c r="I6" s="64">
        <f t="shared" si="0"/>
        <v>31732859.578000672</v>
      </c>
      <c r="J6" s="64">
        <f t="shared" si="0"/>
        <v>36266125.232000761</v>
      </c>
      <c r="K6" s="64">
        <f t="shared" si="0"/>
        <v>40799390.886000827</v>
      </c>
      <c r="L6" s="64">
        <f t="shared" si="0"/>
        <v>45332656.540000901</v>
      </c>
      <c r="M6" s="64">
        <f t="shared" si="0"/>
        <v>49865922.194000974</v>
      </c>
      <c r="N6" s="64">
        <f t="shared" si="0"/>
        <v>54399187.848001026</v>
      </c>
      <c r="O6" s="64">
        <f t="shared" si="0"/>
        <v>58932453.502001107</v>
      </c>
      <c r="P6" s="64">
        <f t="shared" si="0"/>
        <v>63465719.156001151</v>
      </c>
      <c r="Q6" s="64">
        <f t="shared" si="0"/>
        <v>67998984.810001194</v>
      </c>
      <c r="R6" s="64">
        <f t="shared" si="0"/>
        <v>72532250.464001223</v>
      </c>
      <c r="S6" s="64">
        <f t="shared" si="0"/>
        <v>77065516.118001252</v>
      </c>
      <c r="T6" s="64">
        <f t="shared" si="0"/>
        <v>81598781.772001252</v>
      </c>
      <c r="U6" s="64">
        <f t="shared" si="0"/>
        <v>86132047.426001251</v>
      </c>
      <c r="V6" s="64">
        <f t="shared" si="0"/>
        <v>90665313.08000125</v>
      </c>
      <c r="W6" s="64">
        <f t="shared" si="0"/>
        <v>95198578.734001219</v>
      </c>
      <c r="X6" s="64">
        <f t="shared" si="0"/>
        <v>99731844.388001218</v>
      </c>
      <c r="Y6" s="64">
        <f t="shared" si="0"/>
        <v>104265110.04200117</v>
      </c>
      <c r="Z6" s="64">
        <f t="shared" si="0"/>
        <v>108798375.69600113</v>
      </c>
      <c r="AA6" s="64">
        <f t="shared" si="0"/>
        <v>113331641.35000105</v>
      </c>
      <c r="AB6" s="64">
        <f t="shared" si="0"/>
        <v>117864907.00400099</v>
      </c>
      <c r="AC6" s="64">
        <f t="shared" si="0"/>
        <v>122398172.6580009</v>
      </c>
      <c r="AD6" s="64">
        <f t="shared" si="0"/>
        <v>126931438.31200081</v>
      </c>
      <c r="AE6" s="64">
        <f t="shared" si="0"/>
        <v>131464703.96600065</v>
      </c>
      <c r="AF6" s="64">
        <f t="shared" si="0"/>
        <v>135997969.62000051</v>
      </c>
      <c r="AG6" s="64">
        <f t="shared" si="0"/>
        <v>140531235.27400038</v>
      </c>
      <c r="AH6" s="64">
        <f t="shared" si="0"/>
        <v>145064500.92800021</v>
      </c>
      <c r="AI6" s="64">
        <f t="shared" si="0"/>
        <v>149597766.58199999</v>
      </c>
      <c r="AJ6" s="64">
        <f t="shared" si="0"/>
        <v>154131032.23599976</v>
      </c>
      <c r="AK6" s="64">
        <f t="shared" si="0"/>
        <v>158664297.88999951</v>
      </c>
      <c r="AL6" s="64">
        <f t="shared" si="0"/>
        <v>163197563.54399925</v>
      </c>
      <c r="AM6" s="64">
        <f t="shared" si="0"/>
        <v>167730829.197999</v>
      </c>
    </row>
    <row r="7" spans="1:39" outlineLevel="1" x14ac:dyDescent="0.25">
      <c r="A7" t="s">
        <v>187</v>
      </c>
      <c r="B7" s="105"/>
      <c r="C7" s="42"/>
      <c r="D7" s="42"/>
      <c r="E7" s="42"/>
      <c r="F7" s="42"/>
      <c r="G7" s="42"/>
      <c r="H7" s="42"/>
      <c r="I7" s="42"/>
      <c r="J7" s="42"/>
      <c r="K7" s="42"/>
      <c r="L7" s="42"/>
      <c r="M7" s="49"/>
      <c r="N7" s="42"/>
      <c r="O7" s="42"/>
      <c r="P7" s="42"/>
      <c r="Q7" s="42"/>
      <c r="R7" s="42"/>
      <c r="S7" s="43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9"/>
      <c r="AF7" s="49"/>
      <c r="AG7" s="49"/>
      <c r="AH7" s="49"/>
      <c r="AI7" s="49"/>
      <c r="AJ7" s="49"/>
      <c r="AK7" s="49"/>
      <c r="AL7" s="42"/>
      <c r="AM7" s="104">
        <f>AM9/AM11</f>
        <v>0.27791157313956549</v>
      </c>
    </row>
    <row r="8" spans="1:39" outlineLevel="1" x14ac:dyDescent="0.25">
      <c r="A8" t="s">
        <v>204</v>
      </c>
      <c r="B8" s="58">
        <v>20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outlineLevel="1" x14ac:dyDescent="0.25">
      <c r="A9" t="s">
        <v>107</v>
      </c>
      <c r="B9" s="13">
        <f t="shared" ref="B9:AK9" si="1">B11*$AM$7</f>
        <v>353.50352103352731</v>
      </c>
      <c r="C9" s="13">
        <f t="shared" si="1"/>
        <v>453.42022918842292</v>
      </c>
      <c r="D9" s="13">
        <f t="shared" si="1"/>
        <v>553.34964515177933</v>
      </c>
      <c r="E9" s="13">
        <f t="shared" si="1"/>
        <v>652.40801012101292</v>
      </c>
      <c r="F9" s="13">
        <f t="shared" si="1"/>
        <v>750.59532409612359</v>
      </c>
      <c r="G9" s="13">
        <f t="shared" si="1"/>
        <v>847.91158707711156</v>
      </c>
      <c r="H9" s="13">
        <f t="shared" si="1"/>
        <v>944.3567990639765</v>
      </c>
      <c r="I9" s="13">
        <f t="shared" si="1"/>
        <v>1039.9309600567187</v>
      </c>
      <c r="J9" s="13">
        <f t="shared" si="1"/>
        <v>1134.634070055338</v>
      </c>
      <c r="K9" s="13">
        <f t="shared" si="1"/>
        <v>1228.4661290598342</v>
      </c>
      <c r="L9" s="13">
        <f t="shared" si="1"/>
        <v>1321.4271370702079</v>
      </c>
      <c r="M9" s="13">
        <f t="shared" si="1"/>
        <v>1413.5170940864589</v>
      </c>
      <c r="N9" s="13">
        <f t="shared" si="1"/>
        <v>1504.7360001085867</v>
      </c>
      <c r="O9" s="13">
        <f t="shared" si="1"/>
        <v>1595.0838551365919</v>
      </c>
      <c r="P9" s="13">
        <f t="shared" si="1"/>
        <v>1684.5606591704743</v>
      </c>
      <c r="Q9" s="13">
        <f t="shared" si="1"/>
        <v>1773.1664122102334</v>
      </c>
      <c r="R9" s="13">
        <f t="shared" si="1"/>
        <v>1860.90111425587</v>
      </c>
      <c r="S9" s="13">
        <f t="shared" si="1"/>
        <v>1947.7647653073839</v>
      </c>
      <c r="T9" s="13">
        <f t="shared" si="1"/>
        <v>2034.258219686395</v>
      </c>
      <c r="U9" s="13">
        <f t="shared" si="1"/>
        <v>2120.3814773929039</v>
      </c>
      <c r="V9" s="13">
        <f t="shared" si="1"/>
        <v>2189.3431211778179</v>
      </c>
      <c r="W9" s="13">
        <f t="shared" si="1"/>
        <v>2260.8549608478702</v>
      </c>
      <c r="X9" s="13">
        <f t="shared" si="1"/>
        <v>2332.5526930922024</v>
      </c>
      <c r="Y9" s="13">
        <f t="shared" si="1"/>
        <v>2404.4363179108145</v>
      </c>
      <c r="Z9" s="13">
        <f t="shared" si="1"/>
        <v>2476.5058353037066</v>
      </c>
      <c r="AA9" s="13">
        <f t="shared" si="1"/>
        <v>2548.7612452708777</v>
      </c>
      <c r="AB9" s="13">
        <f t="shared" si="1"/>
        <v>2621.2025478123292</v>
      </c>
      <c r="AC9" s="13">
        <f t="shared" si="1"/>
        <v>2693.8297429280592</v>
      </c>
      <c r="AD9" s="13">
        <f t="shared" si="1"/>
        <v>2766.6428306180696</v>
      </c>
      <c r="AE9" s="13">
        <f t="shared" si="1"/>
        <v>2839.6418108823596</v>
      </c>
      <c r="AF9" s="13">
        <f t="shared" si="1"/>
        <v>2912.8266837209294</v>
      </c>
      <c r="AG9" s="13">
        <f t="shared" si="1"/>
        <v>2986.1974491337783</v>
      </c>
      <c r="AH9" s="13">
        <f t="shared" si="1"/>
        <v>3059.7541071209075</v>
      </c>
      <c r="AI9" s="13">
        <f t="shared" si="1"/>
        <v>3133.4966576823153</v>
      </c>
      <c r="AJ9" s="13">
        <f t="shared" si="1"/>
        <v>3207.4251008180045</v>
      </c>
      <c r="AK9" s="13">
        <f t="shared" si="1"/>
        <v>3281.5394365279722</v>
      </c>
      <c r="AL9" s="13">
        <f>AL11*$AM$7</f>
        <v>3355.8396648122202</v>
      </c>
      <c r="AM9" s="13">
        <f>LCOE!AS8*1000*('Capacités installées'!B9+'Capacités installées'!B10)/1000000</f>
        <v>3430.3257856707473</v>
      </c>
    </row>
    <row r="10" spans="1:39" outlineLevel="1" x14ac:dyDescent="0.25">
      <c r="A10" t="s">
        <v>111</v>
      </c>
      <c r="B10" s="13">
        <f>B11-B9</f>
        <v>918.49647896647275</v>
      </c>
      <c r="C10" s="13">
        <f t="shared" ref="C10:AM10" si="2">C11-C9</f>
        <v>1178.1067492174675</v>
      </c>
      <c r="D10" s="13">
        <f t="shared" si="2"/>
        <v>1437.7500377458828</v>
      </c>
      <c r="E10" s="13">
        <f t="shared" si="2"/>
        <v>1695.1301033543032</v>
      </c>
      <c r="F10" s="13">
        <f t="shared" si="2"/>
        <v>1950.2469460427283</v>
      </c>
      <c r="G10" s="13">
        <f t="shared" si="2"/>
        <v>2203.100565811158</v>
      </c>
      <c r="H10" s="13">
        <f t="shared" si="2"/>
        <v>2453.6909626595925</v>
      </c>
      <c r="I10" s="13">
        <f t="shared" si="2"/>
        <v>2702.0181365880326</v>
      </c>
      <c r="J10" s="13">
        <f t="shared" si="2"/>
        <v>2948.0820875964764</v>
      </c>
      <c r="K10" s="13">
        <f t="shared" si="2"/>
        <v>3191.8828156849249</v>
      </c>
      <c r="L10" s="13">
        <f t="shared" si="2"/>
        <v>3433.4203208533781</v>
      </c>
      <c r="M10" s="13">
        <f t="shared" si="2"/>
        <v>3672.6946031018379</v>
      </c>
      <c r="N10" s="13">
        <f t="shared" si="2"/>
        <v>3909.7056624303009</v>
      </c>
      <c r="O10" s="13">
        <f t="shared" si="2"/>
        <v>4144.4534988387695</v>
      </c>
      <c r="P10" s="13">
        <f t="shared" si="2"/>
        <v>4376.9381123272433</v>
      </c>
      <c r="Q10" s="13">
        <f t="shared" si="2"/>
        <v>4607.1595028957199</v>
      </c>
      <c r="R10" s="13">
        <f t="shared" si="2"/>
        <v>4835.1176705442031</v>
      </c>
      <c r="S10" s="13">
        <f t="shared" si="2"/>
        <v>5060.8126152726918</v>
      </c>
      <c r="T10" s="13">
        <f t="shared" si="2"/>
        <v>5285.54569026018</v>
      </c>
      <c r="U10" s="13">
        <f t="shared" si="2"/>
        <v>5509.3168955066703</v>
      </c>
      <c r="V10" s="13">
        <f t="shared" si="2"/>
        <v>5688.4976482612547</v>
      </c>
      <c r="W10" s="13">
        <f t="shared" si="2"/>
        <v>5874.3044904373146</v>
      </c>
      <c r="X10" s="13">
        <f t="shared" si="2"/>
        <v>6060.5943311262126</v>
      </c>
      <c r="Y10" s="13">
        <f t="shared" si="2"/>
        <v>6247.367170327947</v>
      </c>
      <c r="Z10" s="13">
        <f t="shared" si="2"/>
        <v>6434.6230080425203</v>
      </c>
      <c r="AA10" s="13">
        <f t="shared" si="2"/>
        <v>6622.361844269928</v>
      </c>
      <c r="AB10" s="13">
        <f t="shared" si="2"/>
        <v>6810.5836790101766</v>
      </c>
      <c r="AC10" s="13">
        <f t="shared" si="2"/>
        <v>6999.2885122632579</v>
      </c>
      <c r="AD10" s="13">
        <f t="shared" si="2"/>
        <v>7188.476344029179</v>
      </c>
      <c r="AE10" s="13">
        <f t="shared" si="2"/>
        <v>7378.1471743079364</v>
      </c>
      <c r="AF10" s="13">
        <f t="shared" si="2"/>
        <v>7568.301003099531</v>
      </c>
      <c r="AG10" s="13">
        <f t="shared" si="2"/>
        <v>7758.9378304039619</v>
      </c>
      <c r="AH10" s="13">
        <f t="shared" si="2"/>
        <v>7950.0576562212318</v>
      </c>
      <c r="AI10" s="13">
        <f t="shared" si="2"/>
        <v>8141.6604805513361</v>
      </c>
      <c r="AJ10" s="13">
        <f t="shared" si="2"/>
        <v>8333.7463033942804</v>
      </c>
      <c r="AK10" s="13">
        <f t="shared" si="2"/>
        <v>8526.3151247500609</v>
      </c>
      <c r="AL10" s="13">
        <f t="shared" si="2"/>
        <v>8719.3669446186796</v>
      </c>
      <c r="AM10" s="13">
        <f t="shared" si="2"/>
        <v>8912.9017630001345</v>
      </c>
    </row>
    <row r="11" spans="1:39" outlineLevel="1" x14ac:dyDescent="0.25">
      <c r="A11" t="s">
        <v>185</v>
      </c>
      <c r="B11" s="111">
        <v>1272</v>
      </c>
      <c r="C11" s="111">
        <v>1631.5269784058905</v>
      </c>
      <c r="D11" s="111">
        <v>1991.0996828976622</v>
      </c>
      <c r="E11" s="111">
        <v>2347.5381134753161</v>
      </c>
      <c r="F11" s="111">
        <v>2700.8422701388517</v>
      </c>
      <c r="G11" s="111">
        <v>3051.0121528882696</v>
      </c>
      <c r="H11" s="111">
        <v>3398.0477617235692</v>
      </c>
      <c r="I11" s="111">
        <v>3741.9490966447511</v>
      </c>
      <c r="J11" s="111">
        <v>4082.7161576518142</v>
      </c>
      <c r="K11" s="111">
        <v>4420.3489447447591</v>
      </c>
      <c r="L11" s="111">
        <v>4754.8474579235863</v>
      </c>
      <c r="M11" s="111">
        <v>5086.211697188297</v>
      </c>
      <c r="N11" s="111">
        <v>5414.4416625388876</v>
      </c>
      <c r="O11" s="111">
        <v>5739.5373539753618</v>
      </c>
      <c r="P11" s="111">
        <v>6061.4987714977178</v>
      </c>
      <c r="Q11" s="111">
        <v>6380.3259151059538</v>
      </c>
      <c r="R11" s="111">
        <v>6696.0187848000733</v>
      </c>
      <c r="S11" s="111">
        <v>7008.5773805800754</v>
      </c>
      <c r="T11" s="111">
        <v>7319.803909946575</v>
      </c>
      <c r="U11" s="111">
        <v>7629.6983728995738</v>
      </c>
      <c r="V11" s="111">
        <v>7877.8407694390726</v>
      </c>
      <c r="W11" s="111">
        <v>8135.1594512851843</v>
      </c>
      <c r="X11" s="111">
        <v>8393.147024218415</v>
      </c>
      <c r="Y11" s="111">
        <v>8651.8034882387619</v>
      </c>
      <c r="Z11" s="111">
        <v>8911.1288433462269</v>
      </c>
      <c r="AA11" s="111">
        <v>9171.1230895408062</v>
      </c>
      <c r="AB11" s="111">
        <v>9431.7862268225053</v>
      </c>
      <c r="AC11" s="111">
        <v>9693.1182551913171</v>
      </c>
      <c r="AD11" s="111">
        <v>9955.1191746472487</v>
      </c>
      <c r="AE11" s="111">
        <v>10217.788985190296</v>
      </c>
      <c r="AF11" s="111">
        <v>10481.12768682046</v>
      </c>
      <c r="AG11" s="111">
        <v>10745.135279537741</v>
      </c>
      <c r="AH11" s="111">
        <v>11009.811763342139</v>
      </c>
      <c r="AI11" s="111">
        <v>11275.157138233651</v>
      </c>
      <c r="AJ11" s="111">
        <v>11541.171404212286</v>
      </c>
      <c r="AK11" s="111">
        <v>11807.854561278033</v>
      </c>
      <c r="AL11" s="111">
        <v>12075.206609430899</v>
      </c>
      <c r="AM11" s="111">
        <v>12343.227548670882</v>
      </c>
    </row>
    <row r="12" spans="1:39" outlineLevel="1" x14ac:dyDescent="0.25"/>
    <row r="13" spans="1:39" outlineLevel="1" x14ac:dyDescent="0.25"/>
    <row r="14" spans="1:39" outlineLevel="1" x14ac:dyDescent="0.25">
      <c r="A14" s="3" t="s">
        <v>172</v>
      </c>
      <c r="B14" s="47">
        <v>2013</v>
      </c>
      <c r="C14" s="47">
        <v>2014</v>
      </c>
      <c r="D14" s="47">
        <v>2015</v>
      </c>
      <c r="E14" s="47">
        <v>2016</v>
      </c>
      <c r="F14" s="47">
        <v>2017</v>
      </c>
      <c r="G14" s="47">
        <v>2018</v>
      </c>
      <c r="H14" s="47">
        <v>2019</v>
      </c>
      <c r="I14" s="47">
        <v>2020</v>
      </c>
      <c r="J14" s="47">
        <v>2021</v>
      </c>
      <c r="K14" s="47">
        <v>2022</v>
      </c>
      <c r="L14" s="47">
        <v>2023</v>
      </c>
      <c r="M14" s="47">
        <v>2024</v>
      </c>
      <c r="N14" s="47">
        <v>2025</v>
      </c>
      <c r="O14" s="47">
        <v>2026</v>
      </c>
      <c r="P14" s="47">
        <v>2027</v>
      </c>
      <c r="Q14" s="47">
        <v>2028</v>
      </c>
      <c r="R14" s="47">
        <v>2029</v>
      </c>
      <c r="S14" s="47">
        <v>2030</v>
      </c>
      <c r="T14" s="47">
        <v>2031</v>
      </c>
      <c r="U14" s="47">
        <v>2032</v>
      </c>
      <c r="V14" s="47">
        <v>2033</v>
      </c>
      <c r="W14" s="47">
        <v>2034</v>
      </c>
      <c r="X14" s="47">
        <v>2035</v>
      </c>
      <c r="Y14" s="47">
        <v>2036</v>
      </c>
      <c r="Z14" s="47">
        <v>2037</v>
      </c>
      <c r="AA14" s="47">
        <v>2038</v>
      </c>
      <c r="AB14" s="47">
        <v>2039</v>
      </c>
      <c r="AC14" s="47">
        <v>2040</v>
      </c>
      <c r="AD14" s="47">
        <v>2041</v>
      </c>
      <c r="AE14" s="47">
        <v>2042</v>
      </c>
      <c r="AF14" s="47">
        <v>2043</v>
      </c>
      <c r="AG14" s="47">
        <v>2044</v>
      </c>
      <c r="AH14" s="47">
        <v>2045</v>
      </c>
      <c r="AI14" s="47">
        <v>2046</v>
      </c>
      <c r="AJ14" s="47">
        <v>2047</v>
      </c>
      <c r="AK14" s="47">
        <v>2048</v>
      </c>
      <c r="AL14" s="47">
        <v>2049</v>
      </c>
      <c r="AM14" s="47">
        <v>2050</v>
      </c>
    </row>
    <row r="15" spans="1:39" outlineLevel="1" x14ac:dyDescent="0.25">
      <c r="A15" t="s">
        <v>170</v>
      </c>
      <c r="B15" s="60">
        <f>'Linéarisation mix'!B5*1000000</f>
        <v>0</v>
      </c>
      <c r="C15" s="60">
        <v>0</v>
      </c>
      <c r="D15" s="60">
        <v>0</v>
      </c>
      <c r="E15" s="60">
        <v>0</v>
      </c>
      <c r="F15" s="60">
        <v>0</v>
      </c>
      <c r="G15" s="60">
        <f>F15+($L15-$F15)/(2023-2017)</f>
        <v>681157.98390992929</v>
      </c>
      <c r="H15" s="60">
        <f t="shared" ref="H15:K15" si="3">G15+($L15-$F15)/(2023-2017)</f>
        <v>1362315.9678198586</v>
      </c>
      <c r="I15" s="60">
        <f t="shared" si="3"/>
        <v>2043473.951729788</v>
      </c>
      <c r="J15" s="60">
        <f t="shared" si="3"/>
        <v>2724631.9356397172</v>
      </c>
      <c r="K15" s="60">
        <f t="shared" si="3"/>
        <v>3405789.9195496463</v>
      </c>
      <c r="L15" s="60">
        <f>'Linéarisation mix'!L5*1000000</f>
        <v>4086947.903459576</v>
      </c>
      <c r="M15" s="60">
        <f>'Linéarisation mix'!M5*1000000</f>
        <v>4495642.6938055325</v>
      </c>
      <c r="N15" s="60">
        <f>'Linéarisation mix'!N5*1000000</f>
        <v>4904337.4841514882</v>
      </c>
      <c r="O15" s="60">
        <f>'Linéarisation mix'!O5*1000000</f>
        <v>5313032.2744974429</v>
      </c>
      <c r="P15" s="60">
        <f>'Linéarisation mix'!P5*1000000</f>
        <v>5721727.0648433976</v>
      </c>
      <c r="Q15" s="60">
        <f>'Linéarisation mix'!Q5*1000000</f>
        <v>6130421.8551893514</v>
      </c>
      <c r="R15" s="60">
        <f>'Linéarisation mix'!R5*1000000</f>
        <v>6539116.6455353051</v>
      </c>
      <c r="S15" s="60">
        <f>'Linéarisation mix'!S5*1000000</f>
        <v>6947811.435881258</v>
      </c>
      <c r="T15" s="60">
        <f>'Linéarisation mix'!T5*1000000</f>
        <v>7356506.2262272099</v>
      </c>
      <c r="U15" s="60">
        <f>'Linéarisation mix'!U5*1000000</f>
        <v>7765201.0165731618</v>
      </c>
      <c r="V15" s="60">
        <f>'Linéarisation mix'!V5*1000000</f>
        <v>8173895.8069191128</v>
      </c>
      <c r="W15" s="60">
        <f>'Linéarisation mix'!W5*1000000</f>
        <v>8582590.5972650629</v>
      </c>
      <c r="X15" s="60">
        <f>'Linéarisation mix'!X5*1000000</f>
        <v>8991285.387611011</v>
      </c>
      <c r="Y15" s="60">
        <f>'Linéarisation mix'!Y5*1000000</f>
        <v>9399980.1779569592</v>
      </c>
      <c r="Z15" s="60">
        <f>'Linéarisation mix'!Z5*1000000</f>
        <v>9808674.9683029037</v>
      </c>
      <c r="AA15" s="60">
        <f>'Linéarisation mix'!AA5*1000000</f>
        <v>10217369.75864885</v>
      </c>
      <c r="AB15" s="60">
        <f>'Linéarisation mix'!AB5*1000000</f>
        <v>10626064.548994794</v>
      </c>
      <c r="AC15" s="60">
        <f>'Linéarisation mix'!AC5*1000000</f>
        <v>11034759.339340737</v>
      </c>
      <c r="AD15" s="60">
        <f>'Linéarisation mix'!AD5*1000000</f>
        <v>11443454.129686678</v>
      </c>
      <c r="AE15" s="60">
        <f>'Linéarisation mix'!AE5*1000000</f>
        <v>11852148.920032619</v>
      </c>
      <c r="AF15" s="60">
        <f>'Linéarisation mix'!AF5*1000000</f>
        <v>12260843.710378557</v>
      </c>
      <c r="AG15" s="60">
        <f>'Linéarisation mix'!AG5*1000000</f>
        <v>12669538.500724496</v>
      </c>
      <c r="AH15" s="60">
        <f>'Linéarisation mix'!AH5*1000000</f>
        <v>13078233.291070433</v>
      </c>
      <c r="AI15" s="60">
        <f>'Linéarisation mix'!AI5*1000000</f>
        <v>13486928.081416368</v>
      </c>
      <c r="AJ15" s="60">
        <f>'Linéarisation mix'!AJ5*1000000</f>
        <v>13895622.871762304</v>
      </c>
      <c r="AK15" s="60">
        <f>'Linéarisation mix'!AK5*1000000</f>
        <v>14304317.662108235</v>
      </c>
      <c r="AL15" s="60">
        <f>'Linéarisation mix'!AL5*1000000</f>
        <v>14713012.452454168</v>
      </c>
      <c r="AM15" s="60">
        <f>'Linéarisation mix'!AM5*1000000</f>
        <v>15121707.2428001</v>
      </c>
    </row>
    <row r="16" spans="1:39" outlineLevel="1" x14ac:dyDescent="0.25">
      <c r="A16" t="s">
        <v>184</v>
      </c>
      <c r="B16" s="60">
        <f>LCOE!B11</f>
        <v>150</v>
      </c>
      <c r="C16" s="60">
        <f>LCOE!C11</f>
        <v>146.76470588235293</v>
      </c>
      <c r="D16" s="60">
        <f>LCOE!D11</f>
        <v>143.52941176470586</v>
      </c>
      <c r="E16" s="60">
        <f>LCOE!E11</f>
        <v>140.29411764705878</v>
      </c>
      <c r="F16" s="60">
        <f>LCOE!F11</f>
        <v>137.05882352941171</v>
      </c>
      <c r="G16" s="60">
        <f>LCOE!G11</f>
        <v>133.82352941176464</v>
      </c>
      <c r="H16" s="60">
        <f>LCOE!H11</f>
        <v>130.58823529411757</v>
      </c>
      <c r="I16" s="60">
        <f>LCOE!I11</f>
        <v>127.35294117647051</v>
      </c>
      <c r="J16" s="60">
        <f>LCOE!J11</f>
        <v>124.11764705882345</v>
      </c>
      <c r="K16" s="60">
        <f>LCOE!K11</f>
        <v>120.88235294117639</v>
      </c>
      <c r="L16" s="60">
        <f>LCOE!L11</f>
        <v>117.64705882352933</v>
      </c>
      <c r="M16" s="60">
        <f>LCOE!M11</f>
        <v>114.41176470588228</v>
      </c>
      <c r="N16" s="60">
        <f>LCOE!N11</f>
        <v>111.17647058823522</v>
      </c>
      <c r="O16" s="60">
        <f>LCOE!O11</f>
        <v>107.94117647058816</v>
      </c>
      <c r="P16" s="60">
        <f>LCOE!P11</f>
        <v>104.7058823529411</v>
      </c>
      <c r="Q16" s="60">
        <f>LCOE!Q11</f>
        <v>101.47058823529404</v>
      </c>
      <c r="R16" s="60">
        <f>LCOE!R11</f>
        <v>98.235294117646987</v>
      </c>
      <c r="S16" s="60">
        <f>LCOE!S11</f>
        <v>95</v>
      </c>
      <c r="T16" s="60">
        <f>LCOE!T11</f>
        <v>94.25</v>
      </c>
      <c r="U16" s="60">
        <f>LCOE!U11</f>
        <v>93.5</v>
      </c>
      <c r="V16" s="60">
        <f>LCOE!V11</f>
        <v>92.75</v>
      </c>
      <c r="W16" s="60">
        <f>LCOE!W11</f>
        <v>92</v>
      </c>
      <c r="X16" s="60">
        <f>LCOE!X11</f>
        <v>91.25</v>
      </c>
      <c r="Y16" s="60">
        <f>LCOE!Y11</f>
        <v>90.5</v>
      </c>
      <c r="Z16" s="60">
        <f>LCOE!Z11</f>
        <v>89.75</v>
      </c>
      <c r="AA16" s="60">
        <f>LCOE!AA11</f>
        <v>89</v>
      </c>
      <c r="AB16" s="60">
        <f>LCOE!AB11</f>
        <v>88.25</v>
      </c>
      <c r="AC16" s="60">
        <f>LCOE!AC11</f>
        <v>87.5</v>
      </c>
      <c r="AD16" s="60">
        <f>LCOE!AD11</f>
        <v>86.75</v>
      </c>
      <c r="AE16" s="60">
        <f>LCOE!AE11</f>
        <v>86</v>
      </c>
      <c r="AF16" s="60">
        <f>LCOE!AF11</f>
        <v>85.25</v>
      </c>
      <c r="AG16" s="60">
        <f>LCOE!AG11</f>
        <v>84.5</v>
      </c>
      <c r="AH16" s="60">
        <f>LCOE!AH11</f>
        <v>83.75</v>
      </c>
      <c r="AI16" s="60">
        <f>LCOE!AI11</f>
        <v>83</v>
      </c>
      <c r="AJ16" s="60">
        <f>LCOE!AJ11</f>
        <v>82.25</v>
      </c>
      <c r="AK16" s="60">
        <f>LCOE!AK11</f>
        <v>81.5</v>
      </c>
      <c r="AL16" s="60">
        <f>LCOE!AL11</f>
        <v>80.75</v>
      </c>
      <c r="AM16" s="60">
        <f>LCOE!AM11</f>
        <v>80</v>
      </c>
    </row>
    <row r="17" spans="1:39" outlineLevel="1" x14ac:dyDescent="0.25">
      <c r="A17" t="s">
        <v>127</v>
      </c>
      <c r="B17" s="48">
        <v>0</v>
      </c>
      <c r="C17" s="64">
        <f t="shared" ref="C17:AM17" si="4">B17+C15-B15</f>
        <v>0</v>
      </c>
      <c r="D17" s="64">
        <f t="shared" si="4"/>
        <v>0</v>
      </c>
      <c r="E17" s="64">
        <f t="shared" si="4"/>
        <v>0</v>
      </c>
      <c r="F17" s="64">
        <f t="shared" si="4"/>
        <v>0</v>
      </c>
      <c r="G17" s="64">
        <f t="shared" si="4"/>
        <v>681157.98390992929</v>
      </c>
      <c r="H17" s="64">
        <f t="shared" si="4"/>
        <v>1362315.9678198588</v>
      </c>
      <c r="I17" s="64">
        <f t="shared" si="4"/>
        <v>2043473.9517297882</v>
      </c>
      <c r="J17" s="64">
        <f t="shared" si="4"/>
        <v>2724631.9356397172</v>
      </c>
      <c r="K17" s="64">
        <f t="shared" si="4"/>
        <v>3405789.9195496463</v>
      </c>
      <c r="L17" s="64">
        <f t="shared" si="4"/>
        <v>4086947.9034595764</v>
      </c>
      <c r="M17" s="64">
        <f t="shared" si="4"/>
        <v>4495642.6938055335</v>
      </c>
      <c r="N17" s="64">
        <f t="shared" si="4"/>
        <v>4904337.4841514882</v>
      </c>
      <c r="O17" s="64">
        <f t="shared" si="4"/>
        <v>5313032.2744974438</v>
      </c>
      <c r="P17" s="64">
        <f t="shared" si="4"/>
        <v>5721727.0648433985</v>
      </c>
      <c r="Q17" s="64">
        <f t="shared" si="4"/>
        <v>6130421.8551893532</v>
      </c>
      <c r="R17" s="64">
        <f t="shared" si="4"/>
        <v>6539116.645535307</v>
      </c>
      <c r="S17" s="64">
        <f t="shared" si="4"/>
        <v>6947811.4358812608</v>
      </c>
      <c r="T17" s="64">
        <f t="shared" si="4"/>
        <v>7356506.2262272118</v>
      </c>
      <c r="U17" s="64">
        <f t="shared" si="4"/>
        <v>7765201.0165731637</v>
      </c>
      <c r="V17" s="64">
        <f t="shared" si="4"/>
        <v>8173895.8069191156</v>
      </c>
      <c r="W17" s="64">
        <f t="shared" si="4"/>
        <v>8582590.5972650647</v>
      </c>
      <c r="X17" s="64">
        <f t="shared" si="4"/>
        <v>8991285.387611011</v>
      </c>
      <c r="Y17" s="64">
        <f t="shared" si="4"/>
        <v>9399980.1779569592</v>
      </c>
      <c r="Z17" s="64">
        <f t="shared" si="4"/>
        <v>9808674.9683029037</v>
      </c>
      <c r="AA17" s="64">
        <f t="shared" si="4"/>
        <v>10217369.758648852</v>
      </c>
      <c r="AB17" s="64">
        <f t="shared" si="4"/>
        <v>10626064.548994794</v>
      </c>
      <c r="AC17" s="64">
        <f t="shared" si="4"/>
        <v>11034759.339340739</v>
      </c>
      <c r="AD17" s="64">
        <f t="shared" si="4"/>
        <v>11443454.129686678</v>
      </c>
      <c r="AE17" s="64">
        <f t="shared" si="4"/>
        <v>11852148.920032619</v>
      </c>
      <c r="AF17" s="64">
        <f t="shared" si="4"/>
        <v>12260843.710378559</v>
      </c>
      <c r="AG17" s="64">
        <f t="shared" si="4"/>
        <v>12669538.500724498</v>
      </c>
      <c r="AH17" s="64">
        <f t="shared" si="4"/>
        <v>13078233.291070437</v>
      </c>
      <c r="AI17" s="64">
        <f t="shared" si="4"/>
        <v>13486928.081416374</v>
      </c>
      <c r="AJ17" s="64">
        <f t="shared" si="4"/>
        <v>13895622.871762309</v>
      </c>
      <c r="AK17" s="64">
        <f t="shared" si="4"/>
        <v>14304317.662108241</v>
      </c>
      <c r="AL17" s="64">
        <f t="shared" si="4"/>
        <v>14713012.452454172</v>
      </c>
      <c r="AM17" s="64">
        <f t="shared" si="4"/>
        <v>15121707.242800105</v>
      </c>
    </row>
    <row r="18" spans="1:39" outlineLevel="1" x14ac:dyDescent="0.25">
      <c r="A18" t="s">
        <v>187</v>
      </c>
      <c r="B18" s="105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9"/>
      <c r="N18" s="42"/>
      <c r="O18" s="42"/>
      <c r="P18" s="42"/>
      <c r="Q18" s="42"/>
      <c r="R18" s="42"/>
      <c r="S18" s="43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9"/>
      <c r="AF18" s="49"/>
      <c r="AG18" s="49"/>
      <c r="AH18" s="49"/>
      <c r="AI18" s="49"/>
      <c r="AJ18" s="49"/>
      <c r="AK18" s="49"/>
      <c r="AL18" s="42"/>
      <c r="AM18" s="104">
        <f>AM20/AM22</f>
        <v>0.40809123701616418</v>
      </c>
    </row>
    <row r="19" spans="1:39" outlineLevel="1" x14ac:dyDescent="0.25">
      <c r="A19" t="s">
        <v>204</v>
      </c>
      <c r="B19" s="58">
        <v>20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outlineLevel="1" x14ac:dyDescent="0.25">
      <c r="A20" t="s">
        <v>107</v>
      </c>
      <c r="B20" s="13">
        <f t="shared" ref="B20:AK20" si="5">$AM$18*B22</f>
        <v>0</v>
      </c>
      <c r="C20" s="13">
        <f t="shared" si="5"/>
        <v>0</v>
      </c>
      <c r="D20" s="13">
        <f t="shared" si="5"/>
        <v>0</v>
      </c>
      <c r="E20" s="13">
        <f t="shared" si="5"/>
        <v>0</v>
      </c>
      <c r="F20" s="13">
        <f t="shared" si="5"/>
        <v>0</v>
      </c>
      <c r="G20" s="13">
        <f t="shared" si="5"/>
        <v>37.199542628542467</v>
      </c>
      <c r="H20" s="13">
        <f t="shared" si="5"/>
        <v>73.499755655076214</v>
      </c>
      <c r="I20" s="13">
        <f t="shared" si="5"/>
        <v>108.90063907960126</v>
      </c>
      <c r="J20" s="13">
        <f t="shared" si="5"/>
        <v>143.40219290211755</v>
      </c>
      <c r="K20" s="13">
        <f t="shared" si="5"/>
        <v>177.00441712262514</v>
      </c>
      <c r="L20" s="13">
        <f t="shared" si="5"/>
        <v>209.70731174112402</v>
      </c>
      <c r="M20" s="13">
        <f t="shared" si="5"/>
        <v>228.78945075101805</v>
      </c>
      <c r="N20" s="13">
        <f t="shared" si="5"/>
        <v>247.33199199970684</v>
      </c>
      <c r="O20" s="13">
        <f t="shared" si="5"/>
        <v>265.33493548719031</v>
      </c>
      <c r="P20" s="13">
        <f t="shared" si="5"/>
        <v>282.79828121346856</v>
      </c>
      <c r="Q20" s="13">
        <f t="shared" si="5"/>
        <v>299.72202917854156</v>
      </c>
      <c r="R20" s="13">
        <f t="shared" si="5"/>
        <v>316.10617938240927</v>
      </c>
      <c r="S20" s="13">
        <f t="shared" si="5"/>
        <v>331.95073182507173</v>
      </c>
      <c r="T20" s="13">
        <f t="shared" si="5"/>
        <v>347.67019569581839</v>
      </c>
      <c r="U20" s="13">
        <f t="shared" si="5"/>
        <v>363.26457099464932</v>
      </c>
      <c r="V20" s="13">
        <f t="shared" si="5"/>
        <v>378.7338577215645</v>
      </c>
      <c r="W20" s="13">
        <f t="shared" si="5"/>
        <v>394.07805587656389</v>
      </c>
      <c r="X20" s="13">
        <f t="shared" si="5"/>
        <v>409.29716545964749</v>
      </c>
      <c r="Y20" s="13">
        <f t="shared" si="5"/>
        <v>424.39118647081528</v>
      </c>
      <c r="Z20" s="13">
        <f t="shared" si="5"/>
        <v>439.36011891006717</v>
      </c>
      <c r="AA20" s="13">
        <f t="shared" si="5"/>
        <v>441.7441599277555</v>
      </c>
      <c r="AB20" s="13">
        <f t="shared" si="5"/>
        <v>444.69396102234356</v>
      </c>
      <c r="AC20" s="13">
        <f t="shared" si="5"/>
        <v>448.20952219383173</v>
      </c>
      <c r="AD20" s="13">
        <f t="shared" si="5"/>
        <v>452.29084344221985</v>
      </c>
      <c r="AE20" s="13">
        <f t="shared" si="5"/>
        <v>456.93792476750804</v>
      </c>
      <c r="AF20" s="13">
        <f t="shared" si="5"/>
        <v>462.15076616969617</v>
      </c>
      <c r="AG20" s="13">
        <f t="shared" si="5"/>
        <v>471.25525203148567</v>
      </c>
      <c r="AH20" s="13">
        <f t="shared" si="5"/>
        <v>480.64915851064876</v>
      </c>
      <c r="AI20" s="13">
        <f t="shared" si="5"/>
        <v>490.33248560718556</v>
      </c>
      <c r="AJ20" s="13">
        <f t="shared" si="5"/>
        <v>500.30523332109613</v>
      </c>
      <c r="AK20" s="13">
        <f t="shared" si="5"/>
        <v>510.56740165238023</v>
      </c>
      <c r="AL20" s="13">
        <f>$AM$18*AL22</f>
        <v>521.11899060103815</v>
      </c>
      <c r="AM20" s="13">
        <f>LCOE!AS11*1000*('Capacités installées'!B11+'Capacités installées'!B20)/1000000</f>
        <v>531.96000016706967</v>
      </c>
    </row>
    <row r="21" spans="1:39" outlineLevel="1" x14ac:dyDescent="0.25">
      <c r="A21" t="s">
        <v>111</v>
      </c>
      <c r="B21" s="41">
        <f t="shared" ref="B21:AL21" si="6">B22-B20</f>
        <v>0</v>
      </c>
      <c r="C21" s="41">
        <f t="shared" si="6"/>
        <v>0</v>
      </c>
      <c r="D21" s="41">
        <f t="shared" si="6"/>
        <v>0</v>
      </c>
      <c r="E21" s="41">
        <f t="shared" si="6"/>
        <v>0</v>
      </c>
      <c r="F21" s="41">
        <f t="shared" si="6"/>
        <v>0</v>
      </c>
      <c r="G21" s="41">
        <f t="shared" si="6"/>
        <v>53.9554228652866</v>
      </c>
      <c r="H21" s="41">
        <f t="shared" si="6"/>
        <v>106.6064289140498</v>
      </c>
      <c r="I21" s="41">
        <f t="shared" si="6"/>
        <v>157.95301814628959</v>
      </c>
      <c r="J21" s="41">
        <f t="shared" si="6"/>
        <v>207.99519056200594</v>
      </c>
      <c r="K21" s="41">
        <f t="shared" si="6"/>
        <v>256.73294616119892</v>
      </c>
      <c r="L21" s="41">
        <f t="shared" si="6"/>
        <v>304.16628494386839</v>
      </c>
      <c r="M21" s="41">
        <f t="shared" si="6"/>
        <v>331.84363812355605</v>
      </c>
      <c r="N21" s="41">
        <f t="shared" si="6"/>
        <v>358.73834121332959</v>
      </c>
      <c r="O21" s="41">
        <f t="shared" si="6"/>
        <v>384.85039421318896</v>
      </c>
      <c r="P21" s="41">
        <f t="shared" si="6"/>
        <v>410.17979712313428</v>
      </c>
      <c r="Q21" s="41">
        <f t="shared" si="6"/>
        <v>434.72654994316542</v>
      </c>
      <c r="R21" s="41">
        <f t="shared" si="6"/>
        <v>458.49065267328257</v>
      </c>
      <c r="S21" s="41">
        <f t="shared" si="6"/>
        <v>481.47210531348566</v>
      </c>
      <c r="T21" s="41">
        <f t="shared" si="6"/>
        <v>504.27212543284497</v>
      </c>
      <c r="U21" s="41">
        <f t="shared" si="6"/>
        <v>526.89071303136052</v>
      </c>
      <c r="V21" s="41">
        <f t="shared" si="6"/>
        <v>549.32786810903247</v>
      </c>
      <c r="W21" s="41">
        <f t="shared" si="6"/>
        <v>571.58359066586058</v>
      </c>
      <c r="X21" s="41">
        <f t="shared" si="6"/>
        <v>593.65788070184499</v>
      </c>
      <c r="Y21" s="41">
        <f t="shared" si="6"/>
        <v>615.55073821698556</v>
      </c>
      <c r="Z21" s="41">
        <f t="shared" si="6"/>
        <v>637.2621632112822</v>
      </c>
      <c r="AA21" s="41">
        <f t="shared" si="6"/>
        <v>640.72005360853848</v>
      </c>
      <c r="AB21" s="41">
        <f t="shared" si="6"/>
        <v>644.99854076673455</v>
      </c>
      <c r="AC21" s="41">
        <f t="shared" si="6"/>
        <v>650.09762468587076</v>
      </c>
      <c r="AD21" s="41">
        <f t="shared" si="6"/>
        <v>656.01730536594721</v>
      </c>
      <c r="AE21" s="41">
        <f t="shared" si="6"/>
        <v>662.75758280696368</v>
      </c>
      <c r="AF21" s="41">
        <f t="shared" si="6"/>
        <v>670.3184570089204</v>
      </c>
      <c r="AG21" s="41">
        <f t="shared" si="6"/>
        <v>683.52389852601482</v>
      </c>
      <c r="AH21" s="41">
        <f t="shared" si="6"/>
        <v>697.14912509133569</v>
      </c>
      <c r="AI21" s="41">
        <f t="shared" si="6"/>
        <v>711.19413670488302</v>
      </c>
      <c r="AJ21" s="41">
        <f t="shared" si="6"/>
        <v>725.65893336665715</v>
      </c>
      <c r="AK21" s="41">
        <f t="shared" si="6"/>
        <v>740.54351507665763</v>
      </c>
      <c r="AL21" s="41">
        <f t="shared" si="6"/>
        <v>755.8478818348849</v>
      </c>
      <c r="AM21" s="41">
        <f>AM22-AM20</f>
        <v>771.57203364133852</v>
      </c>
    </row>
    <row r="22" spans="1:39" outlineLevel="1" x14ac:dyDescent="0.25">
      <c r="A22" t="s">
        <v>185</v>
      </c>
      <c r="B22" s="111">
        <v>0</v>
      </c>
      <c r="C22" s="111">
        <v>0</v>
      </c>
      <c r="D22" s="111">
        <v>0</v>
      </c>
      <c r="E22" s="111">
        <v>0</v>
      </c>
      <c r="F22" s="111">
        <v>0</v>
      </c>
      <c r="G22" s="111">
        <v>91.154965493829067</v>
      </c>
      <c r="H22" s="111">
        <v>180.10618456912601</v>
      </c>
      <c r="I22" s="111">
        <v>266.85365722589086</v>
      </c>
      <c r="J22" s="111">
        <v>351.39738346412349</v>
      </c>
      <c r="K22" s="111">
        <v>433.73736328382404</v>
      </c>
      <c r="L22" s="111">
        <v>513.87359668499244</v>
      </c>
      <c r="M22" s="111">
        <v>560.63308887457413</v>
      </c>
      <c r="N22" s="111">
        <v>606.07033321303641</v>
      </c>
      <c r="O22" s="111">
        <v>650.18532970037927</v>
      </c>
      <c r="P22" s="111">
        <v>692.97807833660283</v>
      </c>
      <c r="Q22" s="111">
        <v>734.44857912170698</v>
      </c>
      <c r="R22" s="111">
        <v>774.59683205569183</v>
      </c>
      <c r="S22" s="111">
        <v>813.42283713855738</v>
      </c>
      <c r="T22" s="111">
        <v>851.94232112866337</v>
      </c>
      <c r="U22" s="111">
        <v>890.15528402600989</v>
      </c>
      <c r="V22" s="111">
        <v>928.06172583059697</v>
      </c>
      <c r="W22" s="111">
        <v>965.66164654242448</v>
      </c>
      <c r="X22" s="111">
        <v>1002.9550461614924</v>
      </c>
      <c r="Y22" s="111">
        <v>1039.9419246878008</v>
      </c>
      <c r="Z22" s="111">
        <v>1076.6222821213494</v>
      </c>
      <c r="AA22" s="111">
        <v>1082.464213536294</v>
      </c>
      <c r="AB22" s="111">
        <v>1089.6925017890781</v>
      </c>
      <c r="AC22" s="111">
        <v>1098.3071468797025</v>
      </c>
      <c r="AD22" s="111">
        <v>1108.3081488081671</v>
      </c>
      <c r="AE22" s="111">
        <v>1119.6955075744718</v>
      </c>
      <c r="AF22" s="111">
        <v>1132.4692231786166</v>
      </c>
      <c r="AG22" s="111">
        <v>1154.7791505575005</v>
      </c>
      <c r="AH22" s="111">
        <v>1177.7982836019844</v>
      </c>
      <c r="AI22" s="111">
        <v>1201.5266223120686</v>
      </c>
      <c r="AJ22" s="111">
        <v>1225.9641666877533</v>
      </c>
      <c r="AK22" s="111">
        <v>1251.1109167290379</v>
      </c>
      <c r="AL22" s="111">
        <v>1276.9668724359231</v>
      </c>
      <c r="AM22" s="111">
        <v>1303.5320338084082</v>
      </c>
    </row>
    <row r="23" spans="1:39" outlineLevel="1" x14ac:dyDescent="0.25"/>
    <row r="25" spans="1:39" ht="30.75" customHeight="1" x14ac:dyDescent="0.25">
      <c r="A25" s="62" t="s">
        <v>122</v>
      </c>
      <c r="B25" t="s">
        <v>30</v>
      </c>
      <c r="C25">
        <v>25</v>
      </c>
    </row>
    <row r="26" spans="1:39" outlineLevel="1" x14ac:dyDescent="0.25"/>
    <row r="27" spans="1:39" outlineLevel="1" x14ac:dyDescent="0.25">
      <c r="A27" s="3" t="s">
        <v>171</v>
      </c>
      <c r="B27" s="47">
        <v>2013</v>
      </c>
      <c r="C27" s="47">
        <v>2014</v>
      </c>
      <c r="D27" s="47">
        <v>2015</v>
      </c>
      <c r="E27" s="47">
        <v>2016</v>
      </c>
      <c r="F27" s="47">
        <v>2017</v>
      </c>
      <c r="G27" s="47">
        <v>2018</v>
      </c>
      <c r="H27" s="47">
        <v>2019</v>
      </c>
      <c r="I27" s="47">
        <v>2020</v>
      </c>
      <c r="J27" s="47">
        <v>2021</v>
      </c>
      <c r="K27" s="47">
        <v>2022</v>
      </c>
      <c r="L27" s="47">
        <v>2023</v>
      </c>
      <c r="M27" s="47">
        <v>2024</v>
      </c>
      <c r="N27" s="47">
        <v>2025</v>
      </c>
      <c r="O27" s="47">
        <v>2026</v>
      </c>
      <c r="P27" s="47">
        <v>2027</v>
      </c>
      <c r="Q27" s="47">
        <v>2028</v>
      </c>
      <c r="R27" s="47">
        <v>2029</v>
      </c>
      <c r="S27" s="47">
        <v>2030</v>
      </c>
      <c r="T27" s="47">
        <v>2031</v>
      </c>
      <c r="U27" s="47">
        <v>2032</v>
      </c>
      <c r="V27" s="47">
        <v>2033</v>
      </c>
      <c r="W27" s="47">
        <v>2034</v>
      </c>
      <c r="X27" s="47">
        <v>2035</v>
      </c>
      <c r="Y27" s="47">
        <v>2036</v>
      </c>
      <c r="Z27" s="47">
        <v>2037</v>
      </c>
      <c r="AA27" s="47">
        <v>2038</v>
      </c>
      <c r="AB27" s="47">
        <v>2039</v>
      </c>
      <c r="AC27" s="47">
        <v>2040</v>
      </c>
      <c r="AD27" s="47">
        <v>2041</v>
      </c>
      <c r="AE27" s="47">
        <v>2042</v>
      </c>
      <c r="AF27" s="47">
        <v>2043</v>
      </c>
      <c r="AG27" s="47">
        <v>2044</v>
      </c>
      <c r="AH27" s="47">
        <v>2045</v>
      </c>
      <c r="AI27" s="47">
        <v>2046</v>
      </c>
      <c r="AJ27" s="47">
        <v>2047</v>
      </c>
      <c r="AK27" s="47">
        <v>2048</v>
      </c>
      <c r="AL27" s="47">
        <v>2049</v>
      </c>
      <c r="AM27" s="47">
        <v>2050</v>
      </c>
    </row>
    <row r="28" spans="1:39" outlineLevel="1" x14ac:dyDescent="0.25">
      <c r="A28" t="s">
        <v>170</v>
      </c>
      <c r="B28" s="60">
        <f>'Linéarisation mix'!B6*1000000</f>
        <v>4600000</v>
      </c>
      <c r="C28" s="60">
        <f>'Linéarisation mix'!C6*1000000</f>
        <v>5930786.3919216599</v>
      </c>
      <c r="D28" s="60">
        <f>'Linéarisation mix'!D6*1000000</f>
        <v>7261572.7838433199</v>
      </c>
      <c r="E28" s="60">
        <f>'Linéarisation mix'!E6*1000000</f>
        <v>8592359.1757649798</v>
      </c>
      <c r="F28" s="60">
        <f>'Linéarisation mix'!F6*1000000</f>
        <v>9923145.5676866379</v>
      </c>
      <c r="G28" s="60">
        <f>'Linéarisation mix'!G6*1000000</f>
        <v>11253931.959608294</v>
      </c>
      <c r="H28" s="60">
        <f>'Linéarisation mix'!H6*1000000</f>
        <v>12584718.35152995</v>
      </c>
      <c r="I28" s="60">
        <f>'Linéarisation mix'!I6*1000000</f>
        <v>13915504.743451605</v>
      </c>
      <c r="J28" s="60">
        <f>'Linéarisation mix'!J6*1000000</f>
        <v>15246291.135373259</v>
      </c>
      <c r="K28" s="60">
        <f>'Linéarisation mix'!K6*1000000</f>
        <v>16577077.527294911</v>
      </c>
      <c r="L28" s="60">
        <f>'Linéarisation mix'!L6*1000000</f>
        <v>17907863.919216558</v>
      </c>
      <c r="M28" s="60">
        <f>'Linéarisation mix'!M6*1000000</f>
        <v>19238650.311138205</v>
      </c>
      <c r="N28" s="60">
        <f>'Linéarisation mix'!N6*1000000</f>
        <v>20569436.703059848</v>
      </c>
      <c r="O28" s="60">
        <f>'Linéarisation mix'!O6*1000000</f>
        <v>21900223.094981492</v>
      </c>
      <c r="P28" s="60">
        <f>'Linéarisation mix'!P6*1000000</f>
        <v>23231009.486903131</v>
      </c>
      <c r="Q28" s="60">
        <f>'Linéarisation mix'!Q6*1000000</f>
        <v>24561795.878824767</v>
      </c>
      <c r="R28" s="60">
        <f>'Linéarisation mix'!R6*1000000</f>
        <v>25892582.270746402</v>
      </c>
      <c r="S28" s="60">
        <f>'Linéarisation mix'!S6*1000000</f>
        <v>27223368.662668034</v>
      </c>
      <c r="T28" s="60">
        <f>'Linéarisation mix'!T6*1000000</f>
        <v>28554155.054589663</v>
      </c>
      <c r="U28" s="60">
        <f>'Linéarisation mix'!U6*1000000</f>
        <v>29884941.446511291</v>
      </c>
      <c r="V28" s="60">
        <f>'Linéarisation mix'!V6*1000000</f>
        <v>31215727.838432919</v>
      </c>
      <c r="W28" s="60">
        <f>'Linéarisation mix'!W6*1000000</f>
        <v>32546514.230354548</v>
      </c>
      <c r="X28" s="60">
        <f>'Linéarisation mix'!X6*1000000</f>
        <v>33877300.622276165</v>
      </c>
      <c r="Y28" s="60">
        <f>'Linéarisation mix'!Y6*1000000</f>
        <v>35208087.014197782</v>
      </c>
      <c r="Z28" s="60">
        <f>'Linéarisation mix'!Z6*1000000</f>
        <v>36538873.406119391</v>
      </c>
      <c r="AA28" s="60">
        <f>'Linéarisation mix'!AA6*1000000</f>
        <v>37869659.798041001</v>
      </c>
      <c r="AB28" s="60">
        <f>'Linéarisation mix'!AB6*1000000</f>
        <v>39200446.189962596</v>
      </c>
      <c r="AC28" s="60">
        <f>'Linéarisation mix'!AC6*1000000</f>
        <v>40531232.581884198</v>
      </c>
      <c r="AD28" s="60">
        <f>'Linéarisation mix'!AD6*1000000</f>
        <v>41862018.973805785</v>
      </c>
      <c r="AE28" s="60">
        <f>'Linéarisation mix'!AE6*1000000</f>
        <v>43192805.365727372</v>
      </c>
      <c r="AF28" s="60">
        <f>'Linéarisation mix'!AF6*1000000</f>
        <v>44523591.75764896</v>
      </c>
      <c r="AG28" s="60">
        <f>'Linéarisation mix'!AG6*1000000</f>
        <v>45854378.14957054</v>
      </c>
      <c r="AH28" s="60">
        <f>'Linéarisation mix'!AH6*1000000</f>
        <v>47185164.541492105</v>
      </c>
      <c r="AI28" s="60">
        <f>'Linéarisation mix'!AI6*1000000</f>
        <v>48515950.933413677</v>
      </c>
      <c r="AJ28" s="60">
        <f>'Linéarisation mix'!AJ6*1000000</f>
        <v>49846737.325335242</v>
      </c>
      <c r="AK28" s="60">
        <f>'Linéarisation mix'!AK6*1000000</f>
        <v>51177523.717256799</v>
      </c>
      <c r="AL28" s="60">
        <f>'Linéarisation mix'!AL6*1000000</f>
        <v>52508310.109178357</v>
      </c>
      <c r="AM28" s="60">
        <f>'Linéarisation mix'!AM6*1000000</f>
        <v>53839096.501099899</v>
      </c>
    </row>
    <row r="29" spans="1:39" outlineLevel="1" x14ac:dyDescent="0.25">
      <c r="A29" t="s">
        <v>184</v>
      </c>
      <c r="B29" s="60">
        <f>LCOE!B15</f>
        <v>179.46998377501353</v>
      </c>
      <c r="C29" s="60">
        <f>LCOE!C15</f>
        <v>175.80445464681071</v>
      </c>
      <c r="D29" s="60">
        <f>LCOE!D15</f>
        <v>172.13892551860789</v>
      </c>
      <c r="E29" s="60">
        <f>LCOE!E15</f>
        <v>168.47339639040507</v>
      </c>
      <c r="F29" s="60">
        <f>LCOE!F15</f>
        <v>164.80786726220225</v>
      </c>
      <c r="G29" s="60">
        <f>LCOE!G15</f>
        <v>161.14233813399943</v>
      </c>
      <c r="H29" s="60">
        <f>LCOE!H15</f>
        <v>157.47680900579661</v>
      </c>
      <c r="I29" s="60">
        <f>LCOE!I15</f>
        <v>153.81127987759379</v>
      </c>
      <c r="J29" s="60">
        <f>LCOE!J15</f>
        <v>150.14575074939097</v>
      </c>
      <c r="K29" s="60">
        <f>LCOE!K15</f>
        <v>146.48022162118815</v>
      </c>
      <c r="L29" s="60">
        <f>LCOE!L15</f>
        <v>142.81469249298533</v>
      </c>
      <c r="M29" s="60">
        <f>LCOE!M15</f>
        <v>139.14916336478251</v>
      </c>
      <c r="N29" s="60">
        <f>LCOE!N15</f>
        <v>135.48363423657969</v>
      </c>
      <c r="O29" s="60">
        <f>LCOE!O15</f>
        <v>131.81810510837687</v>
      </c>
      <c r="P29" s="60">
        <f>LCOE!P15</f>
        <v>128.15257598017405</v>
      </c>
      <c r="Q29" s="60">
        <f>LCOE!Q15</f>
        <v>124.48704685197123</v>
      </c>
      <c r="R29" s="60">
        <f>LCOE!R15</f>
        <v>120.82151772376841</v>
      </c>
      <c r="S29" s="60">
        <f>LCOE!S15</f>
        <v>117.15598859556559</v>
      </c>
      <c r="T29" s="60">
        <f>LCOE!T15</f>
        <v>114.89232229921427</v>
      </c>
      <c r="U29" s="60">
        <f>LCOE!U15</f>
        <v>112.62865600286295</v>
      </c>
      <c r="V29" s="60">
        <f>LCOE!V15</f>
        <v>110.36498970651164</v>
      </c>
      <c r="W29" s="60">
        <f>LCOE!W15</f>
        <v>108.10132341016032</v>
      </c>
      <c r="X29" s="60">
        <f>LCOE!X15</f>
        <v>105.837657113809</v>
      </c>
      <c r="Y29" s="60">
        <f>LCOE!Y15</f>
        <v>103.57399081745768</v>
      </c>
      <c r="Z29" s="60">
        <f>LCOE!Z15</f>
        <v>101.31032452110637</v>
      </c>
      <c r="AA29" s="60">
        <f>LCOE!AA15</f>
        <v>99.046658224755049</v>
      </c>
      <c r="AB29" s="60">
        <f>LCOE!AB15</f>
        <v>96.782991928403732</v>
      </c>
      <c r="AC29" s="60">
        <f>LCOE!AC15</f>
        <v>94.519325632052414</v>
      </c>
      <c r="AD29" s="60">
        <f>LCOE!AD15</f>
        <v>92.255659335701097</v>
      </c>
      <c r="AE29" s="60">
        <f>LCOE!AE15</f>
        <v>89.991993039349779</v>
      </c>
      <c r="AF29" s="60">
        <f>LCOE!AF15</f>
        <v>87.728326742998462</v>
      </c>
      <c r="AG29" s="60">
        <f>LCOE!AG15</f>
        <v>85.464660446647144</v>
      </c>
      <c r="AH29" s="60">
        <f>LCOE!AH15</f>
        <v>83.200994150295827</v>
      </c>
      <c r="AI29" s="60">
        <f>LCOE!AI15</f>
        <v>80.93732785394451</v>
      </c>
      <c r="AJ29" s="60">
        <f>LCOE!AJ15</f>
        <v>78.673661557593192</v>
      </c>
      <c r="AK29" s="60">
        <f>LCOE!AK15</f>
        <v>76.409995261241875</v>
      </c>
      <c r="AL29" s="60">
        <f>LCOE!AL15</f>
        <v>74.146328964890557</v>
      </c>
      <c r="AM29" s="60">
        <f>LCOE!AM15</f>
        <v>71.882662668539211</v>
      </c>
    </row>
    <row r="30" spans="1:39" outlineLevel="1" x14ac:dyDescent="0.25">
      <c r="A30" t="s">
        <v>127</v>
      </c>
      <c r="B30" s="48">
        <v>0</v>
      </c>
      <c r="C30" s="64">
        <f t="shared" ref="C30:AM30" si="7">B30+C28-B28</f>
        <v>1330786.3919216599</v>
      </c>
      <c r="D30" s="64">
        <f t="shared" si="7"/>
        <v>2661572.7838433199</v>
      </c>
      <c r="E30" s="64">
        <f t="shared" si="7"/>
        <v>3992359.1757649798</v>
      </c>
      <c r="F30" s="64">
        <f t="shared" si="7"/>
        <v>5323145.5676866379</v>
      </c>
      <c r="G30" s="64">
        <f t="shared" si="7"/>
        <v>6653931.9596082941</v>
      </c>
      <c r="H30" s="64">
        <f t="shared" si="7"/>
        <v>7984718.3515299484</v>
      </c>
      <c r="I30" s="64">
        <f t="shared" si="7"/>
        <v>9315504.7434516009</v>
      </c>
      <c r="J30" s="64">
        <f t="shared" si="7"/>
        <v>10646291.135373255</v>
      </c>
      <c r="K30" s="64">
        <f t="shared" si="7"/>
        <v>11977077.52729491</v>
      </c>
      <c r="L30" s="64">
        <f t="shared" si="7"/>
        <v>13307863.919216558</v>
      </c>
      <c r="M30" s="64">
        <f t="shared" si="7"/>
        <v>14638650.311138205</v>
      </c>
      <c r="N30" s="64">
        <f t="shared" si="7"/>
        <v>15969436.703059845</v>
      </c>
      <c r="O30" s="64">
        <f t="shared" si="7"/>
        <v>17300223.094981488</v>
      </c>
      <c r="P30" s="64">
        <f t="shared" si="7"/>
        <v>18631009.486903131</v>
      </c>
      <c r="Q30" s="64">
        <f t="shared" si="7"/>
        <v>19961795.87882477</v>
      </c>
      <c r="R30" s="64">
        <f t="shared" si="7"/>
        <v>21292582.270746406</v>
      </c>
      <c r="S30" s="64">
        <f t="shared" si="7"/>
        <v>22623368.662668042</v>
      </c>
      <c r="T30" s="64">
        <f t="shared" si="7"/>
        <v>23954155.054589674</v>
      </c>
      <c r="U30" s="64">
        <f t="shared" si="7"/>
        <v>25284941.446511302</v>
      </c>
      <c r="V30" s="64">
        <f t="shared" si="7"/>
        <v>26615727.83843293</v>
      </c>
      <c r="W30" s="64">
        <f t="shared" si="7"/>
        <v>27946514.230354559</v>
      </c>
      <c r="X30" s="64">
        <f t="shared" si="7"/>
        <v>29277300.622276172</v>
      </c>
      <c r="Y30" s="64">
        <f t="shared" si="7"/>
        <v>30608087.014197789</v>
      </c>
      <c r="Z30" s="64">
        <f t="shared" si="7"/>
        <v>31938873.406119391</v>
      </c>
      <c r="AA30" s="64">
        <f t="shared" si="7"/>
        <v>33269659.798041001</v>
      </c>
      <c r="AB30" s="64">
        <f t="shared" si="7"/>
        <v>34600446.189962596</v>
      </c>
      <c r="AC30" s="64">
        <f t="shared" si="7"/>
        <v>35931232.581884205</v>
      </c>
      <c r="AD30" s="64">
        <f t="shared" si="7"/>
        <v>37262018.973805793</v>
      </c>
      <c r="AE30" s="64">
        <f t="shared" si="7"/>
        <v>38592805.36572738</v>
      </c>
      <c r="AF30" s="64">
        <f t="shared" si="7"/>
        <v>39923591.757648967</v>
      </c>
      <c r="AG30" s="64">
        <f t="shared" si="7"/>
        <v>41254378.14957054</v>
      </c>
      <c r="AH30" s="64">
        <f t="shared" si="7"/>
        <v>42585164.541492105</v>
      </c>
      <c r="AI30" s="64">
        <f t="shared" si="7"/>
        <v>43915950.933413684</v>
      </c>
      <c r="AJ30" s="64">
        <f t="shared" si="7"/>
        <v>45246737.325335242</v>
      </c>
      <c r="AK30" s="64">
        <f t="shared" si="7"/>
        <v>46577523.717256807</v>
      </c>
      <c r="AL30" s="64">
        <f t="shared" si="7"/>
        <v>47908310.109178364</v>
      </c>
      <c r="AM30" s="64">
        <f t="shared" si="7"/>
        <v>49239096.501099907</v>
      </c>
    </row>
    <row r="31" spans="1:39" outlineLevel="1" x14ac:dyDescent="0.25">
      <c r="A31" t="s">
        <v>187</v>
      </c>
      <c r="B31" s="60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9"/>
      <c r="N31" s="42"/>
      <c r="O31" s="42"/>
      <c r="P31" s="42"/>
      <c r="Q31" s="42"/>
      <c r="R31" s="42"/>
      <c r="S31" s="43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9"/>
      <c r="AF31" s="49"/>
      <c r="AG31" s="49"/>
      <c r="AH31" s="49"/>
      <c r="AI31" s="49"/>
      <c r="AJ31" s="49"/>
      <c r="AK31" s="49"/>
      <c r="AL31" s="42"/>
      <c r="AM31" s="104">
        <f>AM33/AM35</f>
        <v>0.1678321693237374</v>
      </c>
    </row>
    <row r="32" spans="1:39" outlineLevel="1" x14ac:dyDescent="0.25">
      <c r="A32" t="s">
        <v>204</v>
      </c>
      <c r="B32" s="58">
        <v>25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outlineLevel="1" x14ac:dyDescent="0.25">
      <c r="A33" t="s">
        <v>107</v>
      </c>
      <c r="B33" s="13">
        <f t="shared" ref="B33:AK33" si="8">$AM$31*B35</f>
        <v>138.5558488450998</v>
      </c>
      <c r="C33" s="13">
        <f t="shared" si="8"/>
        <v>177.70836139282287</v>
      </c>
      <c r="D33" s="13">
        <f t="shared" si="8"/>
        <v>215.92898688735306</v>
      </c>
      <c r="E33" s="13">
        <f t="shared" si="8"/>
        <v>253.21772532869042</v>
      </c>
      <c r="F33" s="13">
        <f t="shared" si="8"/>
        <v>289.57457671683488</v>
      </c>
      <c r="G33" s="13">
        <f t="shared" si="8"/>
        <v>324.99954105178642</v>
      </c>
      <c r="H33" s="13">
        <f t="shared" si="8"/>
        <v>359.49261833354512</v>
      </c>
      <c r="I33" s="13">
        <f t="shared" si="8"/>
        <v>393.05380856211093</v>
      </c>
      <c r="J33" s="13">
        <f t="shared" si="8"/>
        <v>425.68311173748396</v>
      </c>
      <c r="K33" s="13">
        <f t="shared" si="8"/>
        <v>457.38052785966414</v>
      </c>
      <c r="L33" s="13">
        <f t="shared" si="8"/>
        <v>488.14605692865126</v>
      </c>
      <c r="M33" s="13">
        <f t="shared" si="8"/>
        <v>517.97969894444566</v>
      </c>
      <c r="N33" s="13">
        <f t="shared" si="8"/>
        <v>546.8814539070471</v>
      </c>
      <c r="O33" s="13">
        <f t="shared" si="8"/>
        <v>574.85132181645577</v>
      </c>
      <c r="P33" s="13">
        <f t="shared" si="8"/>
        <v>601.88930267267153</v>
      </c>
      <c r="Q33" s="13">
        <f t="shared" si="8"/>
        <v>627.99539647569452</v>
      </c>
      <c r="R33" s="13">
        <f t="shared" si="8"/>
        <v>653.16960322552472</v>
      </c>
      <c r="S33" s="13">
        <f t="shared" si="8"/>
        <v>677.41192292216192</v>
      </c>
      <c r="T33" s="13">
        <f t="shared" si="8"/>
        <v>701.07875099384148</v>
      </c>
      <c r="U33" s="13">
        <f t="shared" si="8"/>
        <v>724.17008744056375</v>
      </c>
      <c r="V33" s="13">
        <f t="shared" si="8"/>
        <v>746.68593226232815</v>
      </c>
      <c r="W33" s="13">
        <f t="shared" si="8"/>
        <v>768.62628545913503</v>
      </c>
      <c r="X33" s="13">
        <f t="shared" si="8"/>
        <v>789.99114703098428</v>
      </c>
      <c r="Y33" s="13">
        <f t="shared" si="8"/>
        <v>810.78051697787578</v>
      </c>
      <c r="Z33" s="13">
        <f t="shared" si="8"/>
        <v>830.99439529980964</v>
      </c>
      <c r="AA33" s="13">
        <f t="shared" si="8"/>
        <v>850.63278199678575</v>
      </c>
      <c r="AB33" s="13">
        <f t="shared" si="8"/>
        <v>852.15952644093159</v>
      </c>
      <c r="AC33" s="13">
        <f t="shared" si="8"/>
        <v>853.53707923698119</v>
      </c>
      <c r="AD33" s="13">
        <f t="shared" si="8"/>
        <v>854.76544038493432</v>
      </c>
      <c r="AE33" s="13">
        <f t="shared" si="8"/>
        <v>855.84460988479134</v>
      </c>
      <c r="AF33" s="13">
        <f t="shared" si="8"/>
        <v>856.77458773655223</v>
      </c>
      <c r="AG33" s="13">
        <f t="shared" si="8"/>
        <v>857.55537394021678</v>
      </c>
      <c r="AH33" s="13">
        <f t="shared" si="8"/>
        <v>858.18696849578521</v>
      </c>
      <c r="AI33" s="13">
        <f t="shared" si="8"/>
        <v>858.66937140325717</v>
      </c>
      <c r="AJ33" s="13">
        <f t="shared" si="8"/>
        <v>859.00258266263302</v>
      </c>
      <c r="AK33" s="13">
        <f t="shared" si="8"/>
        <v>859.18660227391251</v>
      </c>
      <c r="AL33" s="13">
        <f>$AM$31*AL35</f>
        <v>859.22143023709589</v>
      </c>
      <c r="AM33" s="13">
        <f>LCOE!AS15*1000*('Capacités installées'!B7+'Capacités installées'!B8+'Capacités installées'!B22)/1000000</f>
        <v>859.1070665521828</v>
      </c>
    </row>
    <row r="34" spans="1:39" outlineLevel="1" x14ac:dyDescent="0.25">
      <c r="A34" t="s">
        <v>111</v>
      </c>
      <c r="B34" s="41">
        <f>B35-B33</f>
        <v>687.00607651996245</v>
      </c>
      <c r="C34" s="41">
        <f t="shared" ref="C34:AM34" si="9">C35-C33</f>
        <v>881.13728249583426</v>
      </c>
      <c r="D34" s="41">
        <f t="shared" si="9"/>
        <v>1070.6478818823048</v>
      </c>
      <c r="E34" s="41">
        <f t="shared" si="9"/>
        <v>1255.5378746793735</v>
      </c>
      <c r="F34" s="41">
        <f t="shared" si="9"/>
        <v>1435.8072608870409</v>
      </c>
      <c r="G34" s="41">
        <f t="shared" si="9"/>
        <v>1611.4560405053066</v>
      </c>
      <c r="H34" s="41">
        <f t="shared" si="9"/>
        <v>1782.484213534171</v>
      </c>
      <c r="I34" s="41">
        <f t="shared" si="9"/>
        <v>1948.8917799736337</v>
      </c>
      <c r="J34" s="41">
        <f t="shared" si="9"/>
        <v>2110.6787398236952</v>
      </c>
      <c r="K34" s="41">
        <f t="shared" si="9"/>
        <v>2267.8450930843555</v>
      </c>
      <c r="L34" s="41">
        <f t="shared" si="9"/>
        <v>2420.3908397556133</v>
      </c>
      <c r="M34" s="41">
        <f t="shared" si="9"/>
        <v>2568.3159798374704</v>
      </c>
      <c r="N34" s="41">
        <f t="shared" si="9"/>
        <v>2711.6205133299259</v>
      </c>
      <c r="O34" s="41">
        <f t="shared" si="9"/>
        <v>2850.3044402329806</v>
      </c>
      <c r="P34" s="41">
        <f t="shared" si="9"/>
        <v>2984.3677605466332</v>
      </c>
      <c r="Q34" s="41">
        <f t="shared" si="9"/>
        <v>3113.8104742708842</v>
      </c>
      <c r="R34" s="41">
        <f t="shared" si="9"/>
        <v>3238.6325814057345</v>
      </c>
      <c r="S34" s="41">
        <f t="shared" si="9"/>
        <v>3358.8340819511836</v>
      </c>
      <c r="T34" s="41">
        <f t="shared" si="9"/>
        <v>3476.1821032200246</v>
      </c>
      <c r="U34" s="41">
        <f t="shared" si="9"/>
        <v>3590.6766452122597</v>
      </c>
      <c r="V34" s="41">
        <f t="shared" si="9"/>
        <v>3702.3177079278862</v>
      </c>
      <c r="W34" s="41">
        <f t="shared" si="9"/>
        <v>3811.1052913669064</v>
      </c>
      <c r="X34" s="41">
        <f t="shared" si="9"/>
        <v>3917.0393955293184</v>
      </c>
      <c r="Y34" s="41">
        <f t="shared" si="9"/>
        <v>4020.1200204151228</v>
      </c>
      <c r="Z34" s="41">
        <f t="shared" si="9"/>
        <v>4120.3471660243194</v>
      </c>
      <c r="AA34" s="41">
        <f t="shared" si="9"/>
        <v>4217.7208323569093</v>
      </c>
      <c r="AB34" s="41">
        <f t="shared" si="9"/>
        <v>4225.2909401449524</v>
      </c>
      <c r="AC34" s="41">
        <f t="shared" si="9"/>
        <v>4232.1213060190858</v>
      </c>
      <c r="AD34" s="41">
        <f t="shared" si="9"/>
        <v>4238.2119299793076</v>
      </c>
      <c r="AE34" s="41">
        <f t="shared" si="9"/>
        <v>4243.5628120256197</v>
      </c>
      <c r="AF34" s="41">
        <f t="shared" si="9"/>
        <v>4248.1739521580221</v>
      </c>
      <c r="AG34" s="41">
        <f t="shared" si="9"/>
        <v>4252.0453503765139</v>
      </c>
      <c r="AH34" s="41">
        <f t="shared" si="9"/>
        <v>4255.177006681095</v>
      </c>
      <c r="AI34" s="41">
        <f t="shared" si="9"/>
        <v>4257.5689210717655</v>
      </c>
      <c r="AJ34" s="41">
        <f t="shared" si="9"/>
        <v>4259.2210935485264</v>
      </c>
      <c r="AK34" s="41">
        <f t="shared" si="9"/>
        <v>4260.1335241113766</v>
      </c>
      <c r="AL34" s="41">
        <f t="shared" si="9"/>
        <v>4260.3062127603162</v>
      </c>
      <c r="AM34" s="41">
        <f t="shared" si="9"/>
        <v>4259.7391594953442</v>
      </c>
    </row>
    <row r="35" spans="1:39" outlineLevel="1" x14ac:dyDescent="0.25">
      <c r="A35" t="s">
        <v>185</v>
      </c>
      <c r="B35" s="111">
        <v>825.56192536506228</v>
      </c>
      <c r="C35" s="111">
        <v>1058.8456438886572</v>
      </c>
      <c r="D35" s="111">
        <v>1286.5768687696577</v>
      </c>
      <c r="E35" s="111">
        <v>1508.755600008064</v>
      </c>
      <c r="F35" s="111">
        <v>1725.3818376038757</v>
      </c>
      <c r="G35" s="111">
        <v>1936.4555815570932</v>
      </c>
      <c r="H35" s="111">
        <v>2141.9768318677161</v>
      </c>
      <c r="I35" s="111">
        <v>2341.9455885357447</v>
      </c>
      <c r="J35" s="111">
        <v>2536.3618515611793</v>
      </c>
      <c r="K35" s="111">
        <v>2725.2256209440197</v>
      </c>
      <c r="L35" s="111">
        <v>2908.5368966842648</v>
      </c>
      <c r="M35" s="111">
        <v>3086.2956787819162</v>
      </c>
      <c r="N35" s="111">
        <v>3258.5019672369731</v>
      </c>
      <c r="O35" s="111">
        <v>3425.1557620494364</v>
      </c>
      <c r="P35" s="111">
        <v>3586.2570632193047</v>
      </c>
      <c r="Q35" s="111">
        <v>3741.8058707465789</v>
      </c>
      <c r="R35" s="111">
        <v>3891.8021846312595</v>
      </c>
      <c r="S35" s="111">
        <v>4036.2460048733456</v>
      </c>
      <c r="T35" s="111">
        <v>4177.260854213866</v>
      </c>
      <c r="U35" s="111">
        <v>4314.8467326528234</v>
      </c>
      <c r="V35" s="111">
        <v>4449.0036401902144</v>
      </c>
      <c r="W35" s="111">
        <v>4579.7315768260414</v>
      </c>
      <c r="X35" s="111">
        <v>4707.0305425603028</v>
      </c>
      <c r="Y35" s="111">
        <v>4830.9005373929986</v>
      </c>
      <c r="Z35" s="111">
        <v>4951.3415613241295</v>
      </c>
      <c r="AA35" s="111">
        <v>5068.3536143536949</v>
      </c>
      <c r="AB35" s="111">
        <v>5077.450466585884</v>
      </c>
      <c r="AC35" s="111">
        <v>5085.658385256067</v>
      </c>
      <c r="AD35" s="111">
        <v>5092.9773703642422</v>
      </c>
      <c r="AE35" s="111">
        <v>5099.4074219104114</v>
      </c>
      <c r="AF35" s="111">
        <v>5104.9485398945744</v>
      </c>
      <c r="AG35" s="111">
        <v>5109.6007243167305</v>
      </c>
      <c r="AH35" s="111">
        <v>5113.3639751768806</v>
      </c>
      <c r="AI35" s="111">
        <v>5116.2382924750227</v>
      </c>
      <c r="AJ35" s="111">
        <v>5118.2236762111597</v>
      </c>
      <c r="AK35" s="111">
        <v>5119.3201263852889</v>
      </c>
      <c r="AL35" s="111">
        <v>5119.5276429974119</v>
      </c>
      <c r="AM35" s="111">
        <v>5118.8462260475271</v>
      </c>
    </row>
    <row r="36" spans="1:39" outlineLevel="1" x14ac:dyDescent="0.25"/>
    <row r="38" spans="1:39" ht="23.25" x14ac:dyDescent="0.25">
      <c r="A38" s="62" t="s">
        <v>124</v>
      </c>
    </row>
    <row r="40" spans="1:39" outlineLevel="1" x14ac:dyDescent="0.25">
      <c r="A40" s="3" t="s">
        <v>125</v>
      </c>
      <c r="B40" s="47">
        <v>2013</v>
      </c>
      <c r="C40" s="47">
        <v>2014</v>
      </c>
      <c r="D40" s="47">
        <v>2015</v>
      </c>
      <c r="E40" s="47">
        <v>2016</v>
      </c>
      <c r="F40" s="47">
        <v>2017</v>
      </c>
      <c r="G40" s="47">
        <v>2018</v>
      </c>
      <c r="H40" s="47">
        <v>2019</v>
      </c>
      <c r="I40" s="47">
        <v>2020</v>
      </c>
      <c r="J40" s="47">
        <v>2021</v>
      </c>
      <c r="K40" s="47">
        <v>2022</v>
      </c>
      <c r="L40" s="47">
        <v>2023</v>
      </c>
      <c r="M40" s="47">
        <v>2024</v>
      </c>
      <c r="N40" s="47">
        <v>2025</v>
      </c>
      <c r="O40" s="47">
        <v>2026</v>
      </c>
      <c r="P40" s="47">
        <v>2027</v>
      </c>
      <c r="Q40" s="47">
        <v>2028</v>
      </c>
      <c r="R40" s="47">
        <v>2029</v>
      </c>
      <c r="S40" s="47">
        <v>2030</v>
      </c>
      <c r="T40" s="47">
        <v>2031</v>
      </c>
      <c r="U40" s="47">
        <v>2032</v>
      </c>
      <c r="V40" s="47">
        <v>2033</v>
      </c>
      <c r="W40" s="47">
        <v>2034</v>
      </c>
      <c r="X40" s="47">
        <v>2035</v>
      </c>
      <c r="Y40" s="47">
        <v>2036</v>
      </c>
      <c r="Z40" s="47">
        <v>2037</v>
      </c>
      <c r="AA40" s="47">
        <v>2038</v>
      </c>
      <c r="AB40" s="47">
        <v>2039</v>
      </c>
      <c r="AC40" s="47">
        <v>2040</v>
      </c>
      <c r="AD40" s="47">
        <v>2041</v>
      </c>
      <c r="AE40" s="47">
        <v>2042</v>
      </c>
      <c r="AF40" s="47">
        <v>2043</v>
      </c>
      <c r="AG40" s="47">
        <v>2044</v>
      </c>
      <c r="AH40" s="47">
        <v>2045</v>
      </c>
      <c r="AI40" s="47">
        <v>2046</v>
      </c>
      <c r="AJ40" s="47">
        <v>2047</v>
      </c>
      <c r="AK40" s="47">
        <v>2048</v>
      </c>
      <c r="AL40" s="47">
        <v>2049</v>
      </c>
      <c r="AM40" s="47">
        <v>2050</v>
      </c>
    </row>
    <row r="41" spans="1:39" outlineLevel="1" x14ac:dyDescent="0.25">
      <c r="A41" t="s">
        <v>170</v>
      </c>
      <c r="B41" s="60">
        <f>'Linéarisation mix'!B9*1000000</f>
        <v>1704132.2700000003</v>
      </c>
      <c r="C41" s="60">
        <f>'Linéarisation mix'!C9*1000000</f>
        <v>2262021.5317973145</v>
      </c>
      <c r="D41" s="60">
        <f>'Linéarisation mix'!D9*1000000</f>
        <v>2819910.7935946286</v>
      </c>
      <c r="E41" s="60">
        <f>'Linéarisation mix'!E9*1000000</f>
        <v>3377800.0553919417</v>
      </c>
      <c r="F41" s="60">
        <f>'Linéarisation mix'!F9*1000000</f>
        <v>3935689.3171892553</v>
      </c>
      <c r="G41" s="60">
        <f>'Linéarisation mix'!G9*1000000</f>
        <v>4493578.5789865684</v>
      </c>
      <c r="H41" s="60">
        <f>'Linéarisation mix'!H9*1000000</f>
        <v>5051467.8407838801</v>
      </c>
      <c r="I41" s="60">
        <f>'Linéarisation mix'!I9*1000000</f>
        <v>5609357.1025811918</v>
      </c>
      <c r="J41" s="60">
        <f>'Linéarisation mix'!J9*1000000</f>
        <v>6167246.3643785026</v>
      </c>
      <c r="K41" s="60">
        <f>'Linéarisation mix'!K9*1000000</f>
        <v>6725135.6261758134</v>
      </c>
      <c r="L41" s="60">
        <f>'Linéarisation mix'!L9*1000000</f>
        <v>7283024.8879731223</v>
      </c>
      <c r="M41" s="60">
        <f>'Linéarisation mix'!M9*1000000</f>
        <v>7840914.1497704322</v>
      </c>
      <c r="N41" s="60">
        <f>'Linéarisation mix'!N9*1000000</f>
        <v>8398803.4115677401</v>
      </c>
      <c r="O41" s="60">
        <f>'Linéarisation mix'!O9*1000000</f>
        <v>8956692.6733650472</v>
      </c>
      <c r="P41" s="60">
        <f>'Linéarisation mix'!P9*1000000</f>
        <v>9514581.9351623524</v>
      </c>
      <c r="Q41" s="60">
        <f>'Linéarisation mix'!Q9*1000000</f>
        <v>10072471.196959658</v>
      </c>
      <c r="R41" s="60">
        <f>'Linéarisation mix'!R9*1000000</f>
        <v>10630360.458756961</v>
      </c>
      <c r="S41" s="60">
        <f>'Linéarisation mix'!S9*1000000</f>
        <v>11188249.720554262</v>
      </c>
      <c r="T41" s="60">
        <f>'Linéarisation mix'!T9*1000000</f>
        <v>11746138.982351564</v>
      </c>
      <c r="U41" s="60">
        <f>'Linéarisation mix'!U9*1000000</f>
        <v>12304028.244148863</v>
      </c>
      <c r="V41" s="60">
        <f>'Linéarisation mix'!V9*1000000</f>
        <v>12861917.505946163</v>
      </c>
      <c r="W41" s="60">
        <f>'Linéarisation mix'!W9*1000000</f>
        <v>13419806.767743461</v>
      </c>
      <c r="X41" s="60">
        <f>'Linéarisation mix'!X9*1000000</f>
        <v>13977696.029540759</v>
      </c>
      <c r="Y41" s="60">
        <f>'Linéarisation mix'!Y9*1000000</f>
        <v>14535585.291338054</v>
      </c>
      <c r="Z41" s="60">
        <f>'Linéarisation mix'!Z9*1000000</f>
        <v>15093474.55313535</v>
      </c>
      <c r="AA41" s="60">
        <f>'Linéarisation mix'!AA9*1000000</f>
        <v>15651363.814932644</v>
      </c>
      <c r="AB41" s="60">
        <f>'Linéarisation mix'!AB9*1000000</f>
        <v>16209253.076729937</v>
      </c>
      <c r="AC41" s="60">
        <f>'Linéarisation mix'!AC9*1000000</f>
        <v>16767142.338527225</v>
      </c>
      <c r="AD41" s="60">
        <f>'Linéarisation mix'!AD9*1000000</f>
        <v>17325031.600324515</v>
      </c>
      <c r="AE41" s="60">
        <f>'Linéarisation mix'!AE9*1000000</f>
        <v>17882920.862121802</v>
      </c>
      <c r="AF41" s="60">
        <f>'Linéarisation mix'!AF9*1000000</f>
        <v>18440810.123919081</v>
      </c>
      <c r="AG41" s="60">
        <f>'Linéarisation mix'!AG9*1000000</f>
        <v>18998699.385716364</v>
      </c>
      <c r="AH41" s="60">
        <f>'Linéarisation mix'!AH9*1000000</f>
        <v>19556588.647513643</v>
      </c>
      <c r="AI41" s="60">
        <f>'Linéarisation mix'!AI9*1000000</f>
        <v>20114477.909310918</v>
      </c>
      <c r="AJ41" s="60">
        <f>'Linéarisation mix'!AJ9*1000000</f>
        <v>20672367.171108194</v>
      </c>
      <c r="AK41" s="60">
        <f>'Linéarisation mix'!AK9*1000000</f>
        <v>21230256.432905462</v>
      </c>
      <c r="AL41" s="60">
        <f>'Linéarisation mix'!AL9*1000000</f>
        <v>21788145.694702733</v>
      </c>
      <c r="AM41" s="60">
        <f>'Linéarisation mix'!AM9*1000000</f>
        <v>22346034.956500001</v>
      </c>
    </row>
    <row r="42" spans="1:39" outlineLevel="1" x14ac:dyDescent="0.25">
      <c r="A42" t="s">
        <v>184</v>
      </c>
      <c r="B42" s="60">
        <f>LCOE!B3</f>
        <v>70</v>
      </c>
      <c r="C42" s="60">
        <f>LCOE!C3</f>
        <v>70</v>
      </c>
      <c r="D42" s="60">
        <f>LCOE!D3</f>
        <v>70</v>
      </c>
      <c r="E42" s="60">
        <f>LCOE!E3</f>
        <v>70</v>
      </c>
      <c r="F42" s="60">
        <f>LCOE!F3</f>
        <v>70</v>
      </c>
      <c r="G42" s="60">
        <f>LCOE!G3</f>
        <v>70</v>
      </c>
      <c r="H42" s="60">
        <f>LCOE!H3</f>
        <v>70</v>
      </c>
      <c r="I42" s="60">
        <f>LCOE!I3</f>
        <v>70</v>
      </c>
      <c r="J42" s="60">
        <f>LCOE!J3</f>
        <v>70</v>
      </c>
      <c r="K42" s="60">
        <f>LCOE!K3</f>
        <v>70</v>
      </c>
      <c r="L42" s="60">
        <f>LCOE!L3</f>
        <v>70</v>
      </c>
      <c r="M42" s="60">
        <f>LCOE!M3</f>
        <v>70</v>
      </c>
      <c r="N42" s="60">
        <f>LCOE!N3</f>
        <v>70</v>
      </c>
      <c r="O42" s="60">
        <f>LCOE!O3</f>
        <v>70</v>
      </c>
      <c r="P42" s="60">
        <f>LCOE!P3</f>
        <v>70</v>
      </c>
      <c r="Q42" s="60">
        <f>LCOE!Q3</f>
        <v>70</v>
      </c>
      <c r="R42" s="60">
        <f>LCOE!R3</f>
        <v>70</v>
      </c>
      <c r="S42" s="60">
        <f>LCOE!S3</f>
        <v>70</v>
      </c>
      <c r="T42" s="60">
        <f>LCOE!T3</f>
        <v>70</v>
      </c>
      <c r="U42" s="60">
        <f>LCOE!U3</f>
        <v>70</v>
      </c>
      <c r="V42" s="60">
        <f>LCOE!V3</f>
        <v>70</v>
      </c>
      <c r="W42" s="60">
        <f>LCOE!W3</f>
        <v>70</v>
      </c>
      <c r="X42" s="60">
        <f>LCOE!X3</f>
        <v>70</v>
      </c>
      <c r="Y42" s="60">
        <f>LCOE!Y3</f>
        <v>70</v>
      </c>
      <c r="Z42" s="60">
        <f>LCOE!Z3</f>
        <v>70</v>
      </c>
      <c r="AA42" s="60">
        <f>LCOE!AA3</f>
        <v>70</v>
      </c>
      <c r="AB42" s="60">
        <f>LCOE!AB3</f>
        <v>70</v>
      </c>
      <c r="AC42" s="60">
        <f>LCOE!AC3</f>
        <v>70</v>
      </c>
      <c r="AD42" s="60">
        <f>LCOE!AD3</f>
        <v>70</v>
      </c>
      <c r="AE42" s="60">
        <f>LCOE!AE3</f>
        <v>70</v>
      </c>
      <c r="AF42" s="60">
        <f>LCOE!AF3</f>
        <v>70</v>
      </c>
      <c r="AG42" s="60">
        <f>LCOE!AG3</f>
        <v>70</v>
      </c>
      <c r="AH42" s="60">
        <f>LCOE!AH3</f>
        <v>70</v>
      </c>
      <c r="AI42" s="60">
        <f>LCOE!AI3</f>
        <v>70</v>
      </c>
      <c r="AJ42" s="60">
        <f>LCOE!AJ3</f>
        <v>70</v>
      </c>
      <c r="AK42" s="60">
        <f>LCOE!AK3</f>
        <v>70</v>
      </c>
      <c r="AL42" s="60">
        <f>LCOE!AL3</f>
        <v>70</v>
      </c>
      <c r="AM42" s="60">
        <f>LCOE!AM3</f>
        <v>70</v>
      </c>
    </row>
    <row r="43" spans="1:39" outlineLevel="1" x14ac:dyDescent="0.25">
      <c r="A43" t="s">
        <v>127</v>
      </c>
      <c r="B43" s="48">
        <v>0</v>
      </c>
      <c r="C43" s="64">
        <f>B43+C41-B41</f>
        <v>557889.26179731428</v>
      </c>
      <c r="D43" s="64">
        <f t="shared" ref="D43:AM43" si="10">C43+D41-C41</f>
        <v>1115778.5235946286</v>
      </c>
      <c r="E43" s="64">
        <f t="shared" si="10"/>
        <v>1673667.7853919417</v>
      </c>
      <c r="F43" s="64">
        <f t="shared" si="10"/>
        <v>2231557.0471892557</v>
      </c>
      <c r="G43" s="64">
        <f t="shared" si="10"/>
        <v>2789446.3089865693</v>
      </c>
      <c r="H43" s="64">
        <f t="shared" si="10"/>
        <v>3347335.5707838815</v>
      </c>
      <c r="I43" s="64">
        <f t="shared" si="10"/>
        <v>3905224.8325811932</v>
      </c>
      <c r="J43" s="64">
        <f t="shared" si="10"/>
        <v>4463114.0943785049</v>
      </c>
      <c r="K43" s="64">
        <f t="shared" si="10"/>
        <v>5021003.3561758157</v>
      </c>
      <c r="L43" s="64">
        <f t="shared" si="10"/>
        <v>5578892.6179731246</v>
      </c>
      <c r="M43" s="64">
        <f t="shared" si="10"/>
        <v>6136781.8797704354</v>
      </c>
      <c r="N43" s="64">
        <f t="shared" si="10"/>
        <v>6694671.1415677434</v>
      </c>
      <c r="O43" s="64">
        <f t="shared" si="10"/>
        <v>7252560.4033650495</v>
      </c>
      <c r="P43" s="64">
        <f t="shared" si="10"/>
        <v>7810449.6651623547</v>
      </c>
      <c r="Q43" s="64">
        <f t="shared" si="10"/>
        <v>8368338.9269596618</v>
      </c>
      <c r="R43" s="64">
        <f t="shared" si="10"/>
        <v>8926228.188756967</v>
      </c>
      <c r="S43" s="64">
        <f t="shared" si="10"/>
        <v>9484117.4505542666</v>
      </c>
      <c r="T43" s="64">
        <f t="shared" si="10"/>
        <v>10042006.712351568</v>
      </c>
      <c r="U43" s="64">
        <f t="shared" si="10"/>
        <v>10599895.97414887</v>
      </c>
      <c r="V43" s="64">
        <f t="shared" si="10"/>
        <v>11157785.235946169</v>
      </c>
      <c r="W43" s="64">
        <f t="shared" si="10"/>
        <v>11715674.497743469</v>
      </c>
      <c r="X43" s="64">
        <f t="shared" si="10"/>
        <v>12273563.759540766</v>
      </c>
      <c r="Y43" s="64">
        <f t="shared" si="10"/>
        <v>12831453.021338064</v>
      </c>
      <c r="Z43" s="64">
        <f t="shared" si="10"/>
        <v>13389342.28313536</v>
      </c>
      <c r="AA43" s="64">
        <f t="shared" si="10"/>
        <v>13947231.544932656</v>
      </c>
      <c r="AB43" s="64">
        <f t="shared" si="10"/>
        <v>14505120.80672995</v>
      </c>
      <c r="AC43" s="64">
        <f t="shared" si="10"/>
        <v>15063010.068527238</v>
      </c>
      <c r="AD43" s="64">
        <f t="shared" si="10"/>
        <v>15620899.330324531</v>
      </c>
      <c r="AE43" s="64">
        <f t="shared" si="10"/>
        <v>16178788.592121817</v>
      </c>
      <c r="AF43" s="64">
        <f t="shared" si="10"/>
        <v>16736677.853919093</v>
      </c>
      <c r="AG43" s="64">
        <f t="shared" si="10"/>
        <v>17294567.115716372</v>
      </c>
      <c r="AH43" s="64">
        <f t="shared" si="10"/>
        <v>17852456.377513647</v>
      </c>
      <c r="AI43" s="64">
        <f t="shared" si="10"/>
        <v>18410345.639310926</v>
      </c>
      <c r="AJ43" s="64">
        <f t="shared" si="10"/>
        <v>18968234.901108202</v>
      </c>
      <c r="AK43" s="64">
        <f t="shared" si="10"/>
        <v>19526124.16290547</v>
      </c>
      <c r="AL43" s="64">
        <f t="shared" si="10"/>
        <v>20084013.424702737</v>
      </c>
      <c r="AM43" s="64">
        <f t="shared" si="10"/>
        <v>20641902.686500009</v>
      </c>
    </row>
    <row r="44" spans="1:39" outlineLevel="1" x14ac:dyDescent="0.25">
      <c r="A44" t="s">
        <v>187</v>
      </c>
      <c r="B44" s="48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9"/>
      <c r="N44" s="42"/>
      <c r="O44" s="42"/>
      <c r="P44" s="42"/>
      <c r="Q44" s="42"/>
      <c r="R44" s="42"/>
      <c r="S44" s="43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9"/>
      <c r="AF44" s="49"/>
      <c r="AG44" s="49"/>
      <c r="AH44" s="49"/>
      <c r="AI44" s="49"/>
      <c r="AJ44" s="49"/>
      <c r="AK44" s="49"/>
      <c r="AL44" s="42"/>
      <c r="AM44" s="104">
        <f>AM47/AM49</f>
        <v>0.20635030420776429</v>
      </c>
    </row>
    <row r="45" spans="1:39" outlineLevel="1" x14ac:dyDescent="0.25">
      <c r="A45" t="s">
        <v>143</v>
      </c>
      <c r="B45" s="13">
        <f>$AM$45</f>
        <v>16</v>
      </c>
      <c r="C45" s="13">
        <f t="shared" ref="C45:AL45" si="11">$AM$45</f>
        <v>16</v>
      </c>
      <c r="D45" s="13">
        <f t="shared" si="11"/>
        <v>16</v>
      </c>
      <c r="E45" s="13">
        <f t="shared" si="11"/>
        <v>16</v>
      </c>
      <c r="F45" s="13">
        <f t="shared" si="11"/>
        <v>16</v>
      </c>
      <c r="G45" s="13">
        <f t="shared" si="11"/>
        <v>16</v>
      </c>
      <c r="H45" s="13">
        <f t="shared" si="11"/>
        <v>16</v>
      </c>
      <c r="I45" s="13">
        <f t="shared" si="11"/>
        <v>16</v>
      </c>
      <c r="J45" s="13">
        <f t="shared" si="11"/>
        <v>16</v>
      </c>
      <c r="K45" s="13">
        <f t="shared" si="11"/>
        <v>16</v>
      </c>
      <c r="L45" s="13">
        <f t="shared" si="11"/>
        <v>16</v>
      </c>
      <c r="M45" s="13">
        <f t="shared" si="11"/>
        <v>16</v>
      </c>
      <c r="N45" s="13">
        <f t="shared" si="11"/>
        <v>16</v>
      </c>
      <c r="O45" s="13">
        <f t="shared" si="11"/>
        <v>16</v>
      </c>
      <c r="P45" s="13">
        <f t="shared" si="11"/>
        <v>16</v>
      </c>
      <c r="Q45" s="13">
        <f t="shared" si="11"/>
        <v>16</v>
      </c>
      <c r="R45" s="13">
        <f t="shared" si="11"/>
        <v>16</v>
      </c>
      <c r="S45" s="13">
        <f t="shared" si="11"/>
        <v>16</v>
      </c>
      <c r="T45" s="13">
        <f t="shared" si="11"/>
        <v>16</v>
      </c>
      <c r="U45" s="13">
        <f t="shared" si="11"/>
        <v>16</v>
      </c>
      <c r="V45" s="13">
        <f t="shared" si="11"/>
        <v>16</v>
      </c>
      <c r="W45" s="13">
        <f t="shared" si="11"/>
        <v>16</v>
      </c>
      <c r="X45" s="13">
        <f t="shared" si="11"/>
        <v>16</v>
      </c>
      <c r="Y45" s="13">
        <f t="shared" si="11"/>
        <v>16</v>
      </c>
      <c r="Z45" s="13">
        <f t="shared" si="11"/>
        <v>16</v>
      </c>
      <c r="AA45" s="13">
        <f t="shared" si="11"/>
        <v>16</v>
      </c>
      <c r="AB45" s="13">
        <f t="shared" si="11"/>
        <v>16</v>
      </c>
      <c r="AC45" s="13">
        <f t="shared" si="11"/>
        <v>16</v>
      </c>
      <c r="AD45" s="13">
        <f t="shared" si="11"/>
        <v>16</v>
      </c>
      <c r="AE45" s="13">
        <f t="shared" si="11"/>
        <v>16</v>
      </c>
      <c r="AF45" s="13">
        <f t="shared" si="11"/>
        <v>16</v>
      </c>
      <c r="AG45" s="13">
        <f t="shared" si="11"/>
        <v>16</v>
      </c>
      <c r="AH45" s="13">
        <f t="shared" si="11"/>
        <v>16</v>
      </c>
      <c r="AI45" s="13">
        <f t="shared" si="11"/>
        <v>16</v>
      </c>
      <c r="AJ45" s="13">
        <f t="shared" si="11"/>
        <v>16</v>
      </c>
      <c r="AK45" s="13">
        <f t="shared" si="11"/>
        <v>16</v>
      </c>
      <c r="AL45" s="13">
        <f t="shared" si="11"/>
        <v>16</v>
      </c>
      <c r="AM45" s="13">
        <f>LCOE!AT3*10</f>
        <v>16</v>
      </c>
    </row>
    <row r="46" spans="1:39" outlineLevel="1" x14ac:dyDescent="0.25">
      <c r="A46" t="s">
        <v>204</v>
      </c>
      <c r="B46" s="58">
        <v>25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outlineLevel="1" x14ac:dyDescent="0.25">
      <c r="A47" t="s">
        <v>107</v>
      </c>
      <c r="B47" s="13">
        <f t="shared" ref="B47:AK47" si="12">$AM$44*B49</f>
        <v>18.989003465537468</v>
      </c>
      <c r="C47" s="13">
        <f t="shared" si="12"/>
        <v>25.205516885387997</v>
      </c>
      <c r="D47" s="13">
        <f t="shared" si="12"/>
        <v>31.422030305238518</v>
      </c>
      <c r="E47" s="13">
        <f t="shared" si="12"/>
        <v>37.638543725089029</v>
      </c>
      <c r="F47" s="13">
        <f t="shared" si="12"/>
        <v>43.855057144939558</v>
      </c>
      <c r="G47" s="13">
        <f t="shared" si="12"/>
        <v>50.071570564790072</v>
      </c>
      <c r="H47" s="13">
        <f t="shared" si="12"/>
        <v>56.288083984640565</v>
      </c>
      <c r="I47" s="13">
        <f t="shared" si="12"/>
        <v>62.504597404491072</v>
      </c>
      <c r="J47" s="13">
        <f t="shared" si="12"/>
        <v>68.721110824341565</v>
      </c>
      <c r="K47" s="13">
        <f t="shared" si="12"/>
        <v>74.937624244192051</v>
      </c>
      <c r="L47" s="13">
        <f t="shared" si="12"/>
        <v>81.154137664042509</v>
      </c>
      <c r="M47" s="13">
        <f t="shared" si="12"/>
        <v>87.370651083892994</v>
      </c>
      <c r="N47" s="13">
        <f t="shared" si="12"/>
        <v>93.587164503743452</v>
      </c>
      <c r="O47" s="13">
        <f t="shared" si="12"/>
        <v>99.803677923593909</v>
      </c>
      <c r="P47" s="13">
        <f t="shared" si="12"/>
        <v>106.02019134344432</v>
      </c>
      <c r="Q47" s="13">
        <f t="shared" si="12"/>
        <v>112.23670476329475</v>
      </c>
      <c r="R47" s="13">
        <f t="shared" si="12"/>
        <v>118.45321818314514</v>
      </c>
      <c r="S47" s="13">
        <f t="shared" si="12"/>
        <v>124.66973160299553</v>
      </c>
      <c r="T47" s="13">
        <f t="shared" si="12"/>
        <v>130.88624502284588</v>
      </c>
      <c r="U47" s="13">
        <f t="shared" si="12"/>
        <v>137.10275844269626</v>
      </c>
      <c r="V47" s="13">
        <f t="shared" si="12"/>
        <v>143.31927186254663</v>
      </c>
      <c r="W47" s="13">
        <f t="shared" si="12"/>
        <v>149.53578528239697</v>
      </c>
      <c r="X47" s="13">
        <f t="shared" si="12"/>
        <v>155.75229870224732</v>
      </c>
      <c r="Y47" s="13">
        <f t="shared" si="12"/>
        <v>161.96881212209766</v>
      </c>
      <c r="Z47" s="13">
        <f t="shared" si="12"/>
        <v>168.18532554194798</v>
      </c>
      <c r="AA47" s="13">
        <f t="shared" si="12"/>
        <v>174.40183896179823</v>
      </c>
      <c r="AB47" s="13">
        <f t="shared" si="12"/>
        <v>180.61835238164852</v>
      </c>
      <c r="AC47" s="13">
        <f t="shared" si="12"/>
        <v>186.83486580149878</v>
      </c>
      <c r="AD47" s="13">
        <f t="shared" si="12"/>
        <v>193.05137922134904</v>
      </c>
      <c r="AE47" s="13">
        <f t="shared" si="12"/>
        <v>199.26789264119927</v>
      </c>
      <c r="AF47" s="13">
        <f t="shared" si="12"/>
        <v>205.48440606104941</v>
      </c>
      <c r="AG47" s="13">
        <f t="shared" si="12"/>
        <v>211.70091948089959</v>
      </c>
      <c r="AH47" s="13">
        <f t="shared" si="12"/>
        <v>217.9174329007497</v>
      </c>
      <c r="AI47" s="13">
        <f t="shared" si="12"/>
        <v>224.13394632059985</v>
      </c>
      <c r="AJ47" s="13">
        <f t="shared" si="12"/>
        <v>230.35045974044996</v>
      </c>
      <c r="AK47" s="13">
        <f t="shared" si="12"/>
        <v>236.56697316029997</v>
      </c>
      <c r="AL47" s="13">
        <f>$AM$44*AL49</f>
        <v>242.78348658015</v>
      </c>
      <c r="AM47" s="13">
        <f>LCOE!AS3*1000*'Capacités installées'!B2/1000000</f>
        <v>249</v>
      </c>
    </row>
    <row r="48" spans="1:39" outlineLevel="1" x14ac:dyDescent="0.25">
      <c r="A48" t="s">
        <v>111</v>
      </c>
      <c r="B48" s="41">
        <f>B49-B47</f>
        <v>73.034139114462548</v>
      </c>
      <c r="C48" s="41">
        <f t="shared" ref="C48:AM48" si="13">C49-C47</f>
        <v>96.943645831666998</v>
      </c>
      <c r="D48" s="41">
        <f t="shared" si="13"/>
        <v>120.85315254887142</v>
      </c>
      <c r="E48" s="41">
        <f t="shared" si="13"/>
        <v>144.76265926607581</v>
      </c>
      <c r="F48" s="41">
        <f t="shared" si="13"/>
        <v>168.67216598328025</v>
      </c>
      <c r="G48" s="41">
        <f t="shared" si="13"/>
        <v>192.58167270048466</v>
      </c>
      <c r="H48" s="41">
        <f t="shared" si="13"/>
        <v>216.49117941768898</v>
      </c>
      <c r="I48" s="41">
        <f t="shared" si="13"/>
        <v>240.40068613489333</v>
      </c>
      <c r="J48" s="41">
        <f t="shared" si="13"/>
        <v>264.31019285209766</v>
      </c>
      <c r="K48" s="41">
        <f t="shared" si="13"/>
        <v>288.21969956930195</v>
      </c>
      <c r="L48" s="41">
        <f t="shared" si="13"/>
        <v>312.12920628650613</v>
      </c>
      <c r="M48" s="41">
        <f t="shared" si="13"/>
        <v>336.03871300371043</v>
      </c>
      <c r="N48" s="41">
        <f t="shared" si="13"/>
        <v>359.94821972091461</v>
      </c>
      <c r="O48" s="41">
        <f t="shared" si="13"/>
        <v>383.85772643811879</v>
      </c>
      <c r="P48" s="41">
        <f t="shared" si="13"/>
        <v>407.7672331553228</v>
      </c>
      <c r="Q48" s="41">
        <f t="shared" si="13"/>
        <v>431.67673987252687</v>
      </c>
      <c r="R48" s="41">
        <f t="shared" si="13"/>
        <v>455.58624658973076</v>
      </c>
      <c r="S48" s="41">
        <f t="shared" si="13"/>
        <v>479.49575330693472</v>
      </c>
      <c r="T48" s="41">
        <f t="shared" si="13"/>
        <v>503.40526002413856</v>
      </c>
      <c r="U48" s="41">
        <f t="shared" si="13"/>
        <v>527.31476674134228</v>
      </c>
      <c r="V48" s="41">
        <f t="shared" si="13"/>
        <v>551.22427345854612</v>
      </c>
      <c r="W48" s="41">
        <f t="shared" si="13"/>
        <v>575.13378017574996</v>
      </c>
      <c r="X48" s="41">
        <f t="shared" si="13"/>
        <v>599.04328689295369</v>
      </c>
      <c r="Y48" s="41">
        <f t="shared" si="13"/>
        <v>622.95279361015741</v>
      </c>
      <c r="Z48" s="41">
        <f t="shared" si="13"/>
        <v>646.86230032736103</v>
      </c>
      <c r="AA48" s="41">
        <f t="shared" si="13"/>
        <v>670.77180704456441</v>
      </c>
      <c r="AB48" s="41">
        <f t="shared" si="13"/>
        <v>694.68131376176802</v>
      </c>
      <c r="AC48" s="41">
        <f t="shared" si="13"/>
        <v>718.59082047897141</v>
      </c>
      <c r="AD48" s="41">
        <f t="shared" si="13"/>
        <v>742.50032719617479</v>
      </c>
      <c r="AE48" s="41">
        <f t="shared" si="13"/>
        <v>766.40983391337807</v>
      </c>
      <c r="AF48" s="41">
        <f t="shared" si="13"/>
        <v>790.31934063058111</v>
      </c>
      <c r="AG48" s="41">
        <f t="shared" si="13"/>
        <v>814.22884734778427</v>
      </c>
      <c r="AH48" s="41">
        <f t="shared" si="13"/>
        <v>838.1383540649872</v>
      </c>
      <c r="AI48" s="41">
        <f t="shared" si="13"/>
        <v>862.04786078219001</v>
      </c>
      <c r="AJ48" s="41">
        <f t="shared" si="13"/>
        <v>885.95736749939294</v>
      </c>
      <c r="AK48" s="41">
        <f t="shared" si="13"/>
        <v>909.86687421659531</v>
      </c>
      <c r="AL48" s="41">
        <f t="shared" si="13"/>
        <v>933.7763809337979</v>
      </c>
      <c r="AM48" s="41">
        <f t="shared" si="13"/>
        <v>957.68588765100026</v>
      </c>
    </row>
    <row r="49" spans="1:39" outlineLevel="1" x14ac:dyDescent="0.25">
      <c r="A49" t="s">
        <v>185</v>
      </c>
      <c r="B49" s="13">
        <f t="shared" ref="B49:AM49" si="14">B51-B50</f>
        <v>92.023142580000012</v>
      </c>
      <c r="C49" s="13">
        <f t="shared" si="14"/>
        <v>122.14916271705499</v>
      </c>
      <c r="D49" s="13">
        <f t="shared" si="14"/>
        <v>152.27518285410994</v>
      </c>
      <c r="E49" s="13">
        <f t="shared" si="14"/>
        <v>182.40120299116484</v>
      </c>
      <c r="F49" s="13">
        <f t="shared" si="14"/>
        <v>212.52722312821982</v>
      </c>
      <c r="G49" s="13">
        <f t="shared" si="14"/>
        <v>242.65324326527474</v>
      </c>
      <c r="H49" s="13">
        <f t="shared" si="14"/>
        <v>272.77926340232955</v>
      </c>
      <c r="I49" s="13">
        <f t="shared" si="14"/>
        <v>302.90528353938441</v>
      </c>
      <c r="J49" s="13">
        <f t="shared" si="14"/>
        <v>333.03130367643922</v>
      </c>
      <c r="K49" s="13">
        <f t="shared" si="14"/>
        <v>363.15732381349403</v>
      </c>
      <c r="L49" s="13">
        <f t="shared" si="14"/>
        <v>393.28334395054867</v>
      </c>
      <c r="M49" s="13">
        <f t="shared" si="14"/>
        <v>423.40936408760342</v>
      </c>
      <c r="N49" s="13">
        <f t="shared" si="14"/>
        <v>453.53538422465806</v>
      </c>
      <c r="O49" s="13">
        <f t="shared" si="14"/>
        <v>483.6614043617127</v>
      </c>
      <c r="P49" s="13">
        <f t="shared" si="14"/>
        <v>513.78742449876711</v>
      </c>
      <c r="Q49" s="13">
        <f t="shared" si="14"/>
        <v>543.91344463582163</v>
      </c>
      <c r="R49" s="13">
        <f t="shared" si="14"/>
        <v>574.03946477287593</v>
      </c>
      <c r="S49" s="13">
        <f t="shared" si="14"/>
        <v>604.16548490993023</v>
      </c>
      <c r="T49" s="13">
        <f t="shared" si="14"/>
        <v>634.29150504698441</v>
      </c>
      <c r="U49" s="13">
        <f t="shared" si="14"/>
        <v>664.4175251840386</v>
      </c>
      <c r="V49" s="13">
        <f t="shared" si="14"/>
        <v>694.54354532109278</v>
      </c>
      <c r="W49" s="13">
        <f t="shared" si="14"/>
        <v>724.66956545814696</v>
      </c>
      <c r="X49" s="13">
        <f t="shared" si="14"/>
        <v>754.79558559520103</v>
      </c>
      <c r="Y49" s="13">
        <f t="shared" si="14"/>
        <v>784.9216057322551</v>
      </c>
      <c r="Z49" s="13">
        <f t="shared" si="14"/>
        <v>815.04762586930906</v>
      </c>
      <c r="AA49" s="13">
        <f t="shared" si="14"/>
        <v>845.17364600636267</v>
      </c>
      <c r="AB49" s="13">
        <f t="shared" si="14"/>
        <v>875.29966614341652</v>
      </c>
      <c r="AC49" s="13">
        <f t="shared" si="14"/>
        <v>905.42568628047025</v>
      </c>
      <c r="AD49" s="13">
        <f t="shared" si="14"/>
        <v>935.55170641752386</v>
      </c>
      <c r="AE49" s="13">
        <f t="shared" si="14"/>
        <v>965.67772655457736</v>
      </c>
      <c r="AF49" s="13">
        <f t="shared" si="14"/>
        <v>995.80374669163052</v>
      </c>
      <c r="AG49" s="13">
        <f t="shared" si="14"/>
        <v>1025.9297668286838</v>
      </c>
      <c r="AH49" s="13">
        <f t="shared" si="14"/>
        <v>1056.0557869657368</v>
      </c>
      <c r="AI49" s="13">
        <f t="shared" si="14"/>
        <v>1086.1818071027899</v>
      </c>
      <c r="AJ49" s="13">
        <f t="shared" si="14"/>
        <v>1116.3078272398429</v>
      </c>
      <c r="AK49" s="13">
        <f t="shared" si="14"/>
        <v>1146.4338473768953</v>
      </c>
      <c r="AL49" s="13">
        <f t="shared" si="14"/>
        <v>1176.5598675139479</v>
      </c>
      <c r="AM49" s="13">
        <f t="shared" si="14"/>
        <v>1206.6858876510003</v>
      </c>
    </row>
    <row r="50" spans="1:39" outlineLevel="1" x14ac:dyDescent="0.25">
      <c r="A50" t="s">
        <v>188</v>
      </c>
      <c r="B50" s="13">
        <f t="shared" ref="B50:AM50" si="15">B45*B41/1000000</f>
        <v>27.266116320000005</v>
      </c>
      <c r="C50" s="13">
        <f t="shared" si="15"/>
        <v>36.192344508757031</v>
      </c>
      <c r="D50" s="13">
        <f t="shared" si="15"/>
        <v>45.118572697514054</v>
      </c>
      <c r="E50" s="13">
        <f t="shared" si="15"/>
        <v>54.044800886271069</v>
      </c>
      <c r="F50" s="13">
        <f t="shared" si="15"/>
        <v>62.971029075028085</v>
      </c>
      <c r="G50" s="13">
        <f t="shared" si="15"/>
        <v>71.897257263785093</v>
      </c>
      <c r="H50" s="13">
        <f t="shared" si="15"/>
        <v>80.823485452542087</v>
      </c>
      <c r="I50" s="13">
        <f t="shared" si="15"/>
        <v>89.749713641299067</v>
      </c>
      <c r="J50" s="13">
        <f t="shared" si="15"/>
        <v>98.675941830056047</v>
      </c>
      <c r="K50" s="13">
        <f t="shared" si="15"/>
        <v>107.60217001881301</v>
      </c>
      <c r="L50" s="13">
        <f t="shared" si="15"/>
        <v>116.52839820756995</v>
      </c>
      <c r="M50" s="13">
        <f t="shared" si="15"/>
        <v>125.45462639632692</v>
      </c>
      <c r="N50" s="13">
        <f t="shared" si="15"/>
        <v>134.38085458508385</v>
      </c>
      <c r="O50" s="13">
        <f t="shared" si="15"/>
        <v>143.30708277384076</v>
      </c>
      <c r="P50" s="13">
        <f t="shared" si="15"/>
        <v>152.23331096259764</v>
      </c>
      <c r="Q50" s="13">
        <f t="shared" si="15"/>
        <v>161.15953915135452</v>
      </c>
      <c r="R50" s="13">
        <f t="shared" si="15"/>
        <v>170.08576734011137</v>
      </c>
      <c r="S50" s="13">
        <f t="shared" si="15"/>
        <v>179.0119955288682</v>
      </c>
      <c r="T50" s="13">
        <f t="shared" si="15"/>
        <v>187.93822371762502</v>
      </c>
      <c r="U50" s="13">
        <f t="shared" si="15"/>
        <v>196.86445190638182</v>
      </c>
      <c r="V50" s="13">
        <f t="shared" si="15"/>
        <v>205.79068009513861</v>
      </c>
      <c r="W50" s="13">
        <f t="shared" si="15"/>
        <v>214.71690828389538</v>
      </c>
      <c r="X50" s="13">
        <f t="shared" si="15"/>
        <v>223.64313647265215</v>
      </c>
      <c r="Y50" s="13">
        <f t="shared" si="15"/>
        <v>232.56936466140888</v>
      </c>
      <c r="Z50" s="13">
        <f t="shared" si="15"/>
        <v>241.49559285016559</v>
      </c>
      <c r="AA50" s="13">
        <f t="shared" si="15"/>
        <v>250.4218210389223</v>
      </c>
      <c r="AB50" s="13">
        <f t="shared" si="15"/>
        <v>259.34804922767898</v>
      </c>
      <c r="AC50" s="13">
        <f t="shared" si="15"/>
        <v>268.27427741643561</v>
      </c>
      <c r="AD50" s="13">
        <f t="shared" si="15"/>
        <v>277.20050560519223</v>
      </c>
      <c r="AE50" s="13">
        <f t="shared" si="15"/>
        <v>286.1267337939488</v>
      </c>
      <c r="AF50" s="13">
        <f t="shared" si="15"/>
        <v>295.05296198270531</v>
      </c>
      <c r="AG50" s="13">
        <f t="shared" si="15"/>
        <v>303.97919017146182</v>
      </c>
      <c r="AH50" s="13">
        <f t="shared" si="15"/>
        <v>312.90541836021828</v>
      </c>
      <c r="AI50" s="13">
        <f t="shared" si="15"/>
        <v>321.83164654897467</v>
      </c>
      <c r="AJ50" s="13">
        <f t="shared" si="15"/>
        <v>330.75787473773107</v>
      </c>
      <c r="AK50" s="13">
        <f t="shared" si="15"/>
        <v>339.68410292648741</v>
      </c>
      <c r="AL50" s="13">
        <f t="shared" si="15"/>
        <v>348.61033111524375</v>
      </c>
      <c r="AM50" s="13">
        <f t="shared" si="15"/>
        <v>357.53655930400004</v>
      </c>
    </row>
    <row r="51" spans="1:39" outlineLevel="1" x14ac:dyDescent="0.25">
      <c r="A51" t="s">
        <v>186</v>
      </c>
      <c r="B51" s="111">
        <v>119.28925890000002</v>
      </c>
      <c r="C51" s="111">
        <v>158.34150722581202</v>
      </c>
      <c r="D51" s="111">
        <v>197.393755551624</v>
      </c>
      <c r="E51" s="111">
        <v>236.44600387743591</v>
      </c>
      <c r="F51" s="111">
        <v>275.49825220324789</v>
      </c>
      <c r="G51" s="111">
        <v>314.55050052905983</v>
      </c>
      <c r="H51" s="111">
        <v>353.60274885487166</v>
      </c>
      <c r="I51" s="111">
        <v>392.65499718068349</v>
      </c>
      <c r="J51" s="111">
        <v>431.70724550649527</v>
      </c>
      <c r="K51" s="111">
        <v>470.75949383230704</v>
      </c>
      <c r="L51" s="111">
        <v>509.81174215811865</v>
      </c>
      <c r="M51" s="111">
        <v>548.86399048393037</v>
      </c>
      <c r="N51" s="111">
        <v>587.91623880974191</v>
      </c>
      <c r="O51" s="111">
        <v>626.96848713555346</v>
      </c>
      <c r="P51" s="111">
        <v>666.02073546136478</v>
      </c>
      <c r="Q51" s="111">
        <v>705.0729837871761</v>
      </c>
      <c r="R51" s="111">
        <v>744.12523211298731</v>
      </c>
      <c r="S51" s="111">
        <v>783.1774804387984</v>
      </c>
      <c r="T51" s="111">
        <v>822.22972876460949</v>
      </c>
      <c r="U51" s="111">
        <v>861.28197709042047</v>
      </c>
      <c r="V51" s="111">
        <v>900.33422541623145</v>
      </c>
      <c r="W51" s="111">
        <v>939.38647374204231</v>
      </c>
      <c r="X51" s="111">
        <v>978.43872206785318</v>
      </c>
      <c r="Y51" s="111">
        <v>1017.4909703936639</v>
      </c>
      <c r="Z51" s="111">
        <v>1056.5432187194747</v>
      </c>
      <c r="AA51" s="111">
        <v>1095.595467045285</v>
      </c>
      <c r="AB51" s="111">
        <v>1134.6477153710955</v>
      </c>
      <c r="AC51" s="111">
        <v>1173.6999636969058</v>
      </c>
      <c r="AD51" s="111">
        <v>1212.7522120227161</v>
      </c>
      <c r="AE51" s="111">
        <v>1251.8044603485262</v>
      </c>
      <c r="AF51" s="111">
        <v>1290.8567086743358</v>
      </c>
      <c r="AG51" s="111">
        <v>1329.9089570001456</v>
      </c>
      <c r="AH51" s="111">
        <v>1368.9612053259552</v>
      </c>
      <c r="AI51" s="111">
        <v>1408.0134536517646</v>
      </c>
      <c r="AJ51" s="111">
        <v>1447.065701977574</v>
      </c>
      <c r="AK51" s="111">
        <v>1486.1179503033827</v>
      </c>
      <c r="AL51" s="111">
        <v>1525.1701986291916</v>
      </c>
      <c r="AM51" s="111">
        <v>1564.2224469550004</v>
      </c>
    </row>
    <row r="52" spans="1:39" outlineLevel="1" x14ac:dyDescent="0.25"/>
    <row r="53" spans="1:39" outlineLevel="1" x14ac:dyDescent="0.25">
      <c r="A53" s="3" t="s">
        <v>21</v>
      </c>
      <c r="B53" s="47">
        <v>2013</v>
      </c>
      <c r="C53" s="47">
        <v>2014</v>
      </c>
      <c r="D53" s="47">
        <v>2015</v>
      </c>
      <c r="E53" s="47">
        <v>2016</v>
      </c>
      <c r="F53" s="47">
        <v>2017</v>
      </c>
      <c r="G53" s="47">
        <v>2018</v>
      </c>
      <c r="H53" s="47">
        <v>2019</v>
      </c>
      <c r="I53" s="47">
        <v>2020</v>
      </c>
      <c r="J53" s="47">
        <v>2021</v>
      </c>
      <c r="K53" s="47">
        <v>2022</v>
      </c>
      <c r="L53" s="47">
        <v>2023</v>
      </c>
      <c r="M53" s="47">
        <v>2024</v>
      </c>
      <c r="N53" s="47">
        <v>2025</v>
      </c>
      <c r="O53" s="47">
        <v>2026</v>
      </c>
      <c r="P53" s="47">
        <v>2027</v>
      </c>
      <c r="Q53" s="47">
        <v>2028</v>
      </c>
      <c r="R53" s="47">
        <v>2029</v>
      </c>
      <c r="S53" s="47">
        <v>2030</v>
      </c>
      <c r="T53" s="47">
        <v>2031</v>
      </c>
      <c r="U53" s="47">
        <v>2032</v>
      </c>
      <c r="V53" s="47">
        <v>2033</v>
      </c>
      <c r="W53" s="47">
        <v>2034</v>
      </c>
      <c r="X53" s="47">
        <v>2035</v>
      </c>
      <c r="Y53" s="47">
        <v>2036</v>
      </c>
      <c r="Z53" s="47">
        <v>2037</v>
      </c>
      <c r="AA53" s="47">
        <v>2038</v>
      </c>
      <c r="AB53" s="47">
        <v>2039</v>
      </c>
      <c r="AC53" s="47">
        <v>2040</v>
      </c>
      <c r="AD53" s="47">
        <v>2041</v>
      </c>
      <c r="AE53" s="47">
        <v>2042</v>
      </c>
      <c r="AF53" s="47">
        <v>2043</v>
      </c>
      <c r="AG53" s="47">
        <v>2044</v>
      </c>
      <c r="AH53" s="47">
        <v>2045</v>
      </c>
      <c r="AI53" s="47">
        <v>2046</v>
      </c>
      <c r="AJ53" s="47">
        <v>2047</v>
      </c>
      <c r="AK53" s="47">
        <v>2048</v>
      </c>
      <c r="AL53" s="47">
        <v>2049</v>
      </c>
      <c r="AM53" s="47">
        <v>2050</v>
      </c>
    </row>
    <row r="54" spans="1:39" outlineLevel="1" x14ac:dyDescent="0.25">
      <c r="A54" t="s">
        <v>170</v>
      </c>
      <c r="B54" s="60">
        <f>'Linéarisation mix'!B8*1000000</f>
        <v>2136367.0350000006</v>
      </c>
      <c r="C54" s="60">
        <f>'Linéarisation mix'!C8*1000000</f>
        <v>2180196.0340540595</v>
      </c>
      <c r="D54" s="60">
        <f>'Linéarisation mix'!D8*1000000</f>
        <v>2224025.033108118</v>
      </c>
      <c r="E54" s="60">
        <f>'Linéarisation mix'!E8*1000000</f>
        <v>2267854.0321621769</v>
      </c>
      <c r="F54" s="60">
        <f>'Linéarisation mix'!F8*1000000</f>
        <v>2311683.0312162349</v>
      </c>
      <c r="G54" s="60">
        <f>'Linéarisation mix'!G8*1000000</f>
        <v>2355512.0302702929</v>
      </c>
      <c r="H54" s="60">
        <f>'Linéarisation mix'!H8*1000000</f>
        <v>2399341.0293243509</v>
      </c>
      <c r="I54" s="60">
        <f>'Linéarisation mix'!I8*1000000</f>
        <v>2443170.0283784079</v>
      </c>
      <c r="J54" s="60">
        <f>'Linéarisation mix'!J8*1000000</f>
        <v>2486999.027432465</v>
      </c>
      <c r="K54" s="60">
        <f>'Linéarisation mix'!K8*1000000</f>
        <v>2530828.0264865221</v>
      </c>
      <c r="L54" s="60">
        <f>'Linéarisation mix'!L8*1000000</f>
        <v>2574657.0255405782</v>
      </c>
      <c r="M54" s="60">
        <f>'Linéarisation mix'!M8*1000000</f>
        <v>2618486.0245946348</v>
      </c>
      <c r="N54" s="60">
        <f>'Linéarisation mix'!N8*1000000</f>
        <v>2662315.0236486904</v>
      </c>
      <c r="O54" s="60">
        <f>'Linéarisation mix'!O8*1000000</f>
        <v>2706144.0227027466</v>
      </c>
      <c r="P54" s="60">
        <f>'Linéarisation mix'!P8*1000000</f>
        <v>2749973.0217568018</v>
      </c>
      <c r="Q54" s="60">
        <f>'Linéarisation mix'!Q8*1000000</f>
        <v>2793802.0208108574</v>
      </c>
      <c r="R54" s="60">
        <f>'Linéarisation mix'!R8*1000000</f>
        <v>2837631.0198649126</v>
      </c>
      <c r="S54" s="60">
        <f>'Linéarisation mix'!S8*1000000</f>
        <v>2881460.0189189669</v>
      </c>
      <c r="T54" s="60">
        <f>'Linéarisation mix'!T8*1000000</f>
        <v>2925289.0179730216</v>
      </c>
      <c r="U54" s="60">
        <f>'Linéarisation mix'!U8*1000000</f>
        <v>2969118.0170270759</v>
      </c>
      <c r="V54" s="60">
        <f>'Linéarisation mix'!V8*1000000</f>
        <v>3012947.0160811292</v>
      </c>
      <c r="W54" s="60">
        <f>'Linéarisation mix'!W8*1000000</f>
        <v>3056776.015135183</v>
      </c>
      <c r="X54" s="60">
        <f>'Linéarisation mix'!X8*1000000</f>
        <v>3100605.0141892363</v>
      </c>
      <c r="Y54" s="60">
        <f>'Linéarisation mix'!Y8*1000000</f>
        <v>3144434.0132432892</v>
      </c>
      <c r="Z54" s="60">
        <f>'Linéarisation mix'!Z8*1000000</f>
        <v>3188263.0122973421</v>
      </c>
      <c r="AA54" s="60">
        <f>'Linéarisation mix'!AA8*1000000</f>
        <v>3232092.011351394</v>
      </c>
      <c r="AB54" s="60">
        <f>'Linéarisation mix'!AB8*1000000</f>
        <v>3275921.0104054459</v>
      </c>
      <c r="AC54" s="60">
        <f>'Linéarisation mix'!AC8*1000000</f>
        <v>3319750.0094594979</v>
      </c>
      <c r="AD54" s="60">
        <f>'Linéarisation mix'!AD8*1000000</f>
        <v>3363579.0085135493</v>
      </c>
      <c r="AE54" s="60">
        <f>'Linéarisation mix'!AE8*1000000</f>
        <v>3407408.0075676003</v>
      </c>
      <c r="AF54" s="60">
        <f>'Linéarisation mix'!AF8*1000000</f>
        <v>3451237.0066216514</v>
      </c>
      <c r="AG54" s="60">
        <f>'Linéarisation mix'!AG8*1000000</f>
        <v>3495066.0056757024</v>
      </c>
      <c r="AH54" s="60">
        <f>'Linéarisation mix'!AH8*1000000</f>
        <v>3538895.0047297524</v>
      </c>
      <c r="AI54" s="60">
        <f>'Linéarisation mix'!AI8*1000000</f>
        <v>3582724.0037838025</v>
      </c>
      <c r="AJ54" s="60">
        <f>'Linéarisation mix'!AJ8*1000000</f>
        <v>3626553.0028378521</v>
      </c>
      <c r="AK54" s="60">
        <f>'Linéarisation mix'!AK8*1000000</f>
        <v>3670382.0018919013</v>
      </c>
      <c r="AL54" s="60">
        <f>'Linéarisation mix'!AL8*1000000</f>
        <v>3714211.0009459504</v>
      </c>
      <c r="AM54" s="60">
        <f>'Linéarisation mix'!AM8*1000000</f>
        <v>3758040</v>
      </c>
    </row>
    <row r="55" spans="1:39" outlineLevel="1" x14ac:dyDescent="0.25">
      <c r="A55" t="s">
        <v>184</v>
      </c>
      <c r="B55" s="60">
        <f>LCOE!B4</f>
        <v>60</v>
      </c>
      <c r="C55" s="60">
        <f>LCOE!C4</f>
        <v>60</v>
      </c>
      <c r="D55" s="60">
        <f>LCOE!D4</f>
        <v>60</v>
      </c>
      <c r="E55" s="60">
        <f>LCOE!E4</f>
        <v>60</v>
      </c>
      <c r="F55" s="60">
        <f>LCOE!F4</f>
        <v>60</v>
      </c>
      <c r="G55" s="60">
        <f>LCOE!G4</f>
        <v>60</v>
      </c>
      <c r="H55" s="60">
        <f>LCOE!H4</f>
        <v>60</v>
      </c>
      <c r="I55" s="60">
        <f>LCOE!I4</f>
        <v>60</v>
      </c>
      <c r="J55" s="60">
        <f>LCOE!J4</f>
        <v>60</v>
      </c>
      <c r="K55" s="60">
        <f>LCOE!K4</f>
        <v>60</v>
      </c>
      <c r="L55" s="60">
        <f>LCOE!L4</f>
        <v>60</v>
      </c>
      <c r="M55" s="60">
        <f>LCOE!M4</f>
        <v>60</v>
      </c>
      <c r="N55" s="60">
        <f>LCOE!N4</f>
        <v>60</v>
      </c>
      <c r="O55" s="60">
        <f>LCOE!O4</f>
        <v>60</v>
      </c>
      <c r="P55" s="60">
        <f>LCOE!P4</f>
        <v>60</v>
      </c>
      <c r="Q55" s="60">
        <f>LCOE!Q4</f>
        <v>60</v>
      </c>
      <c r="R55" s="60">
        <f>LCOE!R4</f>
        <v>60</v>
      </c>
      <c r="S55" s="60">
        <f>LCOE!S4</f>
        <v>60</v>
      </c>
      <c r="T55" s="60">
        <f>LCOE!T4</f>
        <v>60</v>
      </c>
      <c r="U55" s="60">
        <f>LCOE!U4</f>
        <v>60</v>
      </c>
      <c r="V55" s="60">
        <f>LCOE!V4</f>
        <v>60</v>
      </c>
      <c r="W55" s="60">
        <f>LCOE!W4</f>
        <v>60</v>
      </c>
      <c r="X55" s="60">
        <f>LCOE!X4</f>
        <v>60</v>
      </c>
      <c r="Y55" s="60">
        <f>LCOE!Y4</f>
        <v>60</v>
      </c>
      <c r="Z55" s="60">
        <f>LCOE!Z4</f>
        <v>60</v>
      </c>
      <c r="AA55" s="60">
        <f>LCOE!AA4</f>
        <v>60</v>
      </c>
      <c r="AB55" s="60">
        <f>LCOE!AB4</f>
        <v>60</v>
      </c>
      <c r="AC55" s="60">
        <f>LCOE!AC4</f>
        <v>60</v>
      </c>
      <c r="AD55" s="60">
        <f>LCOE!AD4</f>
        <v>60</v>
      </c>
      <c r="AE55" s="60">
        <f>LCOE!AE4</f>
        <v>60</v>
      </c>
      <c r="AF55" s="60">
        <f>LCOE!AF4</f>
        <v>60</v>
      </c>
      <c r="AG55" s="60">
        <f>LCOE!AG4</f>
        <v>60</v>
      </c>
      <c r="AH55" s="60">
        <f>LCOE!AH4</f>
        <v>60</v>
      </c>
      <c r="AI55" s="60">
        <f>LCOE!AI4</f>
        <v>60</v>
      </c>
      <c r="AJ55" s="60">
        <f>LCOE!AJ4</f>
        <v>60</v>
      </c>
      <c r="AK55" s="60">
        <f>LCOE!AK4</f>
        <v>60</v>
      </c>
      <c r="AL55" s="60">
        <f>LCOE!AL4</f>
        <v>60</v>
      </c>
      <c r="AM55" s="60">
        <f>LCOE!AM4</f>
        <v>60</v>
      </c>
    </row>
    <row r="56" spans="1:39" outlineLevel="1" x14ac:dyDescent="0.25">
      <c r="A56" t="s">
        <v>127</v>
      </c>
      <c r="B56" s="48">
        <v>0</v>
      </c>
      <c r="C56" s="64">
        <f t="shared" ref="C56:AM56" si="16">B56+C54-B54</f>
        <v>43828.999054058921</v>
      </c>
      <c r="D56" s="64">
        <f t="shared" si="16"/>
        <v>87657.998108117376</v>
      </c>
      <c r="E56" s="64">
        <f t="shared" si="16"/>
        <v>131486.9971621763</v>
      </c>
      <c r="F56" s="64">
        <f t="shared" si="16"/>
        <v>175315.99621623429</v>
      </c>
      <c r="G56" s="64">
        <f t="shared" si="16"/>
        <v>219144.99527029227</v>
      </c>
      <c r="H56" s="64">
        <f t="shared" si="16"/>
        <v>262973.99432435026</v>
      </c>
      <c r="I56" s="64">
        <f t="shared" si="16"/>
        <v>306802.99337840732</v>
      </c>
      <c r="J56" s="64">
        <f t="shared" si="16"/>
        <v>350631.99243246438</v>
      </c>
      <c r="K56" s="64">
        <f t="shared" si="16"/>
        <v>394460.99148652144</v>
      </c>
      <c r="L56" s="64">
        <f t="shared" si="16"/>
        <v>438289.99054057756</v>
      </c>
      <c r="M56" s="64">
        <f t="shared" si="16"/>
        <v>482118.98959463416</v>
      </c>
      <c r="N56" s="64">
        <f t="shared" si="16"/>
        <v>525947.98864868982</v>
      </c>
      <c r="O56" s="64">
        <f t="shared" si="16"/>
        <v>569776.98770274594</v>
      </c>
      <c r="P56" s="64">
        <f t="shared" si="16"/>
        <v>613605.98675680114</v>
      </c>
      <c r="Q56" s="64">
        <f t="shared" si="16"/>
        <v>657434.9858108568</v>
      </c>
      <c r="R56" s="64">
        <f t="shared" si="16"/>
        <v>701263.984864912</v>
      </c>
      <c r="S56" s="64">
        <f t="shared" si="16"/>
        <v>745092.98391896626</v>
      </c>
      <c r="T56" s="64">
        <f t="shared" si="16"/>
        <v>788921.98297302099</v>
      </c>
      <c r="U56" s="64">
        <f t="shared" si="16"/>
        <v>832750.98202707525</v>
      </c>
      <c r="V56" s="64">
        <f t="shared" si="16"/>
        <v>876579.98108112859</v>
      </c>
      <c r="W56" s="64">
        <f t="shared" si="16"/>
        <v>920408.98013518238</v>
      </c>
      <c r="X56" s="64">
        <f t="shared" si="16"/>
        <v>964237.97918923572</v>
      </c>
      <c r="Y56" s="64">
        <f t="shared" si="16"/>
        <v>1008066.9782432886</v>
      </c>
      <c r="Z56" s="64">
        <f t="shared" si="16"/>
        <v>1051895.9772973419</v>
      </c>
      <c r="AA56" s="64">
        <f t="shared" si="16"/>
        <v>1095724.9763513939</v>
      </c>
      <c r="AB56" s="64">
        <f t="shared" si="16"/>
        <v>1139553.9754054458</v>
      </c>
      <c r="AC56" s="64">
        <f t="shared" si="16"/>
        <v>1183382.9744594977</v>
      </c>
      <c r="AD56" s="64">
        <f t="shared" si="16"/>
        <v>1227211.9735135487</v>
      </c>
      <c r="AE56" s="64">
        <f t="shared" si="16"/>
        <v>1271040.9725675993</v>
      </c>
      <c r="AF56" s="64">
        <f t="shared" si="16"/>
        <v>1314869.9716216503</v>
      </c>
      <c r="AG56" s="64">
        <f t="shared" si="16"/>
        <v>1358698.9706757013</v>
      </c>
      <c r="AH56" s="64">
        <f t="shared" si="16"/>
        <v>1402527.9697297513</v>
      </c>
      <c r="AI56" s="64">
        <f t="shared" si="16"/>
        <v>1446356.9687838014</v>
      </c>
      <c r="AJ56" s="64">
        <f t="shared" si="16"/>
        <v>1490185.9678378506</v>
      </c>
      <c r="AK56" s="64">
        <f t="shared" si="16"/>
        <v>1534014.9668918992</v>
      </c>
      <c r="AL56" s="64">
        <f t="shared" si="16"/>
        <v>1577843.9659459484</v>
      </c>
      <c r="AM56" s="64">
        <f t="shared" si="16"/>
        <v>1621672.9649999975</v>
      </c>
    </row>
    <row r="57" spans="1:39" outlineLevel="1" x14ac:dyDescent="0.25">
      <c r="A57" t="s">
        <v>187</v>
      </c>
      <c r="B57" s="48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9"/>
      <c r="N57" s="42"/>
      <c r="O57" s="42"/>
      <c r="P57" s="42"/>
      <c r="Q57" s="42"/>
      <c r="R57" s="42"/>
      <c r="S57" s="43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9"/>
      <c r="AF57" s="49"/>
      <c r="AG57" s="49"/>
      <c r="AH57" s="49"/>
      <c r="AI57" s="49"/>
      <c r="AJ57" s="49"/>
      <c r="AK57" s="49"/>
      <c r="AL57" s="42"/>
      <c r="AM57" s="104">
        <f>AM59/AM61</f>
        <v>0.18645357686453554</v>
      </c>
    </row>
    <row r="58" spans="1:39" outlineLevel="1" x14ac:dyDescent="0.25">
      <c r="A58" t="s">
        <v>204</v>
      </c>
      <c r="B58" s="58">
        <v>25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outlineLevel="1" x14ac:dyDescent="0.25">
      <c r="A59" t="s">
        <v>107</v>
      </c>
      <c r="B59" s="13">
        <f t="shared" ref="B59:AK59" si="17">$AM$57*B61</f>
        <v>23.899996510273951</v>
      </c>
      <c r="C59" s="13">
        <f t="shared" si="17"/>
        <v>24.390320928915244</v>
      </c>
      <c r="D59" s="13">
        <f t="shared" si="17"/>
        <v>24.880645347556541</v>
      </c>
      <c r="E59" s="13">
        <f t="shared" si="17"/>
        <v>25.370969766197835</v>
      </c>
      <c r="F59" s="13">
        <f t="shared" si="17"/>
        <v>25.861294184839124</v>
      </c>
      <c r="G59" s="13">
        <f t="shared" si="17"/>
        <v>26.351618603480414</v>
      </c>
      <c r="H59" s="13">
        <f t="shared" si="17"/>
        <v>26.841943022121704</v>
      </c>
      <c r="I59" s="13">
        <f t="shared" si="17"/>
        <v>27.332267440762983</v>
      </c>
      <c r="J59" s="13">
        <f t="shared" si="17"/>
        <v>27.822591859404266</v>
      </c>
      <c r="K59" s="13">
        <f t="shared" si="17"/>
        <v>28.312916278045545</v>
      </c>
      <c r="L59" s="13">
        <f t="shared" si="17"/>
        <v>28.803240696686814</v>
      </c>
      <c r="M59" s="13">
        <f t="shared" si="17"/>
        <v>29.293565115328086</v>
      </c>
      <c r="N59" s="13">
        <f t="shared" si="17"/>
        <v>29.783889533969351</v>
      </c>
      <c r="O59" s="13">
        <f t="shared" si="17"/>
        <v>30.274213952610619</v>
      </c>
      <c r="P59" s="13">
        <f t="shared" si="17"/>
        <v>30.764538371251877</v>
      </c>
      <c r="Q59" s="13">
        <f t="shared" si="17"/>
        <v>31.254862789893139</v>
      </c>
      <c r="R59" s="13">
        <f t="shared" si="17"/>
        <v>31.7451872085344</v>
      </c>
      <c r="S59" s="13">
        <f t="shared" si="17"/>
        <v>32.235511627175647</v>
      </c>
      <c r="T59" s="13">
        <f t="shared" si="17"/>
        <v>32.725836045816898</v>
      </c>
      <c r="U59" s="13">
        <f t="shared" si="17"/>
        <v>33.216160464458149</v>
      </c>
      <c r="V59" s="13">
        <f t="shared" si="17"/>
        <v>33.706484883099385</v>
      </c>
      <c r="W59" s="13">
        <f t="shared" si="17"/>
        <v>34.196809301740622</v>
      </c>
      <c r="X59" s="13">
        <f t="shared" si="17"/>
        <v>34.687133720381865</v>
      </c>
      <c r="Y59" s="13">
        <f t="shared" si="17"/>
        <v>35.177458139023095</v>
      </c>
      <c r="Z59" s="13">
        <f t="shared" si="17"/>
        <v>35.667782557664324</v>
      </c>
      <c r="AA59" s="13">
        <f t="shared" si="17"/>
        <v>36.158106976305547</v>
      </c>
      <c r="AB59" s="13">
        <f t="shared" si="17"/>
        <v>36.648431394946769</v>
      </c>
      <c r="AC59" s="13">
        <f t="shared" si="17"/>
        <v>37.138755813587991</v>
      </c>
      <c r="AD59" s="13">
        <f t="shared" si="17"/>
        <v>37.629080232229207</v>
      </c>
      <c r="AE59" s="13">
        <f t="shared" si="17"/>
        <v>38.119404650870415</v>
      </c>
      <c r="AF59" s="13">
        <f t="shared" si="17"/>
        <v>38.609729069511623</v>
      </c>
      <c r="AG59" s="13">
        <f t="shared" si="17"/>
        <v>39.100053488152838</v>
      </c>
      <c r="AH59" s="13">
        <f t="shared" si="17"/>
        <v>39.590377906794032</v>
      </c>
      <c r="AI59" s="13">
        <f t="shared" si="17"/>
        <v>40.080702325435233</v>
      </c>
      <c r="AJ59" s="13">
        <f t="shared" si="17"/>
        <v>40.571026744076427</v>
      </c>
      <c r="AK59" s="13">
        <f t="shared" si="17"/>
        <v>41.061351162717621</v>
      </c>
      <c r="AL59" s="13">
        <f>$AM$57*AL61</f>
        <v>41.551675581358808</v>
      </c>
      <c r="AM59" s="13">
        <f>LCOE!AS4*1000*'Capacités installées'!B4/1000000</f>
        <v>42.042000000000002</v>
      </c>
    </row>
    <row r="60" spans="1:39" outlineLevel="1" x14ac:dyDescent="0.25">
      <c r="A60" t="s">
        <v>111</v>
      </c>
      <c r="B60" s="41">
        <f>B61-B59</f>
        <v>104.28202558972609</v>
      </c>
      <c r="C60" s="41">
        <f t="shared" ref="C60:AM60" si="18">C61-C59</f>
        <v>106.42144111432832</v>
      </c>
      <c r="D60" s="41">
        <f t="shared" si="18"/>
        <v>108.56085663893055</v>
      </c>
      <c r="E60" s="41">
        <f t="shared" si="18"/>
        <v>110.70027216353277</v>
      </c>
      <c r="F60" s="41">
        <f t="shared" si="18"/>
        <v>112.83968768813497</v>
      </c>
      <c r="G60" s="41">
        <f t="shared" si="18"/>
        <v>114.97910321273717</v>
      </c>
      <c r="H60" s="41">
        <f t="shared" si="18"/>
        <v>117.11851873733937</v>
      </c>
      <c r="I60" s="41">
        <f t="shared" si="18"/>
        <v>119.25793426194153</v>
      </c>
      <c r="J60" s="41">
        <f t="shared" si="18"/>
        <v>121.39734978654369</v>
      </c>
      <c r="K60" s="41">
        <f t="shared" si="18"/>
        <v>123.53676531114584</v>
      </c>
      <c r="L60" s="41">
        <f t="shared" si="18"/>
        <v>125.67618083574796</v>
      </c>
      <c r="M60" s="41">
        <f t="shared" si="18"/>
        <v>127.8155963603501</v>
      </c>
      <c r="N60" s="41">
        <f t="shared" si="18"/>
        <v>129.95501188495217</v>
      </c>
      <c r="O60" s="41">
        <f t="shared" si="18"/>
        <v>132.0944274095543</v>
      </c>
      <c r="P60" s="41">
        <f t="shared" si="18"/>
        <v>134.23384293415634</v>
      </c>
      <c r="Q60" s="41">
        <f t="shared" si="18"/>
        <v>136.37325845875844</v>
      </c>
      <c r="R60" s="41">
        <f t="shared" si="18"/>
        <v>138.51267398336051</v>
      </c>
      <c r="S60" s="41">
        <f t="shared" si="18"/>
        <v>140.65208950796253</v>
      </c>
      <c r="T60" s="41">
        <f t="shared" si="18"/>
        <v>142.79150503256457</v>
      </c>
      <c r="U60" s="41">
        <f t="shared" si="18"/>
        <v>144.93092055716659</v>
      </c>
      <c r="V60" s="41">
        <f t="shared" si="18"/>
        <v>147.07033608176855</v>
      </c>
      <c r="W60" s="41">
        <f t="shared" si="18"/>
        <v>149.20975160637056</v>
      </c>
      <c r="X60" s="41">
        <f t="shared" si="18"/>
        <v>151.34916713097252</v>
      </c>
      <c r="Y60" s="41">
        <f t="shared" si="18"/>
        <v>153.48858265557448</v>
      </c>
      <c r="Z60" s="41">
        <f t="shared" si="18"/>
        <v>155.62799818017641</v>
      </c>
      <c r="AA60" s="41">
        <f t="shared" si="18"/>
        <v>157.76741370477833</v>
      </c>
      <c r="AB60" s="41">
        <f t="shared" si="18"/>
        <v>159.90682922938021</v>
      </c>
      <c r="AC60" s="41">
        <f t="shared" si="18"/>
        <v>162.04624475398214</v>
      </c>
      <c r="AD60" s="41">
        <f t="shared" si="18"/>
        <v>164.18566027858401</v>
      </c>
      <c r="AE60" s="41">
        <f t="shared" si="18"/>
        <v>166.32507580318585</v>
      </c>
      <c r="AF60" s="41">
        <f t="shared" si="18"/>
        <v>168.46449132778773</v>
      </c>
      <c r="AG60" s="41">
        <f t="shared" si="18"/>
        <v>170.60390685238957</v>
      </c>
      <c r="AH60" s="41">
        <f t="shared" si="18"/>
        <v>172.74332237699139</v>
      </c>
      <c r="AI60" s="41">
        <f t="shared" si="18"/>
        <v>174.8827379015932</v>
      </c>
      <c r="AJ60" s="41">
        <f t="shared" si="18"/>
        <v>177.02215342619499</v>
      </c>
      <c r="AK60" s="41">
        <f t="shared" si="18"/>
        <v>179.16156895079675</v>
      </c>
      <c r="AL60" s="41">
        <f t="shared" si="18"/>
        <v>181.30098447539851</v>
      </c>
      <c r="AM60" s="41">
        <f t="shared" si="18"/>
        <v>183.4404000000003</v>
      </c>
    </row>
    <row r="61" spans="1:39" outlineLevel="1" x14ac:dyDescent="0.25">
      <c r="A61" t="s">
        <v>185</v>
      </c>
      <c r="B61" s="111">
        <v>128.18202210000004</v>
      </c>
      <c r="C61" s="111">
        <v>130.81176204324356</v>
      </c>
      <c r="D61" s="111">
        <v>133.44150198648708</v>
      </c>
      <c r="E61" s="111">
        <v>136.0712419297306</v>
      </c>
      <c r="F61" s="111">
        <v>138.7009818729741</v>
      </c>
      <c r="G61" s="111">
        <v>141.33072181621759</v>
      </c>
      <c r="H61" s="111">
        <v>143.96046175946108</v>
      </c>
      <c r="I61" s="111">
        <v>146.59020170270452</v>
      </c>
      <c r="J61" s="111">
        <v>149.21994164594796</v>
      </c>
      <c r="K61" s="111">
        <v>151.84968158919139</v>
      </c>
      <c r="L61" s="111">
        <v>154.47942153243477</v>
      </c>
      <c r="M61" s="111">
        <v>157.10916147567818</v>
      </c>
      <c r="N61" s="111">
        <v>159.73890141892153</v>
      </c>
      <c r="O61" s="111">
        <v>162.36864136216491</v>
      </c>
      <c r="P61" s="111">
        <v>164.99838130540823</v>
      </c>
      <c r="Q61" s="111">
        <v>167.62812124865158</v>
      </c>
      <c r="R61" s="111">
        <v>170.2578611918949</v>
      </c>
      <c r="S61" s="111">
        <v>172.88760113513817</v>
      </c>
      <c r="T61" s="111">
        <v>175.51734107838146</v>
      </c>
      <c r="U61" s="111">
        <v>178.14708102162473</v>
      </c>
      <c r="V61" s="111">
        <v>180.77682096486794</v>
      </c>
      <c r="W61" s="111">
        <v>183.40656090811117</v>
      </c>
      <c r="X61" s="111">
        <v>186.03630085135438</v>
      </c>
      <c r="Y61" s="111">
        <v>188.66604079459756</v>
      </c>
      <c r="Z61" s="111">
        <v>191.29578073784074</v>
      </c>
      <c r="AA61" s="111">
        <v>193.92552068108387</v>
      </c>
      <c r="AB61" s="111">
        <v>196.55526062432699</v>
      </c>
      <c r="AC61" s="111">
        <v>199.18500056757011</v>
      </c>
      <c r="AD61" s="111">
        <v>201.81474051081321</v>
      </c>
      <c r="AE61" s="111">
        <v>204.44448045405628</v>
      </c>
      <c r="AF61" s="111">
        <v>207.07422039729934</v>
      </c>
      <c r="AG61" s="111">
        <v>209.70396034054241</v>
      </c>
      <c r="AH61" s="111">
        <v>212.33370028378542</v>
      </c>
      <c r="AI61" s="111">
        <v>214.96344022702843</v>
      </c>
      <c r="AJ61" s="111">
        <v>217.59318017027141</v>
      </c>
      <c r="AK61" s="111">
        <v>220.22292011351436</v>
      </c>
      <c r="AL61" s="111">
        <v>222.85266005675732</v>
      </c>
      <c r="AM61" s="111">
        <v>225.4824000000003</v>
      </c>
    </row>
    <row r="62" spans="1:39" outlineLevel="1" x14ac:dyDescent="0.25"/>
    <row r="63" spans="1:39" outlineLevel="1" x14ac:dyDescent="0.25"/>
    <row r="64" spans="1:39" outlineLevel="1" x14ac:dyDescent="0.25">
      <c r="A64" s="3" t="s">
        <v>22</v>
      </c>
      <c r="B64" s="47">
        <v>2013</v>
      </c>
      <c r="C64" s="47">
        <v>2014</v>
      </c>
      <c r="D64" s="47">
        <v>2015</v>
      </c>
      <c r="E64" s="47">
        <v>2016</v>
      </c>
      <c r="F64" s="47">
        <v>2017</v>
      </c>
      <c r="G64" s="47">
        <v>2018</v>
      </c>
      <c r="H64" s="47">
        <v>2019</v>
      </c>
      <c r="I64" s="47">
        <v>2020</v>
      </c>
      <c r="J64" s="47">
        <v>2021</v>
      </c>
      <c r="K64" s="47">
        <v>2022</v>
      </c>
      <c r="L64" s="47">
        <v>2023</v>
      </c>
      <c r="M64" s="47">
        <v>2024</v>
      </c>
      <c r="N64" s="47">
        <v>2025</v>
      </c>
      <c r="O64" s="47">
        <v>2026</v>
      </c>
      <c r="P64" s="47">
        <v>2027</v>
      </c>
      <c r="Q64" s="47">
        <v>2028</v>
      </c>
      <c r="R64" s="47">
        <v>2029</v>
      </c>
      <c r="S64" s="47">
        <v>2030</v>
      </c>
      <c r="T64" s="47">
        <v>2031</v>
      </c>
      <c r="U64" s="47">
        <v>2032</v>
      </c>
      <c r="V64" s="47">
        <v>2033</v>
      </c>
      <c r="W64" s="47">
        <v>2034</v>
      </c>
      <c r="X64" s="47">
        <v>2035</v>
      </c>
      <c r="Y64" s="47">
        <v>2036</v>
      </c>
      <c r="Z64" s="47">
        <v>2037</v>
      </c>
      <c r="AA64" s="47">
        <v>2038</v>
      </c>
      <c r="AB64" s="47">
        <v>2039</v>
      </c>
      <c r="AC64" s="47">
        <v>2040</v>
      </c>
      <c r="AD64" s="47">
        <v>2041</v>
      </c>
      <c r="AE64" s="47">
        <v>2042</v>
      </c>
      <c r="AF64" s="47">
        <v>2043</v>
      </c>
      <c r="AG64" s="47">
        <v>2044</v>
      </c>
      <c r="AH64" s="47">
        <v>2045</v>
      </c>
      <c r="AI64" s="47">
        <v>2046</v>
      </c>
      <c r="AJ64" s="47">
        <v>2047</v>
      </c>
      <c r="AK64" s="47">
        <v>2048</v>
      </c>
      <c r="AL64" s="47">
        <v>2049</v>
      </c>
      <c r="AM64" s="47">
        <v>2050</v>
      </c>
    </row>
    <row r="65" spans="1:39" outlineLevel="1" x14ac:dyDescent="0.25">
      <c r="A65" t="s">
        <v>170</v>
      </c>
      <c r="B65" s="60">
        <f>'Linéarisation mix'!B7*1000000</f>
        <v>1500000</v>
      </c>
      <c r="C65" s="60">
        <f>'Linéarisation mix'!C7*1000000</f>
        <v>1676481.2488810923</v>
      </c>
      <c r="D65" s="60">
        <f>'Linéarisation mix'!D7*1000000</f>
        <v>1852962.4977621846</v>
      </c>
      <c r="E65" s="60">
        <f>'Linéarisation mix'!E7*1000000</f>
        <v>2029443.7466432767</v>
      </c>
      <c r="F65" s="60">
        <f>'Linéarisation mix'!F7*1000000</f>
        <v>2205924.9955243682</v>
      </c>
      <c r="G65" s="60">
        <f>'Linéarisation mix'!G7*1000000</f>
        <v>2382406.2444054596</v>
      </c>
      <c r="H65" s="60">
        <f>'Linéarisation mix'!H7*1000000</f>
        <v>2558887.4932865505</v>
      </c>
      <c r="I65" s="60">
        <f>'Linéarisation mix'!I7*1000000</f>
        <v>2735368.7421676414</v>
      </c>
      <c r="J65" s="60">
        <f>'Linéarisation mix'!J7*1000000</f>
        <v>2911849.9910487318</v>
      </c>
      <c r="K65" s="60">
        <f>'Linéarisation mix'!K7*1000000</f>
        <v>3088331.2399298218</v>
      </c>
      <c r="L65" s="60">
        <f>'Linéarisation mix'!L7*1000000</f>
        <v>3264812.4888109118</v>
      </c>
      <c r="M65" s="60">
        <f>'Linéarisation mix'!M7*1000000</f>
        <v>3441293.7376920013</v>
      </c>
      <c r="N65" s="60">
        <f>'Linéarisation mix'!N7*1000000</f>
        <v>3617774.9865730908</v>
      </c>
      <c r="O65" s="60">
        <f>'Linéarisation mix'!O7*1000000</f>
        <v>3794256.2354541793</v>
      </c>
      <c r="P65" s="60">
        <f>'Linéarisation mix'!P7*1000000</f>
        <v>3970737.4843352679</v>
      </c>
      <c r="Q65" s="60">
        <f>'Linéarisation mix'!Q7*1000000</f>
        <v>4147218.7332163565</v>
      </c>
      <c r="R65" s="60">
        <f>'Linéarisation mix'!R7*1000000</f>
        <v>4323699.9820974451</v>
      </c>
      <c r="S65" s="60">
        <f>'Linéarisation mix'!S7*1000000</f>
        <v>4500181.2309785318</v>
      </c>
      <c r="T65" s="60">
        <f>'Linéarisation mix'!T7*1000000</f>
        <v>4676662.4798596185</v>
      </c>
      <c r="U65" s="60">
        <f>'Linéarisation mix'!U7*1000000</f>
        <v>4853143.7287407042</v>
      </c>
      <c r="V65" s="60">
        <f>'Linéarisation mix'!V7*1000000</f>
        <v>5029624.97762179</v>
      </c>
      <c r="W65" s="60">
        <f>'Linéarisation mix'!W7*1000000</f>
        <v>5206106.2265028739</v>
      </c>
      <c r="X65" s="60">
        <f>'Linéarisation mix'!X7*1000000</f>
        <v>5382587.4753839588</v>
      </c>
      <c r="Y65" s="60">
        <f>'Linéarisation mix'!Y7*1000000</f>
        <v>5559068.7242650427</v>
      </c>
      <c r="Z65" s="60">
        <f>'Linéarisation mix'!Z7*1000000</f>
        <v>5735549.9731461257</v>
      </c>
      <c r="AA65" s="60">
        <f>'Linéarisation mix'!AA7*1000000</f>
        <v>5912031.2220272077</v>
      </c>
      <c r="AB65" s="60">
        <f>'Linéarisation mix'!AB7*1000000</f>
        <v>6088512.4709082898</v>
      </c>
      <c r="AC65" s="60">
        <f>'Linéarisation mix'!AC7*1000000</f>
        <v>6264993.7197893709</v>
      </c>
      <c r="AD65" s="60">
        <f>'Linéarisation mix'!AD7*1000000</f>
        <v>6441474.968670452</v>
      </c>
      <c r="AE65" s="60">
        <f>'Linéarisation mix'!AE7*1000000</f>
        <v>6617956.2175515322</v>
      </c>
      <c r="AF65" s="60">
        <f>'Linéarisation mix'!AF7*1000000</f>
        <v>6794437.4664326115</v>
      </c>
      <c r="AG65" s="60">
        <f>'Linéarisation mix'!AG7*1000000</f>
        <v>6970918.7153136898</v>
      </c>
      <c r="AH65" s="60">
        <f>'Linéarisation mix'!AH7*1000000</f>
        <v>7147399.9641947681</v>
      </c>
      <c r="AI65" s="60">
        <f>'Linéarisation mix'!AI7*1000000</f>
        <v>7323881.2130758455</v>
      </c>
      <c r="AJ65" s="60">
        <f>'Linéarisation mix'!AJ7*1000000</f>
        <v>7500362.4619569229</v>
      </c>
      <c r="AK65" s="60">
        <f>'Linéarisation mix'!AK7*1000000</f>
        <v>7676843.7108380003</v>
      </c>
      <c r="AL65" s="60">
        <f>'Linéarisation mix'!AL7*1000000</f>
        <v>7853324.9597190758</v>
      </c>
      <c r="AM65" s="60">
        <f>'Linéarisation mix'!AM7*1000000</f>
        <v>8029806.2086001514</v>
      </c>
    </row>
    <row r="66" spans="1:39" outlineLevel="1" x14ac:dyDescent="0.25">
      <c r="A66" t="s">
        <v>184</v>
      </c>
      <c r="B66" s="60">
        <f>LCOE!B5</f>
        <v>150</v>
      </c>
      <c r="C66" s="60">
        <f>LCOE!C5</f>
        <v>147.05882352941177</v>
      </c>
      <c r="D66" s="60">
        <f>LCOE!D5</f>
        <v>144.11764705882354</v>
      </c>
      <c r="E66" s="60">
        <f>LCOE!E5</f>
        <v>141.1764705882353</v>
      </c>
      <c r="F66" s="60">
        <f>LCOE!F5</f>
        <v>138.23529411764707</v>
      </c>
      <c r="G66" s="60">
        <f>LCOE!G5</f>
        <v>135.29411764705884</v>
      </c>
      <c r="H66" s="60">
        <f>LCOE!H5</f>
        <v>132.35294117647061</v>
      </c>
      <c r="I66" s="60">
        <f>LCOE!I5</f>
        <v>129.41176470588238</v>
      </c>
      <c r="J66" s="60">
        <f>LCOE!J5</f>
        <v>126.47058823529414</v>
      </c>
      <c r="K66" s="60">
        <f>LCOE!K5</f>
        <v>123.52941176470591</v>
      </c>
      <c r="L66" s="60">
        <f>LCOE!L5</f>
        <v>120.58823529411768</v>
      </c>
      <c r="M66" s="60">
        <f>LCOE!M5</f>
        <v>117.64705882352945</v>
      </c>
      <c r="N66" s="60">
        <f>LCOE!N5</f>
        <v>114.70588235294122</v>
      </c>
      <c r="O66" s="60">
        <f>LCOE!O5</f>
        <v>111.76470588235298</v>
      </c>
      <c r="P66" s="60">
        <f>LCOE!P5</f>
        <v>108.82352941176475</v>
      </c>
      <c r="Q66" s="60">
        <f>LCOE!Q5</f>
        <v>105.88235294117652</v>
      </c>
      <c r="R66" s="60">
        <f>LCOE!R5</f>
        <v>102.94117647058829</v>
      </c>
      <c r="S66" s="60">
        <f>LCOE!S5</f>
        <v>100</v>
      </c>
      <c r="T66" s="60">
        <f>LCOE!T5</f>
        <v>97.5</v>
      </c>
      <c r="U66" s="60">
        <f>LCOE!U5</f>
        <v>95</v>
      </c>
      <c r="V66" s="60">
        <f>LCOE!V5</f>
        <v>92.5</v>
      </c>
      <c r="W66" s="60">
        <f>LCOE!W5</f>
        <v>90</v>
      </c>
      <c r="X66" s="60">
        <f>LCOE!X5</f>
        <v>87.5</v>
      </c>
      <c r="Y66" s="60">
        <f>LCOE!Y5</f>
        <v>85</v>
      </c>
      <c r="Z66" s="60">
        <f>LCOE!Z5</f>
        <v>82.5</v>
      </c>
      <c r="AA66" s="60">
        <f>LCOE!AA5</f>
        <v>80</v>
      </c>
      <c r="AB66" s="60">
        <f>LCOE!AB5</f>
        <v>77.5</v>
      </c>
      <c r="AC66" s="60">
        <f>LCOE!AC5</f>
        <v>75</v>
      </c>
      <c r="AD66" s="60">
        <f>LCOE!AD5</f>
        <v>72.5</v>
      </c>
      <c r="AE66" s="60">
        <f>LCOE!AE5</f>
        <v>70</v>
      </c>
      <c r="AF66" s="60">
        <f>LCOE!AF5</f>
        <v>67.5</v>
      </c>
      <c r="AG66" s="60">
        <f>LCOE!AG5</f>
        <v>65</v>
      </c>
      <c r="AH66" s="60">
        <f>LCOE!AH5</f>
        <v>62.5</v>
      </c>
      <c r="AI66" s="60">
        <f>LCOE!AI5</f>
        <v>60</v>
      </c>
      <c r="AJ66" s="60">
        <f>LCOE!AJ5</f>
        <v>57.5</v>
      </c>
      <c r="AK66" s="60">
        <f>LCOE!AK5</f>
        <v>55</v>
      </c>
      <c r="AL66" s="60">
        <f>LCOE!AL5</f>
        <v>52.5</v>
      </c>
      <c r="AM66" s="60">
        <f>LCOE!AM5</f>
        <v>50</v>
      </c>
    </row>
    <row r="67" spans="1:39" outlineLevel="1" x14ac:dyDescent="0.25">
      <c r="A67" t="s">
        <v>127</v>
      </c>
      <c r="B67" s="48">
        <v>0</v>
      </c>
      <c r="C67" s="64">
        <f t="shared" ref="C67:AM67" si="19">B67+C65-B65</f>
        <v>176481.2488810923</v>
      </c>
      <c r="D67" s="64">
        <f t="shared" si="19"/>
        <v>352962.49776218459</v>
      </c>
      <c r="E67" s="64">
        <f t="shared" si="19"/>
        <v>529443.74664327689</v>
      </c>
      <c r="F67" s="64">
        <f t="shared" si="19"/>
        <v>705924.99552436848</v>
      </c>
      <c r="G67" s="64">
        <f t="shared" si="19"/>
        <v>882406.24440545961</v>
      </c>
      <c r="H67" s="64">
        <f t="shared" si="19"/>
        <v>1058887.4932865505</v>
      </c>
      <c r="I67" s="64">
        <f t="shared" si="19"/>
        <v>1235368.7421676414</v>
      </c>
      <c r="J67" s="64">
        <f t="shared" si="19"/>
        <v>1411849.9910487318</v>
      </c>
      <c r="K67" s="64">
        <f t="shared" si="19"/>
        <v>1588331.2399298223</v>
      </c>
      <c r="L67" s="64">
        <f t="shared" si="19"/>
        <v>1764812.4888109122</v>
      </c>
      <c r="M67" s="64">
        <f t="shared" si="19"/>
        <v>1941293.7376920022</v>
      </c>
      <c r="N67" s="64">
        <f t="shared" si="19"/>
        <v>2117774.9865730917</v>
      </c>
      <c r="O67" s="64">
        <f t="shared" si="19"/>
        <v>2294256.2354541803</v>
      </c>
      <c r="P67" s="64">
        <f t="shared" si="19"/>
        <v>2470737.4843352688</v>
      </c>
      <c r="Q67" s="64">
        <f t="shared" si="19"/>
        <v>2647218.7332163574</v>
      </c>
      <c r="R67" s="64">
        <f t="shared" si="19"/>
        <v>2823699.982097446</v>
      </c>
      <c r="S67" s="64">
        <f t="shared" si="19"/>
        <v>3000181.2309785327</v>
      </c>
      <c r="T67" s="64">
        <f t="shared" si="19"/>
        <v>3176662.4798596194</v>
      </c>
      <c r="U67" s="64">
        <f t="shared" si="19"/>
        <v>3353143.7287407052</v>
      </c>
      <c r="V67" s="64">
        <f t="shared" si="19"/>
        <v>3529624.977621791</v>
      </c>
      <c r="W67" s="64">
        <f t="shared" si="19"/>
        <v>3706106.2265028749</v>
      </c>
      <c r="X67" s="64">
        <f t="shared" si="19"/>
        <v>3882587.4753839588</v>
      </c>
      <c r="Y67" s="64">
        <f t="shared" si="19"/>
        <v>4059068.7242650436</v>
      </c>
      <c r="Z67" s="64">
        <f t="shared" si="19"/>
        <v>4235549.9731461257</v>
      </c>
      <c r="AA67" s="64">
        <f t="shared" si="19"/>
        <v>4412031.2220272087</v>
      </c>
      <c r="AB67" s="64">
        <f t="shared" si="19"/>
        <v>4588512.4709082907</v>
      </c>
      <c r="AC67" s="64">
        <f t="shared" si="19"/>
        <v>4764993.7197893728</v>
      </c>
      <c r="AD67" s="64">
        <f t="shared" si="19"/>
        <v>4941474.9686704539</v>
      </c>
      <c r="AE67" s="64">
        <f t="shared" si="19"/>
        <v>5117956.217551535</v>
      </c>
      <c r="AF67" s="64">
        <f t="shared" si="19"/>
        <v>5294437.4664326133</v>
      </c>
      <c r="AG67" s="64">
        <f t="shared" si="19"/>
        <v>5470918.7153136926</v>
      </c>
      <c r="AH67" s="64">
        <f t="shared" si="19"/>
        <v>5647399.9641947709</v>
      </c>
      <c r="AI67" s="64">
        <f t="shared" si="19"/>
        <v>5823881.2130758492</v>
      </c>
      <c r="AJ67" s="64">
        <f t="shared" si="19"/>
        <v>6000362.4619569266</v>
      </c>
      <c r="AK67" s="64">
        <f t="shared" si="19"/>
        <v>6176843.710838004</v>
      </c>
      <c r="AL67" s="64">
        <f t="shared" si="19"/>
        <v>6353324.9597190795</v>
      </c>
      <c r="AM67" s="64">
        <f t="shared" si="19"/>
        <v>6529806.2086001551</v>
      </c>
    </row>
    <row r="68" spans="1:39" outlineLevel="1" x14ac:dyDescent="0.25">
      <c r="A68" t="s">
        <v>187</v>
      </c>
      <c r="B68" s="48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9"/>
      <c r="N68" s="42"/>
      <c r="O68" s="42"/>
      <c r="P68" s="42"/>
      <c r="Q68" s="42"/>
      <c r="R68" s="42"/>
      <c r="S68" s="43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9"/>
      <c r="AF68" s="49"/>
      <c r="AG68" s="49"/>
      <c r="AH68" s="49"/>
      <c r="AI68" s="49"/>
      <c r="AJ68" s="49"/>
      <c r="AK68" s="49"/>
      <c r="AL68" s="42"/>
      <c r="AM68" s="104">
        <f>AM70/AM72</f>
        <v>0.28558980394428779</v>
      </c>
    </row>
    <row r="69" spans="1:39" outlineLevel="1" x14ac:dyDescent="0.25">
      <c r="A69" t="s">
        <v>204</v>
      </c>
      <c r="B69" s="58">
        <v>20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 outlineLevel="1" x14ac:dyDescent="0.25">
      <c r="A70" t="s">
        <v>107</v>
      </c>
      <c r="B70" s="13">
        <f t="shared" ref="B70:AK70" si="20">$AM$68*B72</f>
        <v>64.257705887464752</v>
      </c>
      <c r="C70" s="13">
        <f t="shared" si="20"/>
        <v>71.60665597009384</v>
      </c>
      <c r="D70" s="13">
        <f t="shared" si="20"/>
        <v>78.905013609901545</v>
      </c>
      <c r="E70" s="13">
        <f t="shared" si="20"/>
        <v>85.992134542169183</v>
      </c>
      <c r="F70" s="13">
        <f t="shared" si="20"/>
        <v>92.868018766896768</v>
      </c>
      <c r="G70" s="13">
        <f t="shared" si="20"/>
        <v>99.532666284084272</v>
      </c>
      <c r="H70" s="13">
        <f t="shared" si="20"/>
        <v>105.98607709373175</v>
      </c>
      <c r="I70" s="13">
        <f t="shared" si="20"/>
        <v>112.22825119583915</v>
      </c>
      <c r="J70" s="13">
        <f t="shared" si="20"/>
        <v>118.25918859040651</v>
      </c>
      <c r="K70" s="13">
        <f t="shared" si="20"/>
        <v>124.0788892774338</v>
      </c>
      <c r="L70" s="13">
        <f t="shared" si="20"/>
        <v>129.68735325692106</v>
      </c>
      <c r="M70" s="13">
        <f t="shared" si="20"/>
        <v>135.08458052886823</v>
      </c>
      <c r="N70" s="13">
        <f t="shared" si="20"/>
        <v>140.27057109327541</v>
      </c>
      <c r="O70" s="13">
        <f t="shared" si="20"/>
        <v>145.24532495014248</v>
      </c>
      <c r="P70" s="13">
        <f t="shared" si="20"/>
        <v>150.00884209946952</v>
      </c>
      <c r="Q70" s="13">
        <f t="shared" si="20"/>
        <v>154.56112254125651</v>
      </c>
      <c r="R70" s="13">
        <f t="shared" si="20"/>
        <v>158.90216627550345</v>
      </c>
      <c r="S70" s="13">
        <f t="shared" si="20"/>
        <v>163.03197330221028</v>
      </c>
      <c r="T70" s="13">
        <f t="shared" si="20"/>
        <v>166.98222912750808</v>
      </c>
      <c r="U70" s="13">
        <f t="shared" si="20"/>
        <v>170.7529337513968</v>
      </c>
      <c r="V70" s="13">
        <f t="shared" si="20"/>
        <v>171.29184614422195</v>
      </c>
      <c r="W70" s="13">
        <f t="shared" si="20"/>
        <v>171.72996609204634</v>
      </c>
      <c r="X70" s="13">
        <f t="shared" si="20"/>
        <v>172.07376843283225</v>
      </c>
      <c r="Y70" s="13">
        <f t="shared" si="20"/>
        <v>172.32325316657969</v>
      </c>
      <c r="Z70" s="13">
        <f t="shared" si="20"/>
        <v>172.47842029328859</v>
      </c>
      <c r="AA70" s="13">
        <f t="shared" si="20"/>
        <v>172.53926981295905</v>
      </c>
      <c r="AB70" s="13">
        <f t="shared" si="20"/>
        <v>172.50580172559106</v>
      </c>
      <c r="AC70" s="13">
        <f t="shared" si="20"/>
        <v>172.3780160311845</v>
      </c>
      <c r="AD70" s="13">
        <f t="shared" si="20"/>
        <v>172.15591272973955</v>
      </c>
      <c r="AE70" s="13">
        <f t="shared" si="20"/>
        <v>171.83949182125608</v>
      </c>
      <c r="AF70" s="13">
        <f t="shared" si="20"/>
        <v>171.42875330573415</v>
      </c>
      <c r="AG70" s="13">
        <f t="shared" si="20"/>
        <v>170.92369718317372</v>
      </c>
      <c r="AH70" s="13">
        <f t="shared" si="20"/>
        <v>170.32432345357481</v>
      </c>
      <c r="AI70" s="13">
        <f t="shared" si="20"/>
        <v>169.63063211693745</v>
      </c>
      <c r="AJ70" s="13">
        <f t="shared" si="20"/>
        <v>168.84262317326159</v>
      </c>
      <c r="AK70" s="13">
        <f t="shared" si="20"/>
        <v>167.96029662254728</v>
      </c>
      <c r="AL70" s="13">
        <f>$AM$68*AL72</f>
        <v>166.98365246479449</v>
      </c>
      <c r="AM70" s="13">
        <f>LCOE!AS5*1000*'Capacités installées'!B25/1000000</f>
        <v>165.91269070000325</v>
      </c>
    </row>
    <row r="71" spans="1:39" outlineLevel="1" x14ac:dyDescent="0.25">
      <c r="A71" t="s">
        <v>111</v>
      </c>
      <c r="B71" s="41">
        <f>B72-B70</f>
        <v>160.74229411253526</v>
      </c>
      <c r="C71" s="41">
        <f t="shared" ref="C71:AM71" si="21">C72-C70</f>
        <v>179.1258806300668</v>
      </c>
      <c r="D71" s="41">
        <f t="shared" si="21"/>
        <v>197.38290885841653</v>
      </c>
      <c r="E71" s="41">
        <f t="shared" si="21"/>
        <v>215.11152306230304</v>
      </c>
      <c r="F71" s="41">
        <f t="shared" si="21"/>
        <v>232.31172324172636</v>
      </c>
      <c r="G71" s="41">
        <f t="shared" si="21"/>
        <v>248.98350939668649</v>
      </c>
      <c r="H71" s="41">
        <f t="shared" si="21"/>
        <v>265.1268815271834</v>
      </c>
      <c r="I71" s="41">
        <f t="shared" si="21"/>
        <v>280.74183963321713</v>
      </c>
      <c r="J71" s="41">
        <f t="shared" si="21"/>
        <v>295.82838371478772</v>
      </c>
      <c r="K71" s="41">
        <f t="shared" si="21"/>
        <v>310.38651377189507</v>
      </c>
      <c r="L71" s="41">
        <f t="shared" si="21"/>
        <v>324.41622980453928</v>
      </c>
      <c r="M71" s="41">
        <f t="shared" si="21"/>
        <v>337.91753181272026</v>
      </c>
      <c r="N71" s="41">
        <f t="shared" si="21"/>
        <v>350.8904197964381</v>
      </c>
      <c r="O71" s="41">
        <f t="shared" si="21"/>
        <v>363.33489375569275</v>
      </c>
      <c r="P71" s="41">
        <f t="shared" si="21"/>
        <v>375.25095369048421</v>
      </c>
      <c r="Q71" s="41">
        <f t="shared" si="21"/>
        <v>386.63859960081243</v>
      </c>
      <c r="R71" s="41">
        <f t="shared" si="21"/>
        <v>397.49783148667757</v>
      </c>
      <c r="S71" s="41">
        <f t="shared" si="21"/>
        <v>407.82864934807935</v>
      </c>
      <c r="T71" s="41">
        <f t="shared" si="21"/>
        <v>417.71031528868753</v>
      </c>
      <c r="U71" s="41">
        <f t="shared" si="21"/>
        <v>427.14282930850186</v>
      </c>
      <c r="V71" s="41">
        <f t="shared" si="21"/>
        <v>428.49093243717721</v>
      </c>
      <c r="W71" s="41">
        <f t="shared" si="21"/>
        <v>429.5869006877881</v>
      </c>
      <c r="X71" s="41">
        <f t="shared" si="21"/>
        <v>430.4469310330353</v>
      </c>
      <c r="Y71" s="41">
        <f t="shared" si="21"/>
        <v>431.07102347291868</v>
      </c>
      <c r="Z71" s="41">
        <f t="shared" si="21"/>
        <v>431.4591780074382</v>
      </c>
      <c r="AA71" s="41">
        <f t="shared" si="21"/>
        <v>431.61139463659396</v>
      </c>
      <c r="AB71" s="41">
        <f t="shared" si="21"/>
        <v>431.52767336038607</v>
      </c>
      <c r="AC71" s="41">
        <f t="shared" si="21"/>
        <v>431.20801417881421</v>
      </c>
      <c r="AD71" s="41">
        <f t="shared" si="21"/>
        <v>430.65241709187882</v>
      </c>
      <c r="AE71" s="41">
        <f t="shared" si="21"/>
        <v>429.8608820995795</v>
      </c>
      <c r="AF71" s="41">
        <f t="shared" si="21"/>
        <v>428.83340920191642</v>
      </c>
      <c r="AG71" s="41">
        <f t="shared" si="21"/>
        <v>427.5699983988896</v>
      </c>
      <c r="AH71" s="41">
        <f t="shared" si="21"/>
        <v>426.07064969049895</v>
      </c>
      <c r="AI71" s="41">
        <f t="shared" si="21"/>
        <v>424.33536307674456</v>
      </c>
      <c r="AJ71" s="41">
        <f t="shared" si="21"/>
        <v>422.36413855762646</v>
      </c>
      <c r="AK71" s="41">
        <f t="shared" si="21"/>
        <v>420.15697613314467</v>
      </c>
      <c r="AL71" s="41">
        <f t="shared" si="21"/>
        <v>417.713875803299</v>
      </c>
      <c r="AM71" s="41">
        <f t="shared" si="21"/>
        <v>415.03483756808964</v>
      </c>
    </row>
    <row r="72" spans="1:39" outlineLevel="1" x14ac:dyDescent="0.25">
      <c r="A72" t="s">
        <v>185</v>
      </c>
      <c r="B72" s="111">
        <v>225</v>
      </c>
      <c r="C72" s="111">
        <v>250.73253660016064</v>
      </c>
      <c r="D72" s="111">
        <v>276.28792246831807</v>
      </c>
      <c r="E72" s="111">
        <v>301.10365760447223</v>
      </c>
      <c r="F72" s="111">
        <v>325.17974200862312</v>
      </c>
      <c r="G72" s="111">
        <v>348.51617568077074</v>
      </c>
      <c r="H72" s="111">
        <v>371.11295862091515</v>
      </c>
      <c r="I72" s="111">
        <v>392.97009082905629</v>
      </c>
      <c r="J72" s="111">
        <v>414.08757230519421</v>
      </c>
      <c r="K72" s="111">
        <v>434.46540304932887</v>
      </c>
      <c r="L72" s="111">
        <v>454.10358306146031</v>
      </c>
      <c r="M72" s="111">
        <v>473.00211234158849</v>
      </c>
      <c r="N72" s="111">
        <v>491.1609908897135</v>
      </c>
      <c r="O72" s="111">
        <v>508.58021870583519</v>
      </c>
      <c r="P72" s="111">
        <v>525.25979578995373</v>
      </c>
      <c r="Q72" s="111">
        <v>541.19972214206894</v>
      </c>
      <c r="R72" s="111">
        <v>556.39999776218099</v>
      </c>
      <c r="S72" s="111">
        <v>570.86062265028966</v>
      </c>
      <c r="T72" s="111">
        <v>584.69254441619557</v>
      </c>
      <c r="U72" s="111">
        <v>597.89576305989863</v>
      </c>
      <c r="V72" s="111">
        <v>599.78277858139916</v>
      </c>
      <c r="W72" s="111">
        <v>601.31686677983441</v>
      </c>
      <c r="X72" s="111">
        <v>602.52069946586755</v>
      </c>
      <c r="Y72" s="111">
        <v>603.39427663949834</v>
      </c>
      <c r="Z72" s="111">
        <v>603.93759830072679</v>
      </c>
      <c r="AA72" s="111">
        <v>604.15066444955301</v>
      </c>
      <c r="AB72" s="111">
        <v>604.0334750859771</v>
      </c>
      <c r="AC72" s="111">
        <v>603.58603020999874</v>
      </c>
      <c r="AD72" s="111">
        <v>602.80832982161837</v>
      </c>
      <c r="AE72" s="111">
        <v>601.70037392083555</v>
      </c>
      <c r="AF72" s="111">
        <v>600.2621625076506</v>
      </c>
      <c r="AG72" s="111">
        <v>598.49369558206331</v>
      </c>
      <c r="AH72" s="111">
        <v>596.39497314407379</v>
      </c>
      <c r="AI72" s="111">
        <v>593.96599519368203</v>
      </c>
      <c r="AJ72" s="111">
        <v>591.20676173088805</v>
      </c>
      <c r="AK72" s="111">
        <v>588.11727275569194</v>
      </c>
      <c r="AL72" s="111">
        <v>584.69752826809349</v>
      </c>
      <c r="AM72" s="111">
        <v>580.94752826809292</v>
      </c>
    </row>
    <row r="74" spans="1:39" ht="23.25" x14ac:dyDescent="0.25">
      <c r="A74" s="62" t="s">
        <v>128</v>
      </c>
    </row>
    <row r="76" spans="1:39" outlineLevel="1" x14ac:dyDescent="0.25">
      <c r="A76" s="3" t="s">
        <v>171</v>
      </c>
      <c r="B76" s="47">
        <v>2013</v>
      </c>
      <c r="C76" s="47">
        <v>2014</v>
      </c>
      <c r="D76" s="47">
        <v>2015</v>
      </c>
      <c r="E76" s="47">
        <v>2016</v>
      </c>
      <c r="F76" s="47">
        <v>2017</v>
      </c>
      <c r="G76" s="47">
        <v>2018</v>
      </c>
      <c r="H76" s="47">
        <v>2019</v>
      </c>
      <c r="I76" s="47">
        <v>2020</v>
      </c>
      <c r="J76" s="47">
        <v>2021</v>
      </c>
      <c r="K76" s="47">
        <v>2022</v>
      </c>
      <c r="L76" s="47">
        <v>2023</v>
      </c>
      <c r="M76" s="47">
        <v>2024</v>
      </c>
      <c r="N76" s="47">
        <v>2025</v>
      </c>
      <c r="O76" s="47">
        <v>2026</v>
      </c>
      <c r="P76" s="47">
        <v>2027</v>
      </c>
      <c r="Q76" s="47">
        <v>2028</v>
      </c>
      <c r="R76" s="47">
        <v>2029</v>
      </c>
      <c r="S76" s="47">
        <v>2030</v>
      </c>
      <c r="T76" s="47">
        <v>2031</v>
      </c>
      <c r="U76" s="47">
        <v>2032</v>
      </c>
      <c r="V76" s="47">
        <v>2033</v>
      </c>
      <c r="W76" s="47">
        <v>2034</v>
      </c>
      <c r="X76" s="47">
        <v>2035</v>
      </c>
      <c r="Y76" s="47">
        <v>2036</v>
      </c>
      <c r="Z76" s="47">
        <v>2037</v>
      </c>
      <c r="AA76" s="47">
        <v>2038</v>
      </c>
      <c r="AB76" s="47">
        <v>2039</v>
      </c>
      <c r="AC76" s="47">
        <v>2040</v>
      </c>
      <c r="AD76" s="47">
        <v>2041</v>
      </c>
      <c r="AE76" s="47">
        <v>2042</v>
      </c>
      <c r="AF76" s="47">
        <v>2043</v>
      </c>
      <c r="AG76" s="47">
        <v>2044</v>
      </c>
      <c r="AH76" s="47">
        <v>2045</v>
      </c>
      <c r="AI76" s="47">
        <v>2046</v>
      </c>
      <c r="AJ76" s="47">
        <v>2047</v>
      </c>
      <c r="AK76" s="47">
        <v>2048</v>
      </c>
      <c r="AL76" s="47">
        <v>2049</v>
      </c>
      <c r="AM76" s="47">
        <v>2050</v>
      </c>
    </row>
    <row r="77" spans="1:39" outlineLevel="1" x14ac:dyDescent="0.25">
      <c r="A77" t="s">
        <v>170</v>
      </c>
      <c r="B77" s="49">
        <f>'Linéarisation mix'!B12*1000000</f>
        <v>418680</v>
      </c>
      <c r="C77" s="49">
        <f>'Linéarisation mix'!C12*1000000</f>
        <v>420442.06054054113</v>
      </c>
      <c r="D77" s="49">
        <f>'Linéarisation mix'!D12*1000000</f>
        <v>422204.12108108227</v>
      </c>
      <c r="E77" s="49">
        <f>'Linéarisation mix'!E12*1000000</f>
        <v>423966.18162162334</v>
      </c>
      <c r="F77" s="49">
        <f>'Linéarisation mix'!F12*1000000</f>
        <v>425728.24216216442</v>
      </c>
      <c r="G77" s="49">
        <f>'Linéarisation mix'!G12*1000000</f>
        <v>427490.30270270543</v>
      </c>
      <c r="H77" s="49">
        <f>'Linéarisation mix'!H12*1000000</f>
        <v>429252.36324324645</v>
      </c>
      <c r="I77" s="49">
        <f>'Linéarisation mix'!I12*1000000</f>
        <v>431014.42378378741</v>
      </c>
      <c r="J77" s="49">
        <f>'Linéarisation mix'!J12*1000000</f>
        <v>432776.48432432837</v>
      </c>
      <c r="K77" s="49">
        <f>'Linéarisation mix'!K12*1000000</f>
        <v>434538.54486486927</v>
      </c>
      <c r="L77" s="49">
        <f>'Linéarisation mix'!L12*1000000</f>
        <v>436300.60540541017</v>
      </c>
      <c r="M77" s="49">
        <f>'Linéarisation mix'!M12*1000000</f>
        <v>438062.66594595101</v>
      </c>
      <c r="N77" s="49">
        <f>'Linéarisation mix'!N12*1000000</f>
        <v>439824.7264864918</v>
      </c>
      <c r="O77" s="49">
        <f>'Linéarisation mix'!O12*1000000</f>
        <v>441586.78702703258</v>
      </c>
      <c r="P77" s="49">
        <f>'Linéarisation mix'!P12*1000000</f>
        <v>443348.84756757331</v>
      </c>
      <c r="Q77" s="49">
        <f>'Linéarisation mix'!Q12*1000000</f>
        <v>445110.90810811397</v>
      </c>
      <c r="R77" s="49">
        <f>'Linéarisation mix'!R12*1000000</f>
        <v>446872.96864865464</v>
      </c>
      <c r="S77" s="49">
        <f>'Linéarisation mix'!S12*1000000</f>
        <v>448635.02918919531</v>
      </c>
      <c r="T77" s="49">
        <f>'Linéarisation mix'!T12*1000000</f>
        <v>450397.08972973586</v>
      </c>
      <c r="U77" s="49">
        <f>'Linéarisation mix'!U12*1000000</f>
        <v>452159.15027027641</v>
      </c>
      <c r="V77" s="49">
        <f>'Linéarisation mix'!V12*1000000</f>
        <v>453921.2108108169</v>
      </c>
      <c r="W77" s="49">
        <f>'Linéarisation mix'!W12*1000000</f>
        <v>455683.2713513574</v>
      </c>
      <c r="X77" s="49">
        <f>'Linéarisation mix'!X12*1000000</f>
        <v>457445.33189189783</v>
      </c>
      <c r="Y77" s="49">
        <f>'Linéarisation mix'!Y12*1000000</f>
        <v>459207.39243243827</v>
      </c>
      <c r="Z77" s="49">
        <f>'Linéarisation mix'!Z12*1000000</f>
        <v>460969.45297297859</v>
      </c>
      <c r="AA77" s="49">
        <f>'Linéarisation mix'!AA12*1000000</f>
        <v>462731.5135135189</v>
      </c>
      <c r="AB77" s="49">
        <f>'Linéarisation mix'!AB12*1000000</f>
        <v>464493.57405405922</v>
      </c>
      <c r="AC77" s="49">
        <f>'Linéarisation mix'!AC12*1000000</f>
        <v>466255.63459459948</v>
      </c>
      <c r="AD77" s="49">
        <f>'Linéarisation mix'!AD12*1000000</f>
        <v>468017.69513513969</v>
      </c>
      <c r="AE77" s="49">
        <f>'Linéarisation mix'!AE12*1000000</f>
        <v>469779.75567567989</v>
      </c>
      <c r="AF77" s="49">
        <f>'Linéarisation mix'!AF12*1000000</f>
        <v>471541.81621621997</v>
      </c>
      <c r="AG77" s="49">
        <f>'Linéarisation mix'!AG12*1000000</f>
        <v>473303.87675676012</v>
      </c>
      <c r="AH77" s="49">
        <f>'Linéarisation mix'!AH12*1000000</f>
        <v>475065.9372973002</v>
      </c>
      <c r="AI77" s="49">
        <f>'Linéarisation mix'!AI12*1000000</f>
        <v>476827.99783784017</v>
      </c>
      <c r="AJ77" s="49">
        <f>'Linéarisation mix'!AJ12*1000000</f>
        <v>478590.0583783802</v>
      </c>
      <c r="AK77" s="49">
        <f>'Linéarisation mix'!AK12*1000000</f>
        <v>480352.11891892017</v>
      </c>
      <c r="AL77" s="49">
        <f>'Linéarisation mix'!AL12*1000000</f>
        <v>482114.17945946014</v>
      </c>
      <c r="AM77" s="49">
        <f>'Linéarisation mix'!AM12*1000000</f>
        <v>483876.24</v>
      </c>
    </row>
    <row r="78" spans="1:39" outlineLevel="1" x14ac:dyDescent="0.25">
      <c r="A78" t="s">
        <v>184</v>
      </c>
      <c r="B78" s="60">
        <f>LCOE!B16</f>
        <v>201.20834630956088</v>
      </c>
      <c r="C78" s="60">
        <f>LCOE!C16</f>
        <v>198.78432593841023</v>
      </c>
      <c r="D78" s="60">
        <f>LCOE!D16</f>
        <v>196.36030556725959</v>
      </c>
      <c r="E78" s="60">
        <f>LCOE!E16</f>
        <v>193.93628519610894</v>
      </c>
      <c r="F78" s="60">
        <f>LCOE!F16</f>
        <v>191.51226482495829</v>
      </c>
      <c r="G78" s="60">
        <f>LCOE!G16</f>
        <v>189.08824445380765</v>
      </c>
      <c r="H78" s="60">
        <f>LCOE!H16</f>
        <v>186.664224082657</v>
      </c>
      <c r="I78" s="60">
        <f>LCOE!I16</f>
        <v>184.24020371150635</v>
      </c>
      <c r="J78" s="60">
        <f>LCOE!J16</f>
        <v>181.81618334035571</v>
      </c>
      <c r="K78" s="60">
        <f>LCOE!K16</f>
        <v>179.39216296920506</v>
      </c>
      <c r="L78" s="60">
        <f>LCOE!L16</f>
        <v>176.96814259805441</v>
      </c>
      <c r="M78" s="60">
        <f>LCOE!M16</f>
        <v>174.54412222690377</v>
      </c>
      <c r="N78" s="60">
        <f>LCOE!N16</f>
        <v>172.12010185575312</v>
      </c>
      <c r="O78" s="60">
        <f>LCOE!O16</f>
        <v>169.69608148460247</v>
      </c>
      <c r="P78" s="60">
        <f>LCOE!P16</f>
        <v>167.27206111345183</v>
      </c>
      <c r="Q78" s="60">
        <f>LCOE!Q16</f>
        <v>164.84804074230118</v>
      </c>
      <c r="R78" s="60">
        <f>LCOE!R16</f>
        <v>162.42402037115053</v>
      </c>
      <c r="S78" s="60">
        <f>LCOE!S16</f>
        <v>160</v>
      </c>
      <c r="T78" s="60">
        <f>LCOE!T16</f>
        <v>160</v>
      </c>
      <c r="U78" s="60">
        <f>LCOE!U16</f>
        <v>160</v>
      </c>
      <c r="V78" s="60">
        <f>LCOE!V16</f>
        <v>160</v>
      </c>
      <c r="W78" s="60">
        <f>LCOE!W16</f>
        <v>160</v>
      </c>
      <c r="X78" s="60">
        <f>LCOE!X16</f>
        <v>160</v>
      </c>
      <c r="Y78" s="60">
        <f>LCOE!Y16</f>
        <v>160</v>
      </c>
      <c r="Z78" s="60">
        <f>LCOE!Z16</f>
        <v>160</v>
      </c>
      <c r="AA78" s="60">
        <f>LCOE!AA16</f>
        <v>160</v>
      </c>
      <c r="AB78" s="60">
        <f>LCOE!AB16</f>
        <v>160</v>
      </c>
      <c r="AC78" s="60">
        <f>LCOE!AC16</f>
        <v>160</v>
      </c>
      <c r="AD78" s="60">
        <f>LCOE!AD16</f>
        <v>160</v>
      </c>
      <c r="AE78" s="60">
        <f>LCOE!AE16</f>
        <v>160</v>
      </c>
      <c r="AF78" s="60">
        <f>LCOE!AF16</f>
        <v>160</v>
      </c>
      <c r="AG78" s="60">
        <f>LCOE!AG16</f>
        <v>160</v>
      </c>
      <c r="AH78" s="60">
        <f>LCOE!AH16</f>
        <v>160</v>
      </c>
      <c r="AI78" s="60">
        <f>LCOE!AI16</f>
        <v>160</v>
      </c>
      <c r="AJ78" s="60">
        <f>LCOE!AJ16</f>
        <v>160</v>
      </c>
      <c r="AK78" s="60">
        <f>LCOE!AK16</f>
        <v>160</v>
      </c>
      <c r="AL78" s="60">
        <f>LCOE!AL16</f>
        <v>160</v>
      </c>
      <c r="AM78" s="60">
        <f>LCOE!AM16</f>
        <v>160</v>
      </c>
    </row>
    <row r="79" spans="1:39" outlineLevel="1" x14ac:dyDescent="0.25">
      <c r="A79" t="s">
        <v>127</v>
      </c>
      <c r="B79" s="48">
        <v>0</v>
      </c>
      <c r="C79" s="64">
        <f t="shared" ref="C79:AM79" si="22">B79+C77-B77</f>
        <v>1762.0605405411334</v>
      </c>
      <c r="D79" s="64">
        <f t="shared" si="22"/>
        <v>3524.1210810822668</v>
      </c>
      <c r="E79" s="64">
        <f t="shared" si="22"/>
        <v>5286.1816216233419</v>
      </c>
      <c r="F79" s="64">
        <f t="shared" si="22"/>
        <v>7048.2421621644171</v>
      </c>
      <c r="G79" s="64">
        <f t="shared" si="22"/>
        <v>8810.3027027054341</v>
      </c>
      <c r="H79" s="64">
        <f t="shared" si="22"/>
        <v>10572.363243246451</v>
      </c>
      <c r="I79" s="64">
        <f t="shared" si="22"/>
        <v>12334.42378378741</v>
      </c>
      <c r="J79" s="64">
        <f t="shared" si="22"/>
        <v>14096.484324328369</v>
      </c>
      <c r="K79" s="64">
        <f t="shared" si="22"/>
        <v>15858.544864869269</v>
      </c>
      <c r="L79" s="64">
        <f t="shared" si="22"/>
        <v>17620.60540541017</v>
      </c>
      <c r="M79" s="64">
        <f t="shared" si="22"/>
        <v>19382.665945951012</v>
      </c>
      <c r="N79" s="64">
        <f t="shared" si="22"/>
        <v>21144.726486491796</v>
      </c>
      <c r="O79" s="64">
        <f t="shared" si="22"/>
        <v>22906.78702703258</v>
      </c>
      <c r="P79" s="64">
        <f t="shared" si="22"/>
        <v>24668.847567573306</v>
      </c>
      <c r="Q79" s="64">
        <f t="shared" si="22"/>
        <v>26430.908108113974</v>
      </c>
      <c r="R79" s="64">
        <f t="shared" si="22"/>
        <v>28192.968648654642</v>
      </c>
      <c r="S79" s="64">
        <f t="shared" si="22"/>
        <v>29955.029189195309</v>
      </c>
      <c r="T79" s="64">
        <f t="shared" si="22"/>
        <v>31717.089729735861</v>
      </c>
      <c r="U79" s="64">
        <f t="shared" si="22"/>
        <v>33479.150270276412</v>
      </c>
      <c r="V79" s="64">
        <f t="shared" si="22"/>
        <v>35241.210810816905</v>
      </c>
      <c r="W79" s="64">
        <f t="shared" si="22"/>
        <v>37003.271351357398</v>
      </c>
      <c r="X79" s="64">
        <f t="shared" si="22"/>
        <v>38765.331891897833</v>
      </c>
      <c r="Y79" s="64">
        <f t="shared" si="22"/>
        <v>40527.392432438268</v>
      </c>
      <c r="Z79" s="64">
        <f t="shared" si="22"/>
        <v>42289.452972978586</v>
      </c>
      <c r="AA79" s="64">
        <f t="shared" si="22"/>
        <v>44051.513513518905</v>
      </c>
      <c r="AB79" s="64">
        <f t="shared" si="22"/>
        <v>45813.574054059223</v>
      </c>
      <c r="AC79" s="64">
        <f t="shared" si="22"/>
        <v>47575.634594599484</v>
      </c>
      <c r="AD79" s="64">
        <f t="shared" si="22"/>
        <v>49337.695135139686</v>
      </c>
      <c r="AE79" s="64">
        <f t="shared" si="22"/>
        <v>51099.755675679888</v>
      </c>
      <c r="AF79" s="64">
        <f t="shared" si="22"/>
        <v>52861.816216219973</v>
      </c>
      <c r="AG79" s="64">
        <f t="shared" si="22"/>
        <v>54623.876756760117</v>
      </c>
      <c r="AH79" s="64">
        <f t="shared" si="22"/>
        <v>56385.937297300145</v>
      </c>
      <c r="AI79" s="64">
        <f t="shared" si="22"/>
        <v>58147.997837840114</v>
      </c>
      <c r="AJ79" s="64">
        <f t="shared" si="22"/>
        <v>59910.058378380199</v>
      </c>
      <c r="AK79" s="64">
        <f t="shared" si="22"/>
        <v>61672.118918920227</v>
      </c>
      <c r="AL79" s="64">
        <f t="shared" si="22"/>
        <v>63434.179459460196</v>
      </c>
      <c r="AM79" s="64">
        <f t="shared" si="22"/>
        <v>65196.240000000049</v>
      </c>
    </row>
    <row r="80" spans="1:39" outlineLevel="1" x14ac:dyDescent="0.25">
      <c r="A80" t="s">
        <v>187</v>
      </c>
      <c r="B80" s="48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9"/>
      <c r="N80" s="42"/>
      <c r="O80" s="42"/>
      <c r="P80" s="42"/>
      <c r="Q80" s="42"/>
      <c r="R80" s="42"/>
      <c r="S80" s="43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9"/>
      <c r="AF80" s="49"/>
      <c r="AG80" s="49"/>
      <c r="AH80" s="49"/>
      <c r="AI80" s="49"/>
      <c r="AJ80" s="49"/>
      <c r="AK80" s="49"/>
      <c r="AL80" s="42"/>
      <c r="AM80" s="104">
        <f>AM82/AM84</f>
        <v>0.38927192670421679</v>
      </c>
    </row>
    <row r="81" spans="1:39" outlineLevel="1" x14ac:dyDescent="0.25">
      <c r="A81" t="s">
        <v>204</v>
      </c>
      <c r="B81" s="58">
        <v>30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 outlineLevel="1" x14ac:dyDescent="0.25">
      <c r="A82" t="s">
        <v>107</v>
      </c>
      <c r="B82" s="41">
        <f t="shared" ref="B82:AK82" si="23">$AM$80*B84</f>
        <v>32.793010783453958</v>
      </c>
      <c r="C82" s="41">
        <f t="shared" si="23"/>
        <v>32.91619214317798</v>
      </c>
      <c r="D82" s="41">
        <f t="shared" si="23"/>
        <v>33.024541892560414</v>
      </c>
      <c r="E82" s="41">
        <f t="shared" si="23"/>
        <v>33.11806003160126</v>
      </c>
      <c r="F82" s="41">
        <f t="shared" si="23"/>
        <v>33.196746560300532</v>
      </c>
      <c r="G82" s="41">
        <f t="shared" si="23"/>
        <v>33.260601478658209</v>
      </c>
      <c r="H82" s="41">
        <f t="shared" si="23"/>
        <v>33.309624786674313</v>
      </c>
      <c r="I82" s="41">
        <f t="shared" si="23"/>
        <v>33.343816484348835</v>
      </c>
      <c r="J82" s="41">
        <f t="shared" si="23"/>
        <v>33.36317657168177</v>
      </c>
      <c r="K82" s="41">
        <f t="shared" si="23"/>
        <v>33.36770504867313</v>
      </c>
      <c r="L82" s="41">
        <f t="shared" si="23"/>
        <v>33.357401915322903</v>
      </c>
      <c r="M82" s="41">
        <f t="shared" si="23"/>
        <v>33.332267171631088</v>
      </c>
      <c r="N82" s="41">
        <f t="shared" si="23"/>
        <v>33.292300817597699</v>
      </c>
      <c r="O82" s="41">
        <f t="shared" si="23"/>
        <v>33.237502853222722</v>
      </c>
      <c r="P82" s="41">
        <f t="shared" si="23"/>
        <v>33.167873278506164</v>
      </c>
      <c r="Q82" s="41">
        <f t="shared" si="23"/>
        <v>33.083412093448025</v>
      </c>
      <c r="R82" s="41">
        <f t="shared" si="23"/>
        <v>32.984119298048306</v>
      </c>
      <c r="S82" s="41">
        <f t="shared" si="23"/>
        <v>32.869994892307012</v>
      </c>
      <c r="T82" s="41">
        <f t="shared" si="23"/>
        <v>32.755870486565705</v>
      </c>
      <c r="U82" s="41">
        <f t="shared" si="23"/>
        <v>32.641746080824397</v>
      </c>
      <c r="V82" s="41">
        <f t="shared" si="23"/>
        <v>32.527621675083083</v>
      </c>
      <c r="W82" s="41">
        <f t="shared" si="23"/>
        <v>32.413497269341768</v>
      </c>
      <c r="X82" s="41">
        <f t="shared" si="23"/>
        <v>32.299372863600446</v>
      </c>
      <c r="Y82" s="41">
        <f t="shared" si="23"/>
        <v>32.185248457859132</v>
      </c>
      <c r="Z82" s="41">
        <f t="shared" si="23"/>
        <v>32.071124052117803</v>
      </c>
      <c r="AA82" s="41">
        <f t="shared" si="23"/>
        <v>31.956999646376481</v>
      </c>
      <c r="AB82" s="41">
        <f t="shared" si="23"/>
        <v>31.842875240635152</v>
      </c>
      <c r="AC82" s="41">
        <f t="shared" si="23"/>
        <v>31.728750834893823</v>
      </c>
      <c r="AD82" s="41">
        <f t="shared" si="23"/>
        <v>31.614626429152494</v>
      </c>
      <c r="AE82" s="41">
        <f t="shared" si="23"/>
        <v>31.500502023411165</v>
      </c>
      <c r="AF82" s="41">
        <f t="shared" si="23"/>
        <v>31.386377617669808</v>
      </c>
      <c r="AG82" s="41">
        <f t="shared" si="23"/>
        <v>31.258819164458199</v>
      </c>
      <c r="AH82" s="41">
        <f t="shared" si="23"/>
        <v>31.211936944527885</v>
      </c>
      <c r="AI82" s="41">
        <f t="shared" si="23"/>
        <v>31.179886334939145</v>
      </c>
      <c r="AJ82" s="41">
        <f t="shared" si="23"/>
        <v>31.162667335691996</v>
      </c>
      <c r="AK82" s="41">
        <f t="shared" si="23"/>
        <v>31.160279946786421</v>
      </c>
      <c r="AL82" s="41">
        <f>$AM$80*AL84</f>
        <v>31.172724168222416</v>
      </c>
      <c r="AM82" s="41">
        <f>LCOE!AS16*1000*'Capacités installées'!B12/1000000</f>
        <v>31.2</v>
      </c>
    </row>
    <row r="83" spans="1:39" outlineLevel="1" x14ac:dyDescent="0.25">
      <c r="A83" t="s">
        <v>111</v>
      </c>
      <c r="B83" s="13">
        <f>B84-B82</f>
        <v>51.448899649432981</v>
      </c>
      <c r="C83" s="13">
        <f t="shared" ref="C83:AM83" si="24">C84-C82</f>
        <v>51.642158678223325</v>
      </c>
      <c r="D83" s="13">
        <f t="shared" si="24"/>
        <v>51.812148418409997</v>
      </c>
      <c r="E83" s="13">
        <f t="shared" si="24"/>
        <v>51.958868869992997</v>
      </c>
      <c r="F83" s="13">
        <f t="shared" si="24"/>
        <v>52.082320032972312</v>
      </c>
      <c r="G83" s="13">
        <f t="shared" si="24"/>
        <v>52.182501907347962</v>
      </c>
      <c r="H83" s="13">
        <f t="shared" si="24"/>
        <v>52.259414493119941</v>
      </c>
      <c r="I83" s="13">
        <f t="shared" si="24"/>
        <v>52.313057790288241</v>
      </c>
      <c r="J83" s="13">
        <f t="shared" si="24"/>
        <v>52.343431798852869</v>
      </c>
      <c r="K83" s="13">
        <f t="shared" si="24"/>
        <v>52.350536518813826</v>
      </c>
      <c r="L83" s="13">
        <f t="shared" si="24"/>
        <v>52.334371950171111</v>
      </c>
      <c r="M83" s="13">
        <f t="shared" si="24"/>
        <v>52.29493809292471</v>
      </c>
      <c r="N83" s="13">
        <f t="shared" si="24"/>
        <v>52.232234947074637</v>
      </c>
      <c r="O83" s="13">
        <f t="shared" si="24"/>
        <v>52.146262512620893</v>
      </c>
      <c r="P83" s="13">
        <f t="shared" si="24"/>
        <v>52.037020789563485</v>
      </c>
      <c r="Q83" s="13">
        <f t="shared" si="24"/>
        <v>51.904509777902398</v>
      </c>
      <c r="R83" s="13">
        <f t="shared" si="24"/>
        <v>51.748729477637646</v>
      </c>
      <c r="S83" s="13">
        <f t="shared" si="24"/>
        <v>51.569679888769222</v>
      </c>
      <c r="T83" s="13">
        <f t="shared" si="24"/>
        <v>51.390630299900785</v>
      </c>
      <c r="U83" s="13">
        <f t="shared" si="24"/>
        <v>51.211580711032347</v>
      </c>
      <c r="V83" s="13">
        <f t="shared" si="24"/>
        <v>51.032531122163903</v>
      </c>
      <c r="W83" s="13">
        <f t="shared" si="24"/>
        <v>50.853481533295458</v>
      </c>
      <c r="X83" s="13">
        <f t="shared" si="24"/>
        <v>50.674431944426992</v>
      </c>
      <c r="Y83" s="13">
        <f t="shared" si="24"/>
        <v>50.495382355558533</v>
      </c>
      <c r="Z83" s="13">
        <f t="shared" si="24"/>
        <v>50.316332766690074</v>
      </c>
      <c r="AA83" s="13">
        <f t="shared" si="24"/>
        <v>50.137283177821608</v>
      </c>
      <c r="AB83" s="13">
        <f t="shared" si="24"/>
        <v>49.958233588953135</v>
      </c>
      <c r="AC83" s="13">
        <f t="shared" si="24"/>
        <v>49.779184000084662</v>
      </c>
      <c r="AD83" s="13">
        <f t="shared" si="24"/>
        <v>49.600134411216189</v>
      </c>
      <c r="AE83" s="13">
        <f t="shared" si="24"/>
        <v>49.421084822347716</v>
      </c>
      <c r="AF83" s="13">
        <f t="shared" si="24"/>
        <v>49.2420352334792</v>
      </c>
      <c r="AG83" s="13">
        <f t="shared" si="24"/>
        <v>49.041908990053201</v>
      </c>
      <c r="AH83" s="13">
        <f t="shared" si="24"/>
        <v>48.968355553790055</v>
      </c>
      <c r="AI83" s="13">
        <f t="shared" si="24"/>
        <v>48.918071406130579</v>
      </c>
      <c r="AJ83" s="13">
        <f t="shared" si="24"/>
        <v>48.891056547074783</v>
      </c>
      <c r="AK83" s="13">
        <f t="shared" si="24"/>
        <v>48.887310976622643</v>
      </c>
      <c r="AL83" s="13">
        <f t="shared" si="24"/>
        <v>48.906834694774162</v>
      </c>
      <c r="AM83" s="13">
        <f t="shared" si="24"/>
        <v>48.949627701529351</v>
      </c>
    </row>
    <row r="84" spans="1:39" outlineLevel="1" x14ac:dyDescent="0.25">
      <c r="A84" t="s">
        <v>185</v>
      </c>
      <c r="B84" s="111">
        <v>84.241910432886939</v>
      </c>
      <c r="C84" s="111">
        <v>84.558350821401305</v>
      </c>
      <c r="D84" s="111">
        <v>84.836690310970411</v>
      </c>
      <c r="E84" s="111">
        <v>85.076928901594258</v>
      </c>
      <c r="F84" s="111">
        <v>85.279066593272844</v>
      </c>
      <c r="G84" s="111">
        <v>85.443103386006172</v>
      </c>
      <c r="H84" s="111">
        <v>85.569039279794254</v>
      </c>
      <c r="I84" s="111">
        <v>85.656874274637076</v>
      </c>
      <c r="J84" s="111">
        <v>85.706608370534639</v>
      </c>
      <c r="K84" s="111">
        <v>85.718241567486956</v>
      </c>
      <c r="L84" s="111">
        <v>85.691773865494014</v>
      </c>
      <c r="M84" s="111">
        <v>85.627205264555798</v>
      </c>
      <c r="N84" s="111">
        <v>85.524535764672336</v>
      </c>
      <c r="O84" s="111">
        <v>85.383765365843615</v>
      </c>
      <c r="P84" s="111">
        <v>85.204894068069649</v>
      </c>
      <c r="Q84" s="111">
        <v>84.987921871350423</v>
      </c>
      <c r="R84" s="111">
        <v>84.732848775685952</v>
      </c>
      <c r="S84" s="111">
        <v>84.439674781076235</v>
      </c>
      <c r="T84" s="111">
        <v>84.14650078646649</v>
      </c>
      <c r="U84" s="111">
        <v>83.853326791856745</v>
      </c>
      <c r="V84" s="111">
        <v>83.560152797246985</v>
      </c>
      <c r="W84" s="111">
        <v>83.266978802637226</v>
      </c>
      <c r="X84" s="111">
        <v>82.973804808027438</v>
      </c>
      <c r="Y84" s="111">
        <v>82.680630813417665</v>
      </c>
      <c r="Z84" s="111">
        <v>82.387456818807877</v>
      </c>
      <c r="AA84" s="111">
        <v>82.094282824198089</v>
      </c>
      <c r="AB84" s="111">
        <v>81.801108829588287</v>
      </c>
      <c r="AC84" s="111">
        <v>81.507934834978485</v>
      </c>
      <c r="AD84" s="111">
        <v>81.214760840368683</v>
      </c>
      <c r="AE84" s="111">
        <v>80.921586845758881</v>
      </c>
      <c r="AF84" s="111">
        <v>80.628412851149008</v>
      </c>
      <c r="AG84" s="111">
        <v>80.300728154511404</v>
      </c>
      <c r="AH84" s="111">
        <v>80.180292498317939</v>
      </c>
      <c r="AI84" s="111">
        <v>80.09795774106972</v>
      </c>
      <c r="AJ84" s="111">
        <v>80.053723882766775</v>
      </c>
      <c r="AK84" s="111">
        <v>80.047590923409061</v>
      </c>
      <c r="AL84" s="111">
        <v>80.079558862996578</v>
      </c>
      <c r="AM84" s="111">
        <v>80.149627701529354</v>
      </c>
    </row>
    <row r="85" spans="1:39" outlineLevel="1" x14ac:dyDescent="0.25"/>
    <row r="86" spans="1:39" ht="23.25" x14ac:dyDescent="0.25">
      <c r="A86" s="62" t="s">
        <v>18</v>
      </c>
    </row>
    <row r="88" spans="1:39" outlineLevel="1" x14ac:dyDescent="0.25">
      <c r="A88" s="3" t="s">
        <v>130</v>
      </c>
      <c r="B88" s="47">
        <v>2013</v>
      </c>
      <c r="C88" s="47">
        <v>2014</v>
      </c>
      <c r="D88" s="47">
        <v>2015</v>
      </c>
      <c r="E88" s="47">
        <v>2016</v>
      </c>
      <c r="F88" s="47">
        <v>2017</v>
      </c>
      <c r="G88" s="47">
        <v>2018</v>
      </c>
      <c r="H88" s="47">
        <v>2019</v>
      </c>
      <c r="I88" s="47">
        <v>2020</v>
      </c>
      <c r="J88" s="47">
        <v>2021</v>
      </c>
      <c r="K88" s="47">
        <v>2022</v>
      </c>
      <c r="L88" s="47">
        <v>2023</v>
      </c>
      <c r="M88" s="47">
        <v>2024</v>
      </c>
      <c r="N88" s="47">
        <v>2025</v>
      </c>
      <c r="O88" s="47">
        <v>2026</v>
      </c>
      <c r="P88" s="47">
        <v>2027</v>
      </c>
      <c r="Q88" s="47">
        <v>2028</v>
      </c>
      <c r="R88" s="47">
        <v>2029</v>
      </c>
      <c r="S88" s="47">
        <v>2030</v>
      </c>
      <c r="T88" s="47">
        <v>2031</v>
      </c>
      <c r="U88" s="47">
        <v>2032</v>
      </c>
      <c r="V88" s="47">
        <v>2033</v>
      </c>
      <c r="W88" s="47">
        <v>2034</v>
      </c>
      <c r="X88" s="47">
        <v>2035</v>
      </c>
      <c r="Y88" s="47">
        <v>2036</v>
      </c>
      <c r="Z88" s="47">
        <v>2037</v>
      </c>
      <c r="AA88" s="47">
        <v>2038</v>
      </c>
      <c r="AB88" s="47">
        <v>2039</v>
      </c>
      <c r="AC88" s="47">
        <v>2040</v>
      </c>
      <c r="AD88" s="47">
        <v>2041</v>
      </c>
      <c r="AE88" s="47">
        <v>2042</v>
      </c>
      <c r="AF88" s="47">
        <v>2043</v>
      </c>
      <c r="AG88" s="47">
        <v>2044</v>
      </c>
      <c r="AH88" s="47">
        <v>2045</v>
      </c>
      <c r="AI88" s="47">
        <v>2046</v>
      </c>
      <c r="AJ88" s="47">
        <v>2047</v>
      </c>
      <c r="AK88" s="47">
        <v>2048</v>
      </c>
      <c r="AL88" s="47">
        <v>2049</v>
      </c>
      <c r="AM88" s="47">
        <v>2050</v>
      </c>
    </row>
    <row r="89" spans="1:39" outlineLevel="1" x14ac:dyDescent="0.25">
      <c r="A89" t="s">
        <v>170</v>
      </c>
      <c r="B89" s="49">
        <f>'Linéarisation mix'!B11*1000000</f>
        <v>12025.420000000004</v>
      </c>
      <c r="C89" s="49">
        <f>'Linéarisation mix'!C11*1000000</f>
        <v>43662.570810811587</v>
      </c>
      <c r="D89" s="49">
        <f>'Linéarisation mix'!D11*1000000</f>
        <v>75299.721621623175</v>
      </c>
      <c r="E89" s="49">
        <f>'Linéarisation mix'!E11*1000000</f>
        <v>106936.87243243474</v>
      </c>
      <c r="F89" s="49">
        <f>'Linéarisation mix'!F11*1000000</f>
        <v>138574.02324324631</v>
      </c>
      <c r="G89" s="49">
        <f>'Linéarisation mix'!G11*1000000</f>
        <v>170211.17405405783</v>
      </c>
      <c r="H89" s="49">
        <f>'Linéarisation mix'!H11*1000000</f>
        <v>201848.32486486936</v>
      </c>
      <c r="I89" s="49">
        <f>'Linéarisation mix'!I11*1000000</f>
        <v>233485.47567568088</v>
      </c>
      <c r="J89" s="49">
        <f>'Linéarisation mix'!J11*1000000</f>
        <v>265122.6264864924</v>
      </c>
      <c r="K89" s="49">
        <f>'Linéarisation mix'!K11*1000000</f>
        <v>296759.77729730384</v>
      </c>
      <c r="L89" s="49">
        <f>'Linéarisation mix'!L11*1000000</f>
        <v>328396.92810811527</v>
      </c>
      <c r="M89" s="49">
        <f>'Linéarisation mix'!M11*1000000</f>
        <v>360034.07891892665</v>
      </c>
      <c r="N89" s="49">
        <f>'Linéarisation mix'!N11*1000000</f>
        <v>391671.22972973803</v>
      </c>
      <c r="O89" s="49">
        <f>'Linéarisation mix'!O11*1000000</f>
        <v>423308.38054054929</v>
      </c>
      <c r="P89" s="49">
        <f>'Linéarisation mix'!P11*1000000</f>
        <v>454945.53135136055</v>
      </c>
      <c r="Q89" s="49">
        <f>'Linéarisation mix'!Q11*1000000</f>
        <v>486582.68216217181</v>
      </c>
      <c r="R89" s="49">
        <f>'Linéarisation mix'!R11*1000000</f>
        <v>518219.83297298301</v>
      </c>
      <c r="S89" s="49">
        <f>'Linéarisation mix'!S11*1000000</f>
        <v>549856.9837837941</v>
      </c>
      <c r="T89" s="49">
        <f>'Linéarisation mix'!T11*1000000</f>
        <v>581494.13459460507</v>
      </c>
      <c r="U89" s="49">
        <f>'Linéarisation mix'!U11*1000000</f>
        <v>613131.28540541604</v>
      </c>
      <c r="V89" s="49">
        <f>'Linéarisation mix'!V11*1000000</f>
        <v>644768.4362162269</v>
      </c>
      <c r="W89" s="49">
        <f>'Linéarisation mix'!W11*1000000</f>
        <v>676405.58702703763</v>
      </c>
      <c r="X89" s="49">
        <f>'Linéarisation mix'!X11*1000000</f>
        <v>708042.73783784849</v>
      </c>
      <c r="Y89" s="49">
        <f>'Linéarisation mix'!Y11*1000000</f>
        <v>739679.88864865911</v>
      </c>
      <c r="Z89" s="49">
        <f>'Linéarisation mix'!Z11*1000000</f>
        <v>771317.03945946961</v>
      </c>
      <c r="AA89" s="49">
        <f>'Linéarisation mix'!AA11*1000000</f>
        <v>802954.19027028012</v>
      </c>
      <c r="AB89" s="49">
        <f>'Linéarisation mix'!AB11*1000000</f>
        <v>834591.34108109062</v>
      </c>
      <c r="AC89" s="49">
        <f>'Linéarisation mix'!AC11*1000000</f>
        <v>866228.49189190089</v>
      </c>
      <c r="AD89" s="49">
        <f>'Linéarisation mix'!AD11*1000000</f>
        <v>897865.64270271116</v>
      </c>
      <c r="AE89" s="49">
        <f>'Linéarisation mix'!AE11*1000000</f>
        <v>929502.79351352144</v>
      </c>
      <c r="AF89" s="49">
        <f>'Linéarisation mix'!AF11*1000000</f>
        <v>961139.94432433159</v>
      </c>
      <c r="AG89" s="49">
        <f>'Linéarisation mix'!AG11*1000000</f>
        <v>992777.09513514163</v>
      </c>
      <c r="AH89" s="49">
        <f>'Linéarisation mix'!AH11*1000000</f>
        <v>1024414.2459459518</v>
      </c>
      <c r="AI89" s="49">
        <f>'Linéarisation mix'!AI11*1000000</f>
        <v>1056051.3967567617</v>
      </c>
      <c r="AJ89" s="49">
        <f>'Linéarisation mix'!AJ11*1000000</f>
        <v>1087688.5475675715</v>
      </c>
      <c r="AK89" s="49">
        <f>'Linéarisation mix'!AK11*1000000</f>
        <v>1119325.6983783813</v>
      </c>
      <c r="AL89" s="49">
        <f>'Linéarisation mix'!AL11*1000000</f>
        <v>1150962.8491891909</v>
      </c>
      <c r="AM89" s="49">
        <f>'Linéarisation mix'!AM11*1000000</f>
        <v>1182600</v>
      </c>
    </row>
    <row r="90" spans="1:39" outlineLevel="1" x14ac:dyDescent="0.25">
      <c r="A90" t="s">
        <v>184</v>
      </c>
      <c r="B90" s="60">
        <f>LCOE!B17</f>
        <v>58</v>
      </c>
      <c r="C90" s="60">
        <f>LCOE!C17</f>
        <v>58</v>
      </c>
      <c r="D90" s="60">
        <f>LCOE!D17</f>
        <v>58</v>
      </c>
      <c r="E90" s="60">
        <f>LCOE!E17</f>
        <v>58</v>
      </c>
      <c r="F90" s="60">
        <f>LCOE!F17</f>
        <v>58</v>
      </c>
      <c r="G90" s="60">
        <f>LCOE!G17</f>
        <v>58</v>
      </c>
      <c r="H90" s="60">
        <f>LCOE!H17</f>
        <v>58</v>
      </c>
      <c r="I90" s="60">
        <f>LCOE!I17</f>
        <v>58</v>
      </c>
      <c r="J90" s="60">
        <f>LCOE!J17</f>
        <v>58</v>
      </c>
      <c r="K90" s="60">
        <f>LCOE!K17</f>
        <v>58</v>
      </c>
      <c r="L90" s="60">
        <f>LCOE!L17</f>
        <v>58</v>
      </c>
      <c r="M90" s="60">
        <f>LCOE!M17</f>
        <v>58</v>
      </c>
      <c r="N90" s="60">
        <f>LCOE!N17</f>
        <v>58</v>
      </c>
      <c r="O90" s="60">
        <f>LCOE!O17</f>
        <v>58</v>
      </c>
      <c r="P90" s="60">
        <f>LCOE!P17</f>
        <v>58</v>
      </c>
      <c r="Q90" s="60">
        <f>LCOE!Q17</f>
        <v>58</v>
      </c>
      <c r="R90" s="60">
        <f>LCOE!R17</f>
        <v>58</v>
      </c>
      <c r="S90" s="60">
        <f>LCOE!S17</f>
        <v>58</v>
      </c>
      <c r="T90" s="60">
        <f>LCOE!T17</f>
        <v>58</v>
      </c>
      <c r="U90" s="60">
        <f>LCOE!U17</f>
        <v>58</v>
      </c>
      <c r="V90" s="60">
        <f>LCOE!V17</f>
        <v>58</v>
      </c>
      <c r="W90" s="60">
        <f>LCOE!W17</f>
        <v>58</v>
      </c>
      <c r="X90" s="60">
        <f>LCOE!X17</f>
        <v>58</v>
      </c>
      <c r="Y90" s="60">
        <f>LCOE!Y17</f>
        <v>58</v>
      </c>
      <c r="Z90" s="60">
        <f>LCOE!Z17</f>
        <v>58</v>
      </c>
      <c r="AA90" s="60">
        <f>LCOE!AA17</f>
        <v>58</v>
      </c>
      <c r="AB90" s="60">
        <f>LCOE!AB17</f>
        <v>58</v>
      </c>
      <c r="AC90" s="60">
        <f>LCOE!AC17</f>
        <v>58</v>
      </c>
      <c r="AD90" s="60">
        <f>LCOE!AD17</f>
        <v>58</v>
      </c>
      <c r="AE90" s="60">
        <f>LCOE!AE17</f>
        <v>58</v>
      </c>
      <c r="AF90" s="60">
        <f>LCOE!AF17</f>
        <v>58</v>
      </c>
      <c r="AG90" s="60">
        <f>LCOE!AG17</f>
        <v>58</v>
      </c>
      <c r="AH90" s="60">
        <f>LCOE!AH17</f>
        <v>58</v>
      </c>
      <c r="AI90" s="60">
        <f>LCOE!AI17</f>
        <v>58</v>
      </c>
      <c r="AJ90" s="60">
        <f>LCOE!AJ17</f>
        <v>58</v>
      </c>
      <c r="AK90" s="60">
        <f>LCOE!AK17</f>
        <v>58</v>
      </c>
      <c r="AL90" s="60">
        <f>LCOE!AL17</f>
        <v>58</v>
      </c>
      <c r="AM90" s="60">
        <f>LCOE!AM17</f>
        <v>58</v>
      </c>
    </row>
    <row r="91" spans="1:39" outlineLevel="1" x14ac:dyDescent="0.25">
      <c r="A91" t="s">
        <v>127</v>
      </c>
      <c r="B91" s="48">
        <v>0</v>
      </c>
      <c r="C91" s="64">
        <f t="shared" ref="C91:AM91" si="25">B91+C89-B89</f>
        <v>31637.150810811581</v>
      </c>
      <c r="D91" s="64">
        <f t="shared" si="25"/>
        <v>63274.30162162317</v>
      </c>
      <c r="E91" s="64">
        <f t="shared" si="25"/>
        <v>94911.452432434744</v>
      </c>
      <c r="F91" s="64">
        <f t="shared" si="25"/>
        <v>126548.60324324631</v>
      </c>
      <c r="G91" s="64">
        <f t="shared" si="25"/>
        <v>158185.75405405782</v>
      </c>
      <c r="H91" s="64">
        <f t="shared" si="25"/>
        <v>189822.90486486934</v>
      </c>
      <c r="I91" s="64">
        <f t="shared" si="25"/>
        <v>221460.05567568087</v>
      </c>
      <c r="J91" s="64">
        <f t="shared" si="25"/>
        <v>253097.20648649239</v>
      </c>
      <c r="K91" s="64">
        <f t="shared" si="25"/>
        <v>284734.3572973038</v>
      </c>
      <c r="L91" s="64">
        <f t="shared" si="25"/>
        <v>316371.50810811523</v>
      </c>
      <c r="M91" s="64">
        <f t="shared" si="25"/>
        <v>348008.65891892667</v>
      </c>
      <c r="N91" s="64">
        <f t="shared" si="25"/>
        <v>379645.80972973804</v>
      </c>
      <c r="O91" s="64">
        <f t="shared" si="25"/>
        <v>411282.96054054931</v>
      </c>
      <c r="P91" s="64">
        <f t="shared" si="25"/>
        <v>442920.11135136057</v>
      </c>
      <c r="Q91" s="64">
        <f t="shared" si="25"/>
        <v>474557.26216217183</v>
      </c>
      <c r="R91" s="64">
        <f t="shared" si="25"/>
        <v>506194.41297298309</v>
      </c>
      <c r="S91" s="64">
        <f t="shared" si="25"/>
        <v>537831.56378379406</v>
      </c>
      <c r="T91" s="64">
        <f t="shared" si="25"/>
        <v>569468.71459460491</v>
      </c>
      <c r="U91" s="64">
        <f t="shared" si="25"/>
        <v>601105.86540541588</v>
      </c>
      <c r="V91" s="64">
        <f t="shared" si="25"/>
        <v>632743.01621622685</v>
      </c>
      <c r="W91" s="64">
        <f t="shared" si="25"/>
        <v>664380.16702703747</v>
      </c>
      <c r="X91" s="64">
        <f t="shared" si="25"/>
        <v>696017.31783784821</v>
      </c>
      <c r="Y91" s="64">
        <f t="shared" si="25"/>
        <v>727654.46864865883</v>
      </c>
      <c r="Z91" s="64">
        <f t="shared" si="25"/>
        <v>759291.61945946922</v>
      </c>
      <c r="AA91" s="64">
        <f t="shared" si="25"/>
        <v>790928.77027027973</v>
      </c>
      <c r="AB91" s="64">
        <f t="shared" si="25"/>
        <v>822565.92108109023</v>
      </c>
      <c r="AC91" s="64">
        <f t="shared" si="25"/>
        <v>854203.0718919005</v>
      </c>
      <c r="AD91" s="64">
        <f t="shared" si="25"/>
        <v>885840.22270271077</v>
      </c>
      <c r="AE91" s="64">
        <f t="shared" si="25"/>
        <v>917477.37351352104</v>
      </c>
      <c r="AF91" s="64">
        <f t="shared" si="25"/>
        <v>949114.52432433108</v>
      </c>
      <c r="AG91" s="64">
        <f t="shared" si="25"/>
        <v>980751.67513514101</v>
      </c>
      <c r="AH91" s="64">
        <f t="shared" si="25"/>
        <v>1012388.825945951</v>
      </c>
      <c r="AI91" s="64">
        <f t="shared" si="25"/>
        <v>1044025.976756761</v>
      </c>
      <c r="AJ91" s="64">
        <f t="shared" si="25"/>
        <v>1075663.1275675707</v>
      </c>
      <c r="AK91" s="64">
        <f t="shared" si="25"/>
        <v>1107300.2783783805</v>
      </c>
      <c r="AL91" s="64">
        <f t="shared" si="25"/>
        <v>1138937.4291891903</v>
      </c>
      <c r="AM91" s="64">
        <f t="shared" si="25"/>
        <v>1170574.5799999994</v>
      </c>
    </row>
    <row r="92" spans="1:39" outlineLevel="1" x14ac:dyDescent="0.25">
      <c r="A92" t="s">
        <v>187</v>
      </c>
      <c r="B92" s="48">
        <f>LCOE!AN17*1000</f>
        <v>3550000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9"/>
      <c r="N92" s="42"/>
      <c r="O92" s="42"/>
      <c r="P92" s="42"/>
      <c r="Q92" s="42"/>
      <c r="R92" s="42"/>
      <c r="S92" s="43">
        <f>LCOE!AO17*1000</f>
        <v>3550000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9"/>
      <c r="AF92" s="49"/>
      <c r="AG92" s="49"/>
      <c r="AH92" s="49"/>
      <c r="AI92" s="49"/>
      <c r="AJ92" s="49"/>
      <c r="AK92" s="49"/>
      <c r="AL92" s="42"/>
      <c r="AM92" s="104">
        <f>AM94/AM96</f>
        <v>0.24405605416469844</v>
      </c>
    </row>
    <row r="93" spans="1:39" outlineLevel="1" x14ac:dyDescent="0.25">
      <c r="A93" t="s">
        <v>30</v>
      </c>
      <c r="B93" s="58">
        <v>20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 outlineLevel="1" x14ac:dyDescent="0.25">
      <c r="A94" t="s">
        <v>107</v>
      </c>
      <c r="B94" s="41">
        <f t="shared" ref="B94:AK94" si="26">$AM$92*B96</f>
        <v>0.17022284018264844</v>
      </c>
      <c r="C94" s="41">
        <f t="shared" si="26"/>
        <v>0.61805465531285797</v>
      </c>
      <c r="D94" s="41">
        <f t="shared" si="26"/>
        <v>1.0663120275435243</v>
      </c>
      <c r="E94" s="41">
        <f t="shared" si="26"/>
        <v>1.51456939977419</v>
      </c>
      <c r="F94" s="41">
        <f t="shared" si="26"/>
        <v>1.9628267720048564</v>
      </c>
      <c r="G94" s="41">
        <f t="shared" si="26"/>
        <v>2.411084144235522</v>
      </c>
      <c r="H94" s="41">
        <f t="shared" si="26"/>
        <v>2.8593415164661873</v>
      </c>
      <c r="I94" s="41">
        <f t="shared" si="26"/>
        <v>3.3075988886968526</v>
      </c>
      <c r="J94" s="41">
        <f t="shared" si="26"/>
        <v>3.7558562609275188</v>
      </c>
      <c r="K94" s="41">
        <f t="shared" si="26"/>
        <v>4.2041136331581823</v>
      </c>
      <c r="L94" s="41">
        <f t="shared" si="26"/>
        <v>4.6523710053888463</v>
      </c>
      <c r="M94" s="41">
        <f t="shared" si="26"/>
        <v>5.1006283776195094</v>
      </c>
      <c r="N94" s="41">
        <f t="shared" si="26"/>
        <v>5.5488857498501716</v>
      </c>
      <c r="O94" s="41">
        <f t="shared" si="26"/>
        <v>5.9971431220808338</v>
      </c>
      <c r="P94" s="41">
        <f t="shared" si="26"/>
        <v>6.4454004943114951</v>
      </c>
      <c r="Q94" s="41">
        <f t="shared" si="26"/>
        <v>6.8936578665421555</v>
      </c>
      <c r="R94" s="41">
        <f t="shared" si="26"/>
        <v>7.3419152387728168</v>
      </c>
      <c r="S94" s="41">
        <f t="shared" si="26"/>
        <v>7.7901726110034755</v>
      </c>
      <c r="T94" s="41">
        <f t="shared" si="26"/>
        <v>8.2384299832341341</v>
      </c>
      <c r="U94" s="41">
        <f t="shared" si="26"/>
        <v>8.686687355464791</v>
      </c>
      <c r="V94" s="41">
        <f t="shared" si="26"/>
        <v>9.1268591427867705</v>
      </c>
      <c r="W94" s="41">
        <f t="shared" si="26"/>
        <v>9.5746909579169674</v>
      </c>
      <c r="X94" s="41">
        <f t="shared" si="26"/>
        <v>10.022522773047166</v>
      </c>
      <c r="Y94" s="41">
        <f t="shared" si="26"/>
        <v>10.470354588177361</v>
      </c>
      <c r="Z94" s="41">
        <f t="shared" si="26"/>
        <v>10.918186403307557</v>
      </c>
      <c r="AA94" s="41">
        <f t="shared" si="26"/>
        <v>11.366018218437752</v>
      </c>
      <c r="AB94" s="41">
        <f t="shared" si="26"/>
        <v>11.813850033567945</v>
      </c>
      <c r="AC94" s="41">
        <f t="shared" si="26"/>
        <v>12.261681848698137</v>
      </c>
      <c r="AD94" s="41">
        <f t="shared" si="26"/>
        <v>12.709513663828329</v>
      </c>
      <c r="AE94" s="41">
        <f t="shared" si="26"/>
        <v>13.15734547895852</v>
      </c>
      <c r="AF94" s="41">
        <f t="shared" si="26"/>
        <v>13.60517729408871</v>
      </c>
      <c r="AG94" s="41">
        <f t="shared" si="26"/>
        <v>14.053009109218898</v>
      </c>
      <c r="AH94" s="41">
        <f t="shared" si="26"/>
        <v>14.500840924349088</v>
      </c>
      <c r="AI94" s="41">
        <f t="shared" si="26"/>
        <v>14.948672739479274</v>
      </c>
      <c r="AJ94" s="41">
        <f t="shared" si="26"/>
        <v>15.396504554609461</v>
      </c>
      <c r="AK94" s="41">
        <f t="shared" si="26"/>
        <v>15.844336369739644</v>
      </c>
      <c r="AL94" s="41">
        <f>$AM$92*AL96</f>
        <v>16.292168184869823</v>
      </c>
      <c r="AM94" s="41">
        <f>LCOE!AS17*1000*'Capacités installées'!B18/1000000</f>
        <v>16.739999999999998</v>
      </c>
    </row>
    <row r="95" spans="1:39" outlineLevel="1" x14ac:dyDescent="0.25">
      <c r="A95" t="s">
        <v>111</v>
      </c>
      <c r="B95" s="13">
        <f t="shared" ref="B95:AL95" si="27">B96-B94</f>
        <v>0.52725151981735174</v>
      </c>
      <c r="C95" s="13">
        <f t="shared" si="27"/>
        <v>1.9143744517142136</v>
      </c>
      <c r="D95" s="13">
        <f t="shared" si="27"/>
        <v>3.30281551241062</v>
      </c>
      <c r="E95" s="13">
        <f t="shared" si="27"/>
        <v>4.6912565731070242</v>
      </c>
      <c r="F95" s="13">
        <f t="shared" si="27"/>
        <v>6.0796976338034305</v>
      </c>
      <c r="G95" s="13">
        <f t="shared" si="27"/>
        <v>7.4681386944998334</v>
      </c>
      <c r="H95" s="13">
        <f t="shared" si="27"/>
        <v>8.8565797551962362</v>
      </c>
      <c r="I95" s="13">
        <f t="shared" si="27"/>
        <v>10.245020815892641</v>
      </c>
      <c r="J95" s="13">
        <f t="shared" si="27"/>
        <v>11.633461876589045</v>
      </c>
      <c r="K95" s="13">
        <f t="shared" si="27"/>
        <v>13.021902937285443</v>
      </c>
      <c r="L95" s="13">
        <f t="shared" si="27"/>
        <v>14.41034399798184</v>
      </c>
      <c r="M95" s="13">
        <f t="shared" si="27"/>
        <v>15.798785058678236</v>
      </c>
      <c r="N95" s="13">
        <f t="shared" si="27"/>
        <v>17.187226119374632</v>
      </c>
      <c r="O95" s="13">
        <f t="shared" si="27"/>
        <v>18.575667180071022</v>
      </c>
      <c r="P95" s="13">
        <f t="shared" si="27"/>
        <v>19.964108240767413</v>
      </c>
      <c r="Q95" s="13">
        <f t="shared" si="27"/>
        <v>21.352549301463803</v>
      </c>
      <c r="R95" s="13">
        <f t="shared" si="27"/>
        <v>22.740990362160193</v>
      </c>
      <c r="S95" s="13">
        <f t="shared" si="27"/>
        <v>24.129431422856577</v>
      </c>
      <c r="T95" s="13">
        <f t="shared" si="27"/>
        <v>25.517872483552956</v>
      </c>
      <c r="U95" s="13">
        <f t="shared" si="27"/>
        <v>26.906313544249336</v>
      </c>
      <c r="V95" s="13">
        <f t="shared" si="27"/>
        <v>28.269710157754382</v>
      </c>
      <c r="W95" s="13">
        <f t="shared" si="27"/>
        <v>29.656833089651204</v>
      </c>
      <c r="X95" s="13">
        <f t="shared" si="27"/>
        <v>31.043956021548034</v>
      </c>
      <c r="Y95" s="13">
        <f t="shared" si="27"/>
        <v>32.431078953444853</v>
      </c>
      <c r="Z95" s="13">
        <f t="shared" si="27"/>
        <v>33.818201885341665</v>
      </c>
      <c r="AA95" s="13">
        <f t="shared" si="27"/>
        <v>35.205324817238484</v>
      </c>
      <c r="AB95" s="13">
        <f t="shared" si="27"/>
        <v>36.592447749135303</v>
      </c>
      <c r="AC95" s="13">
        <f t="shared" si="27"/>
        <v>37.979570681032108</v>
      </c>
      <c r="AD95" s="13">
        <f t="shared" si="27"/>
        <v>39.366693612928913</v>
      </c>
      <c r="AE95" s="13">
        <f t="shared" si="27"/>
        <v>40.753816544825725</v>
      </c>
      <c r="AF95" s="13">
        <f t="shared" si="27"/>
        <v>42.140939476722522</v>
      </c>
      <c r="AG95" s="13">
        <f t="shared" si="27"/>
        <v>43.52806240861932</v>
      </c>
      <c r="AH95" s="13">
        <f t="shared" si="27"/>
        <v>44.915185340516118</v>
      </c>
      <c r="AI95" s="13">
        <f t="shared" si="27"/>
        <v>46.302308272412915</v>
      </c>
      <c r="AJ95" s="13">
        <f t="shared" si="27"/>
        <v>47.689431204309699</v>
      </c>
      <c r="AK95" s="13">
        <f t="shared" si="27"/>
        <v>49.076554136206475</v>
      </c>
      <c r="AL95" s="13">
        <f t="shared" si="27"/>
        <v>50.463677068103252</v>
      </c>
      <c r="AM95" s="13">
        <f>AM96-AM94</f>
        <v>51.850800000000007</v>
      </c>
    </row>
    <row r="96" spans="1:39" outlineLevel="1" x14ac:dyDescent="0.25">
      <c r="A96" t="s">
        <v>185</v>
      </c>
      <c r="B96" s="111">
        <v>0.69747436000000018</v>
      </c>
      <c r="C96" s="111">
        <v>2.5324291070270717</v>
      </c>
      <c r="D96" s="111">
        <v>4.3691275399541443</v>
      </c>
      <c r="E96" s="111">
        <v>6.2058259728812146</v>
      </c>
      <c r="F96" s="111">
        <v>8.0425244058082868</v>
      </c>
      <c r="G96" s="111">
        <v>9.8792228387353553</v>
      </c>
      <c r="H96" s="111">
        <v>11.715921271662424</v>
      </c>
      <c r="I96" s="111">
        <v>13.552619704589492</v>
      </c>
      <c r="J96" s="111">
        <v>15.389318137516565</v>
      </c>
      <c r="K96" s="111">
        <v>17.226016570443626</v>
      </c>
      <c r="L96" s="111">
        <v>19.062715003370688</v>
      </c>
      <c r="M96" s="111">
        <v>20.899413436297746</v>
      </c>
      <c r="N96" s="111">
        <v>22.736111869224803</v>
      </c>
      <c r="O96" s="111">
        <v>24.572810302151858</v>
      </c>
      <c r="P96" s="111">
        <v>26.409508735078909</v>
      </c>
      <c r="Q96" s="111">
        <v>28.246207168005959</v>
      </c>
      <c r="R96" s="111">
        <v>30.08290560093301</v>
      </c>
      <c r="S96" s="111">
        <v>31.91960403386005</v>
      </c>
      <c r="T96" s="111">
        <v>33.756302466787091</v>
      </c>
      <c r="U96" s="111">
        <v>35.593000899714127</v>
      </c>
      <c r="V96" s="111">
        <v>37.396569300541152</v>
      </c>
      <c r="W96" s="111">
        <v>39.231524047568172</v>
      </c>
      <c r="X96" s="111">
        <v>41.066478794595199</v>
      </c>
      <c r="Y96" s="111">
        <v>42.901433541622211</v>
      </c>
      <c r="Z96" s="111">
        <v>44.736388288649223</v>
      </c>
      <c r="AA96" s="111">
        <v>46.571343035676236</v>
      </c>
      <c r="AB96" s="111">
        <v>48.406297782703248</v>
      </c>
      <c r="AC96" s="111">
        <v>50.241252529730247</v>
      </c>
      <c r="AD96" s="111">
        <v>52.076207276757245</v>
      </c>
      <c r="AE96" s="111">
        <v>53.911162023784243</v>
      </c>
      <c r="AF96" s="111">
        <v>55.746116770811234</v>
      </c>
      <c r="AG96" s="111">
        <v>57.581071517838218</v>
      </c>
      <c r="AH96" s="111">
        <v>59.416026264865209</v>
      </c>
      <c r="AI96" s="111">
        <v>61.250981011892186</v>
      </c>
      <c r="AJ96" s="111">
        <v>63.085935758919156</v>
      </c>
      <c r="AK96" s="111">
        <v>64.920890505946119</v>
      </c>
      <c r="AL96" s="111">
        <v>66.755845252973074</v>
      </c>
      <c r="AM96" s="111">
        <v>68.590800000000002</v>
      </c>
    </row>
    <row r="99" spans="1:39" ht="23.25" x14ac:dyDescent="0.25">
      <c r="A99" s="62" t="s">
        <v>146</v>
      </c>
    </row>
    <row r="101" spans="1:39" outlineLevel="1" x14ac:dyDescent="0.25">
      <c r="A101" s="3" t="s">
        <v>174</v>
      </c>
      <c r="B101" s="47">
        <v>2013</v>
      </c>
      <c r="C101" s="47">
        <v>2014</v>
      </c>
      <c r="D101" s="47">
        <v>2015</v>
      </c>
      <c r="E101" s="47">
        <v>2016</v>
      </c>
      <c r="F101" s="47">
        <v>2017</v>
      </c>
      <c r="G101" s="47">
        <v>2018</v>
      </c>
      <c r="H101" s="47">
        <v>2019</v>
      </c>
      <c r="I101" s="47">
        <v>2020</v>
      </c>
      <c r="J101" s="47">
        <v>2021</v>
      </c>
      <c r="K101" s="47">
        <v>2022</v>
      </c>
      <c r="L101" s="47">
        <v>2023</v>
      </c>
      <c r="M101" s="47">
        <v>2024</v>
      </c>
      <c r="N101" s="47">
        <v>2025</v>
      </c>
      <c r="O101" s="47">
        <v>2026</v>
      </c>
      <c r="P101" s="47">
        <v>2027</v>
      </c>
      <c r="Q101" s="47">
        <v>2028</v>
      </c>
      <c r="R101" s="47">
        <v>2029</v>
      </c>
      <c r="S101" s="47">
        <v>2030</v>
      </c>
      <c r="T101" s="47">
        <v>2031</v>
      </c>
      <c r="U101" s="47">
        <v>2032</v>
      </c>
      <c r="V101" s="47">
        <v>2033</v>
      </c>
      <c r="W101" s="47">
        <v>2034</v>
      </c>
      <c r="X101" s="47">
        <v>2035</v>
      </c>
      <c r="Y101" s="47">
        <v>2036</v>
      </c>
      <c r="Z101" s="47">
        <v>2037</v>
      </c>
      <c r="AA101" s="47">
        <v>2038</v>
      </c>
      <c r="AB101" s="47">
        <v>2039</v>
      </c>
      <c r="AC101" s="47">
        <v>2040</v>
      </c>
      <c r="AD101" s="47">
        <v>2041</v>
      </c>
      <c r="AE101" s="47">
        <v>2042</v>
      </c>
      <c r="AF101" s="47">
        <v>2043</v>
      </c>
      <c r="AG101" s="47">
        <v>2044</v>
      </c>
      <c r="AH101" s="47">
        <v>2045</v>
      </c>
      <c r="AI101" s="47">
        <v>2046</v>
      </c>
      <c r="AJ101" s="47">
        <v>2047</v>
      </c>
      <c r="AK101" s="47">
        <v>2048</v>
      </c>
      <c r="AL101" s="47">
        <v>2049</v>
      </c>
      <c r="AM101" s="47">
        <v>2050</v>
      </c>
    </row>
    <row r="102" spans="1:39" outlineLevel="1" x14ac:dyDescent="0.25">
      <c r="A102" t="s">
        <v>170</v>
      </c>
      <c r="B102" s="49">
        <f>'Linéarisation mix'!B10*1000000</f>
        <v>68521000.000000015</v>
      </c>
      <c r="C102" s="49">
        <f>'Linéarisation mix'!C10*1000000</f>
        <v>68324868.051573172</v>
      </c>
      <c r="D102" s="49">
        <f>'Linéarisation mix'!D10*1000000</f>
        <v>68128736.103146344</v>
      </c>
      <c r="E102" s="49">
        <f>'Linéarisation mix'!E10*1000000</f>
        <v>67932604.154719487</v>
      </c>
      <c r="F102" s="49">
        <f>'Linéarisation mix'!F10*1000000</f>
        <v>67736472.206292614</v>
      </c>
      <c r="G102" s="49">
        <f>'Linéarisation mix'!G10*1000000</f>
        <v>67540340.257865757</v>
      </c>
      <c r="H102" s="49">
        <f>'Linéarisation mix'!H10*1000000</f>
        <v>67344208.309438869</v>
      </c>
      <c r="I102" s="49">
        <f>'Linéarisation mix'!I10*1000000</f>
        <v>67148076.361011967</v>
      </c>
      <c r="J102" s="49">
        <f>'Linéarisation mix'!J10*1000000</f>
        <v>66951944.41258508</v>
      </c>
      <c r="K102" s="49">
        <f>'Linéarisation mix'!K10*1000000</f>
        <v>66755812.46415817</v>
      </c>
      <c r="L102" s="49">
        <f>'Linéarisation mix'!L10*1000000</f>
        <v>66559680.515731245</v>
      </c>
      <c r="M102" s="49">
        <f>'Linéarisation mix'!M10*1000000</f>
        <v>66363548.567304321</v>
      </c>
      <c r="N102" s="49">
        <f>'Linéarisation mix'!N10*1000000</f>
        <v>66167416.618877381</v>
      </c>
      <c r="O102" s="49">
        <f>'Linéarisation mix'!O10*1000000</f>
        <v>65971284.670450427</v>
      </c>
      <c r="P102" s="49">
        <f>'Linéarisation mix'!P10*1000000</f>
        <v>65775152.72202348</v>
      </c>
      <c r="Q102" s="49">
        <f>'Linéarisation mix'!Q10*1000000</f>
        <v>65579020.77359651</v>
      </c>
      <c r="R102" s="49">
        <f>'Linéarisation mix'!R10*1000000</f>
        <v>65382888.825169541</v>
      </c>
      <c r="S102" s="49">
        <f>'Linéarisation mix'!S10*1000000</f>
        <v>65186756.876742564</v>
      </c>
      <c r="T102" s="49">
        <f>'Linéarisation mix'!T10*1000000</f>
        <v>64990624.92831558</v>
      </c>
      <c r="U102" s="49">
        <f>'Linéarisation mix'!U10*1000000</f>
        <v>64794492.979888588</v>
      </c>
      <c r="V102" s="49">
        <f>'Linéarisation mix'!V10*1000000</f>
        <v>64598361.031461582</v>
      </c>
      <c r="W102" s="49">
        <f>'Linéarisation mix'!W10*1000000</f>
        <v>64402229.083034568</v>
      </c>
      <c r="X102" s="49">
        <f>'Linéarisation mix'!X10*1000000</f>
        <v>64206097.134607546</v>
      </c>
      <c r="Y102" s="49">
        <f>'Linéarisation mix'!Y10*1000000</f>
        <v>64009965.18618051</v>
      </c>
      <c r="Z102" s="49">
        <f>'Linéarisation mix'!Z10*1000000</f>
        <v>63813833.237753466</v>
      </c>
      <c r="AA102" s="49">
        <f>'Linéarisation mix'!AA10*1000000</f>
        <v>63617701.289326422</v>
      </c>
      <c r="AB102" s="49">
        <f>'Linéarisation mix'!AB10*1000000</f>
        <v>63421569.340899371</v>
      </c>
      <c r="AC102" s="49">
        <f>'Linéarisation mix'!AC10*1000000</f>
        <v>63225437.392472312</v>
      </c>
      <c r="AD102" s="49">
        <f>'Linéarisation mix'!AD10*1000000</f>
        <v>63029305.444045246</v>
      </c>
      <c r="AE102" s="49">
        <f>'Linéarisation mix'!AE10*1000000</f>
        <v>62833173.495618187</v>
      </c>
      <c r="AF102" s="49">
        <f>'Linéarisation mix'!AF10*1000000</f>
        <v>62637041.547191113</v>
      </c>
      <c r="AG102" s="49">
        <f>'Linéarisation mix'!AG10*1000000</f>
        <v>62440909.59876404</v>
      </c>
      <c r="AH102" s="49">
        <f>'Linéarisation mix'!AH10*1000000</f>
        <v>62244777.650336958</v>
      </c>
      <c r="AI102" s="49">
        <f>'Linéarisation mix'!AI10*1000000</f>
        <v>62048645.70190987</v>
      </c>
      <c r="AJ102" s="49">
        <f>'Linéarisation mix'!AJ10*1000000</f>
        <v>61852513.753482781</v>
      </c>
      <c r="AK102" s="49">
        <f>'Linéarisation mix'!AK10*1000000</f>
        <v>61656381.805055685</v>
      </c>
      <c r="AL102" s="49">
        <f>'Linéarisation mix'!AL10*1000000</f>
        <v>61460249.856628597</v>
      </c>
      <c r="AM102" s="49">
        <f>'Linéarisation mix'!AM10*1000000</f>
        <v>61264117.908201501</v>
      </c>
    </row>
    <row r="103" spans="1:39" outlineLevel="1" x14ac:dyDescent="0.25">
      <c r="A103" t="s">
        <v>184</v>
      </c>
      <c r="B103" s="60">
        <f>LCOE!B18</f>
        <v>75.410840013942135</v>
      </c>
      <c r="C103" s="60">
        <f>LCOE!C18</f>
        <v>74.980790601357299</v>
      </c>
      <c r="D103" s="60">
        <f>LCOE!D18</f>
        <v>74.550741188772463</v>
      </c>
      <c r="E103" s="60">
        <f>LCOE!E18</f>
        <v>74.120691776187627</v>
      </c>
      <c r="F103" s="60">
        <f>LCOE!F18</f>
        <v>73.690642363602791</v>
      </c>
      <c r="G103" s="60">
        <f>LCOE!G18</f>
        <v>73.260592951017955</v>
      </c>
      <c r="H103" s="60">
        <f>LCOE!H18</f>
        <v>72.830543538433119</v>
      </c>
      <c r="I103" s="60">
        <f>LCOE!I18</f>
        <v>72.400494125848283</v>
      </c>
      <c r="J103" s="60">
        <f>LCOE!J18</f>
        <v>71.970444713263447</v>
      </c>
      <c r="K103" s="60">
        <f>LCOE!K18</f>
        <v>71.540395300678611</v>
      </c>
      <c r="L103" s="60">
        <f>LCOE!L18</f>
        <v>71.110345888093775</v>
      </c>
      <c r="M103" s="60">
        <f>LCOE!M18</f>
        <v>70.680296475508939</v>
      </c>
      <c r="N103" s="60">
        <f>LCOE!N18</f>
        <v>70.250247062924103</v>
      </c>
      <c r="O103" s="60">
        <f>LCOE!O18</f>
        <v>69.820197650339267</v>
      </c>
      <c r="P103" s="60">
        <f>LCOE!P18</f>
        <v>69.390148237754431</v>
      </c>
      <c r="Q103" s="60">
        <f>LCOE!Q18</f>
        <v>68.960098825169595</v>
      </c>
      <c r="R103" s="60">
        <f>LCOE!R18</f>
        <v>68.530049412584759</v>
      </c>
      <c r="S103" s="60">
        <f>LCOE!S18</f>
        <v>68.099999999999994</v>
      </c>
      <c r="T103" s="60">
        <f>LCOE!T18</f>
        <v>68.099999999999994</v>
      </c>
      <c r="U103" s="60">
        <f>LCOE!U18</f>
        <v>68.099999999999994</v>
      </c>
      <c r="V103" s="60">
        <f>LCOE!V18</f>
        <v>68.099999999999994</v>
      </c>
      <c r="W103" s="60">
        <f>LCOE!W18</f>
        <v>68.099999999999994</v>
      </c>
      <c r="X103" s="60">
        <f>LCOE!X18</f>
        <v>68.099999999999994</v>
      </c>
      <c r="Y103" s="60">
        <f>LCOE!Y18</f>
        <v>68.099999999999994</v>
      </c>
      <c r="Z103" s="60">
        <f>LCOE!Z18</f>
        <v>68.099999999999994</v>
      </c>
      <c r="AA103" s="60">
        <f>LCOE!AA18</f>
        <v>68.099999999999994</v>
      </c>
      <c r="AB103" s="60">
        <f>LCOE!AB18</f>
        <v>68.099999999999994</v>
      </c>
      <c r="AC103" s="60">
        <f>LCOE!AC18</f>
        <v>68.099999999999994</v>
      </c>
      <c r="AD103" s="60">
        <f>LCOE!AD18</f>
        <v>68.099999999999994</v>
      </c>
      <c r="AE103" s="60">
        <f>LCOE!AE18</f>
        <v>68.099999999999994</v>
      </c>
      <c r="AF103" s="60">
        <f>LCOE!AF18</f>
        <v>68.099999999999994</v>
      </c>
      <c r="AG103" s="60">
        <f>LCOE!AG18</f>
        <v>68.099999999999994</v>
      </c>
      <c r="AH103" s="60">
        <f>LCOE!AH18</f>
        <v>68.099999999999994</v>
      </c>
      <c r="AI103" s="60">
        <f>LCOE!AI18</f>
        <v>68.099999999999994</v>
      </c>
      <c r="AJ103" s="60">
        <f>LCOE!AJ18</f>
        <v>68.099999999999994</v>
      </c>
      <c r="AK103" s="60">
        <f>LCOE!AK18</f>
        <v>68.099999999999994</v>
      </c>
      <c r="AL103" s="60">
        <f>LCOE!AL18</f>
        <v>68.099999999999994</v>
      </c>
      <c r="AM103" s="60">
        <f>LCOE!AM18</f>
        <v>68.099999999999994</v>
      </c>
    </row>
    <row r="104" spans="1:39" outlineLevel="1" x14ac:dyDescent="0.25">
      <c r="A104" t="s">
        <v>127</v>
      </c>
      <c r="B104" s="48">
        <v>0</v>
      </c>
      <c r="C104" s="64">
        <f t="shared" ref="C104:AM104" si="28">B104+C102-B102</f>
        <v>-196131.94842684269</v>
      </c>
      <c r="D104" s="64">
        <f t="shared" si="28"/>
        <v>-392263.89685367048</v>
      </c>
      <c r="E104" s="64">
        <f t="shared" si="28"/>
        <v>-588395.84528052807</v>
      </c>
      <c r="F104" s="64">
        <f t="shared" si="28"/>
        <v>-784527.79370740056</v>
      </c>
      <c r="G104" s="64">
        <f t="shared" si="28"/>
        <v>-980659.74213425815</v>
      </c>
      <c r="H104" s="64">
        <f t="shared" si="28"/>
        <v>-1176791.6905611455</v>
      </c>
      <c r="I104" s="64">
        <f t="shared" si="28"/>
        <v>-1372923.6389880478</v>
      </c>
      <c r="J104" s="64">
        <f t="shared" si="28"/>
        <v>-1569055.5874149352</v>
      </c>
      <c r="K104" s="64">
        <f t="shared" si="28"/>
        <v>-1765187.535841845</v>
      </c>
      <c r="L104" s="64">
        <f t="shared" si="28"/>
        <v>-1961319.4842687696</v>
      </c>
      <c r="M104" s="64">
        <f t="shared" si="28"/>
        <v>-2157451.4326956943</v>
      </c>
      <c r="N104" s="64">
        <f t="shared" si="28"/>
        <v>-2353583.3811226338</v>
      </c>
      <c r="O104" s="64">
        <f t="shared" si="28"/>
        <v>-2549715.3295495883</v>
      </c>
      <c r="P104" s="64">
        <f t="shared" si="28"/>
        <v>-2745847.2779765353</v>
      </c>
      <c r="Q104" s="64">
        <f t="shared" si="28"/>
        <v>-2941979.2264035046</v>
      </c>
      <c r="R104" s="64">
        <f t="shared" si="28"/>
        <v>-3138111.174830474</v>
      </c>
      <c r="S104" s="64">
        <f t="shared" si="28"/>
        <v>-3334243.1232574508</v>
      </c>
      <c r="T104" s="64">
        <f t="shared" si="28"/>
        <v>-3530375.071684435</v>
      </c>
      <c r="U104" s="64">
        <f t="shared" si="28"/>
        <v>-3726507.0201114267</v>
      </c>
      <c r="V104" s="64">
        <f t="shared" si="28"/>
        <v>-3922638.9685384333</v>
      </c>
      <c r="W104" s="64">
        <f t="shared" si="28"/>
        <v>-4118770.9169654474</v>
      </c>
      <c r="X104" s="64">
        <f t="shared" si="28"/>
        <v>-4314902.8653924689</v>
      </c>
      <c r="Y104" s="64">
        <f t="shared" si="28"/>
        <v>-4511034.8138195053</v>
      </c>
      <c r="Z104" s="64">
        <f t="shared" si="28"/>
        <v>-4707166.7622465491</v>
      </c>
      <c r="AA104" s="64">
        <f t="shared" si="28"/>
        <v>-4903298.710673593</v>
      </c>
      <c r="AB104" s="64">
        <f t="shared" si="28"/>
        <v>-5099430.6591006443</v>
      </c>
      <c r="AC104" s="64">
        <f t="shared" si="28"/>
        <v>-5295562.607527703</v>
      </c>
      <c r="AD104" s="64">
        <f t="shared" si="28"/>
        <v>-5491694.5559547693</v>
      </c>
      <c r="AE104" s="64">
        <f t="shared" si="28"/>
        <v>-5687826.504381828</v>
      </c>
      <c r="AF104" s="64">
        <f t="shared" si="28"/>
        <v>-5883958.4528089017</v>
      </c>
      <c r="AG104" s="64">
        <f t="shared" si="28"/>
        <v>-6080090.4012359753</v>
      </c>
      <c r="AH104" s="64">
        <f t="shared" si="28"/>
        <v>-6276222.3496630564</v>
      </c>
      <c r="AI104" s="64">
        <f t="shared" si="28"/>
        <v>-6472354.298090145</v>
      </c>
      <c r="AJ104" s="64">
        <f t="shared" si="28"/>
        <v>-6668486.2465172336</v>
      </c>
      <c r="AK104" s="64">
        <f t="shared" si="28"/>
        <v>-6864618.1949443296</v>
      </c>
      <c r="AL104" s="64">
        <f t="shared" si="28"/>
        <v>-7060750.1433714181</v>
      </c>
      <c r="AM104" s="64">
        <f t="shared" si="28"/>
        <v>-7256882.0917985141</v>
      </c>
    </row>
    <row r="105" spans="1:39" outlineLevel="1" x14ac:dyDescent="0.25">
      <c r="A105" t="s">
        <v>187</v>
      </c>
      <c r="B105" s="48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9"/>
      <c r="N105" s="42"/>
      <c r="O105" s="42"/>
      <c r="P105" s="42"/>
      <c r="Q105" s="42"/>
      <c r="R105" s="42"/>
      <c r="S105" s="43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9"/>
      <c r="AF105" s="49"/>
      <c r="AG105" s="49"/>
      <c r="AH105" s="49"/>
      <c r="AI105" s="49"/>
      <c r="AJ105" s="49"/>
      <c r="AK105" s="49"/>
      <c r="AL105" s="42"/>
      <c r="AM105" s="104">
        <f>AM107/AM109</f>
        <v>0.21138280208057122</v>
      </c>
    </row>
    <row r="106" spans="1:39" outlineLevel="1" x14ac:dyDescent="0.25">
      <c r="A106" t="s">
        <v>204</v>
      </c>
      <c r="B106" s="58">
        <v>30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 outlineLevel="1" x14ac:dyDescent="0.25">
      <c r="A107" t="s">
        <v>107</v>
      </c>
      <c r="B107" s="41">
        <f t="shared" ref="B107:AK107" si="29">$AM$105*B109</f>
        <v>1092.2627465017349</v>
      </c>
      <c r="C107" s="41">
        <f t="shared" si="29"/>
        <v>1088.9464936759127</v>
      </c>
      <c r="D107" s="41">
        <f t="shared" si="29"/>
        <v>1085.4404400705821</v>
      </c>
      <c r="E107" s="41">
        <f t="shared" si="29"/>
        <v>1081.7445856857423</v>
      </c>
      <c r="F107" s="41">
        <f t="shared" si="29"/>
        <v>1077.8589305213934</v>
      </c>
      <c r="G107" s="41">
        <f t="shared" si="29"/>
        <v>1073.783474577536</v>
      </c>
      <c r="H107" s="41">
        <f t="shared" si="29"/>
        <v>1069.5182178541695</v>
      </c>
      <c r="I107" s="41">
        <f t="shared" si="29"/>
        <v>1065.0631603512938</v>
      </c>
      <c r="J107" s="41">
        <f t="shared" si="29"/>
        <v>1060.4183020689097</v>
      </c>
      <c r="K107" s="41">
        <f t="shared" si="29"/>
        <v>1055.5836430070167</v>
      </c>
      <c r="L107" s="41">
        <f t="shared" si="29"/>
        <v>1050.5591831656145</v>
      </c>
      <c r="M107" s="41">
        <f t="shared" si="29"/>
        <v>1045.3449225447036</v>
      </c>
      <c r="N107" s="41">
        <f t="shared" si="29"/>
        <v>1039.9408611442841</v>
      </c>
      <c r="O107" s="41">
        <f t="shared" si="29"/>
        <v>1034.3469989643556</v>
      </c>
      <c r="P107" s="41">
        <f t="shared" si="29"/>
        <v>1028.5633360049185</v>
      </c>
      <c r="Q107" s="41">
        <f t="shared" si="29"/>
        <v>1022.5898722659721</v>
      </c>
      <c r="R107" s="41">
        <f t="shared" si="29"/>
        <v>1016.4266077475173</v>
      </c>
      <c r="S107" s="41">
        <f t="shared" si="29"/>
        <v>1010.0735424495537</v>
      </c>
      <c r="T107" s="41">
        <f t="shared" si="29"/>
        <v>1003.7204771515899</v>
      </c>
      <c r="U107" s="41">
        <f t="shared" si="29"/>
        <v>997.36741185362632</v>
      </c>
      <c r="V107" s="41">
        <f>$AM$105*V109</f>
        <v>991.01434655566186</v>
      </c>
      <c r="W107" s="41">
        <f t="shared" si="29"/>
        <v>984.66128125769774</v>
      </c>
      <c r="X107" s="41">
        <f t="shared" si="29"/>
        <v>978.30821595973327</v>
      </c>
      <c r="Y107" s="41">
        <f t="shared" si="29"/>
        <v>971.95515066176858</v>
      </c>
      <c r="Z107" s="41">
        <f t="shared" si="29"/>
        <v>965.60208536380401</v>
      </c>
      <c r="AA107" s="41">
        <f t="shared" si="29"/>
        <v>959.2490200658392</v>
      </c>
      <c r="AB107" s="41">
        <f t="shared" si="29"/>
        <v>952.89595476787429</v>
      </c>
      <c r="AC107" s="41">
        <f t="shared" si="29"/>
        <v>946.54288946990937</v>
      </c>
      <c r="AD107" s="41">
        <f t="shared" si="29"/>
        <v>940.18982417194434</v>
      </c>
      <c r="AE107" s="41">
        <f t="shared" si="29"/>
        <v>933.83675887397942</v>
      </c>
      <c r="AF107" s="41">
        <f t="shared" si="29"/>
        <v>927.4836935760145</v>
      </c>
      <c r="AG107" s="41">
        <f t="shared" si="29"/>
        <v>921.62352859494058</v>
      </c>
      <c r="AH107" s="41">
        <f t="shared" si="29"/>
        <v>916.99131521367872</v>
      </c>
      <c r="AI107" s="41">
        <f t="shared" si="29"/>
        <v>912.54890261192543</v>
      </c>
      <c r="AJ107" s="41">
        <f t="shared" si="29"/>
        <v>908.29629078968105</v>
      </c>
      <c r="AK107" s="41">
        <f t="shared" si="29"/>
        <v>904.23347974694548</v>
      </c>
      <c r="AL107" s="41">
        <f>$AM$105*AL109</f>
        <v>900.36046948371836</v>
      </c>
      <c r="AM107" s="41">
        <f>LCOE!AS18*1000*('Capacités installées'!B16+'Capacités installées'!B17)/1000000</f>
        <v>896.67726000000005</v>
      </c>
    </row>
    <row r="108" spans="1:39" outlineLevel="1" x14ac:dyDescent="0.25">
      <c r="A108" t="s">
        <v>111</v>
      </c>
      <c r="B108" s="13">
        <f t="shared" ref="B108:AM108" si="30">B109-B107</f>
        <v>4074.963422093595</v>
      </c>
      <c r="C108" s="13">
        <f t="shared" si="30"/>
        <v>4062.5912991708633</v>
      </c>
      <c r="D108" s="13">
        <f t="shared" si="30"/>
        <v>4049.5110762635272</v>
      </c>
      <c r="E108" s="13">
        <f t="shared" si="30"/>
        <v>4035.7227533715841</v>
      </c>
      <c r="F108" s="13">
        <f t="shared" si="30"/>
        <v>4021.2263304950338</v>
      </c>
      <c r="G108" s="13">
        <f t="shared" si="30"/>
        <v>4006.0218076338797</v>
      </c>
      <c r="H108" s="13">
        <f t="shared" si="30"/>
        <v>3990.1091847881185</v>
      </c>
      <c r="I108" s="13">
        <f t="shared" si="30"/>
        <v>3973.4884619577506</v>
      </c>
      <c r="J108" s="13">
        <f t="shared" si="30"/>
        <v>3956.1596391427784</v>
      </c>
      <c r="K108" s="13">
        <f t="shared" si="30"/>
        <v>3938.1227163431995</v>
      </c>
      <c r="L108" s="13">
        <f t="shared" si="30"/>
        <v>3919.377693559014</v>
      </c>
      <c r="M108" s="13">
        <f t="shared" si="30"/>
        <v>3899.9245707902237</v>
      </c>
      <c r="N108" s="13">
        <f t="shared" si="30"/>
        <v>3879.7633480368277</v>
      </c>
      <c r="O108" s="13">
        <f t="shared" si="30"/>
        <v>3858.8940252988259</v>
      </c>
      <c r="P108" s="13">
        <f t="shared" si="30"/>
        <v>3837.3166025762175</v>
      </c>
      <c r="Q108" s="13">
        <f t="shared" si="30"/>
        <v>3815.0310798690034</v>
      </c>
      <c r="R108" s="13">
        <f t="shared" si="30"/>
        <v>3792.0374571771849</v>
      </c>
      <c r="S108" s="13">
        <f t="shared" si="30"/>
        <v>3768.3357345007603</v>
      </c>
      <c r="T108" s="13">
        <f t="shared" si="30"/>
        <v>3744.6340118243352</v>
      </c>
      <c r="U108" s="13">
        <f t="shared" si="30"/>
        <v>3720.9322891479105</v>
      </c>
      <c r="V108" s="13">
        <f t="shared" si="30"/>
        <v>3697.2305664714831</v>
      </c>
      <c r="W108" s="13">
        <f t="shared" si="30"/>
        <v>3673.5288437950567</v>
      </c>
      <c r="X108" s="13">
        <f t="shared" si="30"/>
        <v>3649.8271211186293</v>
      </c>
      <c r="Y108" s="13">
        <f t="shared" si="30"/>
        <v>3626.1253984422005</v>
      </c>
      <c r="Z108" s="13">
        <f t="shared" si="30"/>
        <v>3602.4236757657727</v>
      </c>
      <c r="AA108" s="13">
        <f t="shared" si="30"/>
        <v>3578.7219530893435</v>
      </c>
      <c r="AB108" s="13">
        <f t="shared" si="30"/>
        <v>3555.0202304129143</v>
      </c>
      <c r="AC108" s="13">
        <f t="shared" si="30"/>
        <v>3531.3185077364847</v>
      </c>
      <c r="AD108" s="13">
        <f t="shared" si="30"/>
        <v>3507.616785060055</v>
      </c>
      <c r="AE108" s="13">
        <f t="shared" si="30"/>
        <v>3483.9150623836258</v>
      </c>
      <c r="AF108" s="13">
        <f t="shared" si="30"/>
        <v>3460.2133397071962</v>
      </c>
      <c r="AG108" s="13">
        <f t="shared" si="30"/>
        <v>3438.35050677456</v>
      </c>
      <c r="AH108" s="13">
        <f t="shared" si="30"/>
        <v>3421.068858972847</v>
      </c>
      <c r="AI108" s="13">
        <f t="shared" si="30"/>
        <v>3404.4953111557393</v>
      </c>
      <c r="AJ108" s="13">
        <f t="shared" si="30"/>
        <v>3388.6298633232373</v>
      </c>
      <c r="AK108" s="13">
        <f t="shared" si="30"/>
        <v>3373.4725154753405</v>
      </c>
      <c r="AL108" s="13">
        <f t="shared" si="30"/>
        <v>3359.0232676120486</v>
      </c>
      <c r="AM108" s="13">
        <f t="shared" si="30"/>
        <v>3345.2821197333628</v>
      </c>
    </row>
    <row r="109" spans="1:39" outlineLevel="1" x14ac:dyDescent="0.25">
      <c r="A109" t="s">
        <v>185</v>
      </c>
      <c r="B109" s="111">
        <v>5167.2261685953299</v>
      </c>
      <c r="C109" s="111">
        <v>5151.537792846776</v>
      </c>
      <c r="D109" s="111">
        <v>5134.9515163341093</v>
      </c>
      <c r="E109" s="111">
        <v>5117.4673390573262</v>
      </c>
      <c r="F109" s="111">
        <v>5099.0852610164275</v>
      </c>
      <c r="G109" s="111">
        <v>5079.8052822114159</v>
      </c>
      <c r="H109" s="111">
        <v>5059.627402642288</v>
      </c>
      <c r="I109" s="111">
        <v>5038.5516223090444</v>
      </c>
      <c r="J109" s="111">
        <v>5016.5779412116881</v>
      </c>
      <c r="K109" s="111">
        <v>4993.7063593502162</v>
      </c>
      <c r="L109" s="111">
        <v>4969.9368767246287</v>
      </c>
      <c r="M109" s="111">
        <v>4945.2694933349276</v>
      </c>
      <c r="N109" s="111">
        <v>4919.7042091811118</v>
      </c>
      <c r="O109" s="111">
        <v>4893.2410242631813</v>
      </c>
      <c r="P109" s="111">
        <v>4865.8799385811362</v>
      </c>
      <c r="Q109" s="111">
        <v>4837.6209521349756</v>
      </c>
      <c r="R109" s="111">
        <v>4808.4640649247021</v>
      </c>
      <c r="S109" s="111">
        <v>4778.4092769503141</v>
      </c>
      <c r="T109" s="111">
        <v>4748.3544889759251</v>
      </c>
      <c r="U109" s="111">
        <v>4718.299701001537</v>
      </c>
      <c r="V109" s="111">
        <v>4688.2449130271452</v>
      </c>
      <c r="W109" s="111">
        <v>4658.1901250527544</v>
      </c>
      <c r="X109" s="111">
        <v>4628.1353370783627</v>
      </c>
      <c r="Y109" s="111">
        <v>4598.0805491039691</v>
      </c>
      <c r="Z109" s="111">
        <v>4568.0257611295765</v>
      </c>
      <c r="AA109" s="111">
        <v>4537.9709731551829</v>
      </c>
      <c r="AB109" s="111">
        <v>4507.9161851807885</v>
      </c>
      <c r="AC109" s="111">
        <v>4477.861397206394</v>
      </c>
      <c r="AD109" s="111">
        <v>4447.8066092319996</v>
      </c>
      <c r="AE109" s="111">
        <v>4417.7518212576051</v>
      </c>
      <c r="AF109" s="111">
        <v>4387.6970332832107</v>
      </c>
      <c r="AG109" s="111">
        <v>4359.9740353695006</v>
      </c>
      <c r="AH109" s="111">
        <v>4338.0601741865257</v>
      </c>
      <c r="AI109" s="111">
        <v>4317.0442137676646</v>
      </c>
      <c r="AJ109" s="111">
        <v>4296.9261541129181</v>
      </c>
      <c r="AK109" s="111">
        <v>4277.7059952222862</v>
      </c>
      <c r="AL109" s="111">
        <v>4259.3837370957672</v>
      </c>
      <c r="AM109" s="111">
        <v>4241.9593797333628</v>
      </c>
    </row>
    <row r="112" spans="1:39" x14ac:dyDescent="0.25">
      <c r="AL112" t="s">
        <v>100</v>
      </c>
      <c r="AM112" s="13">
        <f>AM109+AM96+AM84+AM72+AM61+AM49+AM35+AM22+AM11</f>
        <v>25169.421431880801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30.140625" bestFit="1" customWidth="1"/>
    <col min="3" max="39" width="10.5703125" bestFit="1" customWidth="1"/>
  </cols>
  <sheetData>
    <row r="1" spans="1:39" x14ac:dyDescent="0.25">
      <c r="A1" s="3" t="s">
        <v>157</v>
      </c>
      <c r="B1" s="72">
        <v>2013</v>
      </c>
      <c r="C1" s="72">
        <v>2014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>
        <v>2021</v>
      </c>
      <c r="K1" s="72">
        <v>2022</v>
      </c>
      <c r="L1" s="72">
        <v>2023</v>
      </c>
      <c r="M1" s="72">
        <v>2024</v>
      </c>
      <c r="N1" s="72">
        <v>2025</v>
      </c>
      <c r="O1" s="72">
        <v>2026</v>
      </c>
      <c r="P1" s="72">
        <v>2027</v>
      </c>
      <c r="Q1" s="72">
        <v>2028</v>
      </c>
      <c r="R1" s="72">
        <v>2029</v>
      </c>
      <c r="S1" s="72">
        <v>2030</v>
      </c>
      <c r="T1" s="72">
        <v>2031</v>
      </c>
      <c r="U1" s="72">
        <v>2032</v>
      </c>
      <c r="V1" s="72">
        <v>2033</v>
      </c>
      <c r="W1" s="72">
        <v>2034</v>
      </c>
      <c r="X1" s="72">
        <v>2035</v>
      </c>
      <c r="Y1" s="72">
        <v>2036</v>
      </c>
      <c r="Z1" s="72">
        <v>2037</v>
      </c>
      <c r="AA1" s="72">
        <v>2038</v>
      </c>
      <c r="AB1" s="72">
        <v>2039</v>
      </c>
      <c r="AC1" s="72">
        <v>2040</v>
      </c>
      <c r="AD1" s="72">
        <v>2041</v>
      </c>
      <c r="AE1" s="72">
        <v>2042</v>
      </c>
      <c r="AF1" s="72">
        <v>2043</v>
      </c>
      <c r="AG1" s="72">
        <v>2044</v>
      </c>
      <c r="AH1" s="72">
        <v>2045</v>
      </c>
      <c r="AI1" s="72">
        <v>2046</v>
      </c>
      <c r="AJ1" s="72">
        <v>2047</v>
      </c>
      <c r="AK1" s="72">
        <v>2048</v>
      </c>
      <c r="AL1" s="72">
        <v>2049</v>
      </c>
      <c r="AM1" s="116">
        <v>2050</v>
      </c>
    </row>
    <row r="2" spans="1:39" x14ac:dyDescent="0.25">
      <c r="A2" t="s">
        <v>160</v>
      </c>
      <c r="B2" s="96">
        <v>15.9</v>
      </c>
      <c r="C2" s="117">
        <v>20.433265654000103</v>
      </c>
      <c r="D2" s="117">
        <v>24.966531308000203</v>
      </c>
      <c r="E2" s="117">
        <v>29.499796962000303</v>
      </c>
      <c r="F2" s="117">
        <v>34.0330626160004</v>
      </c>
      <c r="G2" s="117">
        <v>38.566328270000497</v>
      </c>
      <c r="H2" s="117">
        <v>43.099593924000587</v>
      </c>
      <c r="I2" s="117">
        <v>47.632859578000669</v>
      </c>
      <c r="J2" s="117">
        <v>52.166125232000752</v>
      </c>
      <c r="K2" s="117">
        <v>56.699390886000828</v>
      </c>
      <c r="L2" s="117">
        <v>61.232656540000903</v>
      </c>
      <c r="M2" s="117">
        <v>65.765922194000979</v>
      </c>
      <c r="N2" s="117">
        <v>70.29918784800104</v>
      </c>
      <c r="O2" s="117">
        <v>74.832453502001101</v>
      </c>
      <c r="P2" s="117">
        <v>79.365719156001148</v>
      </c>
      <c r="Q2" s="117">
        <v>83.898984810001181</v>
      </c>
      <c r="R2" s="117">
        <v>88.432250464001214</v>
      </c>
      <c r="S2" s="117">
        <v>92.965516118001233</v>
      </c>
      <c r="T2" s="117">
        <v>97.498781772001237</v>
      </c>
      <c r="U2" s="117">
        <v>102.03204742600124</v>
      </c>
      <c r="V2" s="117">
        <v>106.56531308000123</v>
      </c>
      <c r="W2" s="117">
        <v>111.09857873400121</v>
      </c>
      <c r="X2" s="117">
        <v>115.63184438800118</v>
      </c>
      <c r="Y2" s="117">
        <v>120.16511004200115</v>
      </c>
      <c r="Z2" s="117">
        <v>124.69837569600109</v>
      </c>
      <c r="AA2" s="117">
        <v>129.23164135000104</v>
      </c>
      <c r="AB2" s="117">
        <v>133.76490700400097</v>
      </c>
      <c r="AC2" s="117">
        <v>138.29817265800088</v>
      </c>
      <c r="AD2" s="117">
        <v>142.83143831200078</v>
      </c>
      <c r="AE2" s="117">
        <v>147.36470396600066</v>
      </c>
      <c r="AF2" s="117">
        <v>151.89796962000051</v>
      </c>
      <c r="AG2" s="117">
        <v>156.43123527400036</v>
      </c>
      <c r="AH2" s="117">
        <v>160.96450092800018</v>
      </c>
      <c r="AI2" s="117">
        <v>165.49776658199997</v>
      </c>
      <c r="AJ2" s="117">
        <v>170.03103223599976</v>
      </c>
      <c r="AK2" s="117">
        <v>174.56429788999952</v>
      </c>
      <c r="AL2" s="117">
        <v>179.09756354399926</v>
      </c>
      <c r="AM2" s="118">
        <v>183.63082919799899</v>
      </c>
    </row>
    <row r="3" spans="1:39" x14ac:dyDescent="0.25">
      <c r="A3" t="s">
        <v>161</v>
      </c>
      <c r="B3" s="96">
        <v>0</v>
      </c>
      <c r="C3" s="117">
        <v>0.40869479034595813</v>
      </c>
      <c r="D3" s="117">
        <v>0.81738958069191625</v>
      </c>
      <c r="E3" s="117">
        <v>1.2260843710378744</v>
      </c>
      <c r="F3" s="117">
        <v>1.6347791613838323</v>
      </c>
      <c r="G3" s="117">
        <v>2.0434739517297902</v>
      </c>
      <c r="H3" s="117">
        <v>2.4521687420757479</v>
      </c>
      <c r="I3" s="117">
        <v>2.8608635324217051</v>
      </c>
      <c r="J3" s="117">
        <v>3.2695583227676623</v>
      </c>
      <c r="K3" s="117">
        <v>3.6782531131136191</v>
      </c>
      <c r="L3" s="117">
        <v>4.0869479034595759</v>
      </c>
      <c r="M3" s="117">
        <v>4.4956426938055323</v>
      </c>
      <c r="N3" s="117">
        <v>4.9043374841514877</v>
      </c>
      <c r="O3" s="117">
        <v>5.3130322744974432</v>
      </c>
      <c r="P3" s="117">
        <v>5.7217270648433978</v>
      </c>
      <c r="Q3" s="117">
        <v>6.1304218551893515</v>
      </c>
      <c r="R3" s="117">
        <v>6.5391166455353051</v>
      </c>
      <c r="S3" s="117">
        <v>6.9478114358812579</v>
      </c>
      <c r="T3" s="117">
        <v>7.3565062262272098</v>
      </c>
      <c r="U3" s="117">
        <v>7.7652010165731618</v>
      </c>
      <c r="V3" s="117">
        <v>8.1738958069191128</v>
      </c>
      <c r="W3" s="117">
        <v>8.582590597265062</v>
      </c>
      <c r="X3" s="117">
        <v>8.9912853876110113</v>
      </c>
      <c r="Y3" s="117">
        <v>9.3999801779569587</v>
      </c>
      <c r="Z3" s="117">
        <v>9.8086749683029044</v>
      </c>
      <c r="AA3" s="117">
        <v>10.21736975864885</v>
      </c>
      <c r="AB3" s="117">
        <v>10.626064548994794</v>
      </c>
      <c r="AC3" s="117">
        <v>11.034759339340736</v>
      </c>
      <c r="AD3" s="117">
        <v>11.443454129686678</v>
      </c>
      <c r="AE3" s="117">
        <v>11.852148920032619</v>
      </c>
      <c r="AF3" s="117">
        <v>12.260843710378557</v>
      </c>
      <c r="AG3" s="117">
        <v>12.669538500724496</v>
      </c>
      <c r="AH3" s="117">
        <v>13.078233291070433</v>
      </c>
      <c r="AI3" s="117">
        <v>13.486928081416368</v>
      </c>
      <c r="AJ3" s="117">
        <v>13.895622871762303</v>
      </c>
      <c r="AK3" s="117">
        <v>14.304317662108236</v>
      </c>
      <c r="AL3" s="117">
        <v>14.713012452454167</v>
      </c>
      <c r="AM3" s="118">
        <v>15.121707242800099</v>
      </c>
    </row>
    <row r="4" spans="1:39" x14ac:dyDescent="0.25">
      <c r="A4" t="s">
        <v>162</v>
      </c>
      <c r="B4" s="96">
        <v>4.5999999999999996</v>
      </c>
      <c r="C4" s="117">
        <v>5.9307863919216599</v>
      </c>
      <c r="D4" s="117">
        <v>7.2615727838433202</v>
      </c>
      <c r="E4" s="117">
        <v>8.5923591757649795</v>
      </c>
      <c r="F4" s="117">
        <v>9.9231455676866371</v>
      </c>
      <c r="G4" s="117">
        <v>11.253931959608295</v>
      </c>
      <c r="H4" s="117">
        <v>12.584718351529951</v>
      </c>
      <c r="I4" s="117">
        <v>13.915504743451605</v>
      </c>
      <c r="J4" s="117">
        <v>15.246291135373259</v>
      </c>
      <c r="K4" s="117">
        <v>16.577077527294911</v>
      </c>
      <c r="L4" s="117">
        <v>17.90786391921656</v>
      </c>
      <c r="M4" s="117">
        <v>19.238650311138205</v>
      </c>
      <c r="N4" s="117">
        <v>20.56943670305985</v>
      </c>
      <c r="O4" s="117">
        <v>21.900223094981492</v>
      </c>
      <c r="P4" s="117">
        <v>23.23100948690313</v>
      </c>
      <c r="Q4" s="117">
        <v>24.561795878824768</v>
      </c>
      <c r="R4" s="117">
        <v>25.892582270746402</v>
      </c>
      <c r="S4" s="117">
        <v>27.223368662668033</v>
      </c>
      <c r="T4" s="117">
        <v>28.554155054589664</v>
      </c>
      <c r="U4" s="117">
        <v>29.884941446511291</v>
      </c>
      <c r="V4" s="117">
        <v>31.215727838432919</v>
      </c>
      <c r="W4" s="117">
        <v>32.546514230354546</v>
      </c>
      <c r="X4" s="117">
        <v>33.877300622276167</v>
      </c>
      <c r="Y4" s="117">
        <v>35.20808701419778</v>
      </c>
      <c r="Z4" s="117">
        <v>36.538873406119393</v>
      </c>
      <c r="AA4" s="117">
        <v>37.869659798040999</v>
      </c>
      <c r="AB4" s="117">
        <v>39.200446189962598</v>
      </c>
      <c r="AC4" s="117">
        <v>40.531232581884197</v>
      </c>
      <c r="AD4" s="117">
        <v>41.862018973805789</v>
      </c>
      <c r="AE4" s="117">
        <v>43.192805365727374</v>
      </c>
      <c r="AF4" s="117">
        <v>44.523591757648958</v>
      </c>
      <c r="AG4" s="117">
        <v>45.854378149570536</v>
      </c>
      <c r="AH4" s="117">
        <v>47.185164541492107</v>
      </c>
      <c r="AI4" s="117">
        <v>48.515950933413677</v>
      </c>
      <c r="AJ4" s="117">
        <v>49.846737325335241</v>
      </c>
      <c r="AK4" s="117">
        <v>51.177523717256797</v>
      </c>
      <c r="AL4" s="117">
        <v>52.508310109178353</v>
      </c>
      <c r="AM4" s="118">
        <v>53.839096501099903</v>
      </c>
    </row>
    <row r="5" spans="1:39" x14ac:dyDescent="0.25">
      <c r="A5" t="s">
        <v>205</v>
      </c>
      <c r="B5" s="96">
        <v>1.5</v>
      </c>
      <c r="C5" s="117">
        <v>1.6764812488810923</v>
      </c>
      <c r="D5" s="117">
        <v>1.8529624977621846</v>
      </c>
      <c r="E5" s="117">
        <v>2.0294437466432766</v>
      </c>
      <c r="F5" s="117">
        <v>2.2059249955243683</v>
      </c>
      <c r="G5" s="117">
        <v>2.3824062444054595</v>
      </c>
      <c r="H5" s="117">
        <v>2.5588874932865506</v>
      </c>
      <c r="I5" s="117">
        <v>2.7353687421676414</v>
      </c>
      <c r="J5" s="117">
        <v>2.9118499910487317</v>
      </c>
      <c r="K5" s="117">
        <v>3.0883312399298219</v>
      </c>
      <c r="L5" s="117">
        <v>3.2648124888109118</v>
      </c>
      <c r="M5" s="117">
        <v>3.4412937376920012</v>
      </c>
      <c r="N5" s="117">
        <v>3.6177749865730906</v>
      </c>
      <c r="O5" s="117">
        <v>3.7942562354541796</v>
      </c>
      <c r="P5" s="117">
        <v>3.9707374843352681</v>
      </c>
      <c r="Q5" s="117">
        <v>4.1472187332163566</v>
      </c>
      <c r="R5" s="117">
        <v>4.3236999820974447</v>
      </c>
      <c r="S5" s="117">
        <v>4.5001812309785318</v>
      </c>
      <c r="T5" s="117">
        <v>4.6766624798596181</v>
      </c>
      <c r="U5" s="117">
        <v>4.8531437287407044</v>
      </c>
      <c r="V5" s="117">
        <v>5.0296249776217898</v>
      </c>
      <c r="W5" s="117">
        <v>5.2061062265028744</v>
      </c>
      <c r="X5" s="117">
        <v>5.3825874753839589</v>
      </c>
      <c r="Y5" s="117">
        <v>5.5590687242650425</v>
      </c>
      <c r="Z5" s="117">
        <v>5.7355499731461252</v>
      </c>
      <c r="AA5" s="117">
        <v>5.912031222027208</v>
      </c>
      <c r="AB5" s="117">
        <v>6.0885124709082898</v>
      </c>
      <c r="AC5" s="117">
        <v>6.2649937197893708</v>
      </c>
      <c r="AD5" s="117">
        <v>6.4414749686704518</v>
      </c>
      <c r="AE5" s="117">
        <v>6.6179562175515319</v>
      </c>
      <c r="AF5" s="117">
        <v>6.794437466432611</v>
      </c>
      <c r="AG5" s="117">
        <v>6.9709187153136902</v>
      </c>
      <c r="AH5" s="117">
        <v>7.1473999641947685</v>
      </c>
      <c r="AI5" s="117">
        <v>7.3238812130758459</v>
      </c>
      <c r="AJ5" s="117">
        <v>7.5003624619569234</v>
      </c>
      <c r="AK5" s="117">
        <v>7.6768437108379999</v>
      </c>
      <c r="AL5" s="117">
        <v>7.8533249597190755</v>
      </c>
      <c r="AM5" s="118">
        <v>8.0298062086001512</v>
      </c>
    </row>
    <row r="6" spans="1:39" x14ac:dyDescent="0.25">
      <c r="A6" t="s">
        <v>21</v>
      </c>
      <c r="B6" s="96">
        <v>2.1363670350000006</v>
      </c>
      <c r="C6" s="117">
        <v>2.1801960340540596</v>
      </c>
      <c r="D6" s="117">
        <v>2.2240250331081182</v>
      </c>
      <c r="E6" s="117">
        <v>2.2678540321621767</v>
      </c>
      <c r="F6" s="117">
        <v>2.3116830312162349</v>
      </c>
      <c r="G6" s="117">
        <v>2.355512030270293</v>
      </c>
      <c r="H6" s="117">
        <v>2.3993410293243507</v>
      </c>
      <c r="I6" s="117">
        <v>2.4431700283784079</v>
      </c>
      <c r="J6" s="117">
        <v>2.4869990274324651</v>
      </c>
      <c r="K6" s="117">
        <v>2.5308280264865219</v>
      </c>
      <c r="L6" s="117">
        <v>2.5746570255405783</v>
      </c>
      <c r="M6" s="117">
        <v>2.6184860245946346</v>
      </c>
      <c r="N6" s="117">
        <v>2.6623150236486905</v>
      </c>
      <c r="O6" s="117">
        <v>2.7061440227027465</v>
      </c>
      <c r="P6" s="117">
        <v>2.7499730217568019</v>
      </c>
      <c r="Q6" s="117">
        <v>2.7938020208108574</v>
      </c>
      <c r="R6" s="117">
        <v>2.8376310198649124</v>
      </c>
      <c r="S6" s="117">
        <v>2.881460018918967</v>
      </c>
      <c r="T6" s="117">
        <v>2.9252890179730215</v>
      </c>
      <c r="U6" s="117">
        <v>2.9691180170270757</v>
      </c>
      <c r="V6" s="117">
        <v>3.0129470160811294</v>
      </c>
      <c r="W6" s="117">
        <v>3.056776015135183</v>
      </c>
      <c r="X6" s="117">
        <v>3.1006050141892363</v>
      </c>
      <c r="Y6" s="117">
        <v>3.1444340132432891</v>
      </c>
      <c r="Z6" s="117">
        <v>3.1882630122973419</v>
      </c>
      <c r="AA6" s="117">
        <v>3.2320920113513942</v>
      </c>
      <c r="AB6" s="117">
        <v>3.2759210104054461</v>
      </c>
      <c r="AC6" s="117">
        <v>3.3197500094594981</v>
      </c>
      <c r="AD6" s="117">
        <v>3.3635790085135495</v>
      </c>
      <c r="AE6" s="117">
        <v>3.4074080075676005</v>
      </c>
      <c r="AF6" s="117">
        <v>3.4512370066216516</v>
      </c>
      <c r="AG6" s="117">
        <v>3.4950660056757021</v>
      </c>
      <c r="AH6" s="117">
        <v>3.5388950047297523</v>
      </c>
      <c r="AI6" s="117">
        <v>3.5827240037838024</v>
      </c>
      <c r="AJ6" s="117">
        <v>3.6265530028378521</v>
      </c>
      <c r="AK6" s="117">
        <v>3.6703820018919013</v>
      </c>
      <c r="AL6" s="117">
        <v>3.7142110009459506</v>
      </c>
      <c r="AM6" s="118">
        <v>3.7580399999999998</v>
      </c>
    </row>
    <row r="7" spans="1:39" x14ac:dyDescent="0.25">
      <c r="A7" t="s">
        <v>125</v>
      </c>
      <c r="B7" s="96">
        <v>1.7041322700000003</v>
      </c>
      <c r="C7" s="117">
        <v>2.2620215317973145</v>
      </c>
      <c r="D7" s="117">
        <v>2.8199107935946284</v>
      </c>
      <c r="E7" s="117">
        <v>3.3778000553919418</v>
      </c>
      <c r="F7" s="117">
        <v>3.9356893171892553</v>
      </c>
      <c r="G7" s="117">
        <v>4.4935785789865683</v>
      </c>
      <c r="H7" s="117">
        <v>5.0514678407838804</v>
      </c>
      <c r="I7" s="117">
        <v>5.6093571025811917</v>
      </c>
      <c r="J7" s="117">
        <v>6.1672463643785029</v>
      </c>
      <c r="K7" s="117">
        <v>6.7251356261758133</v>
      </c>
      <c r="L7" s="117">
        <v>7.2830248879731228</v>
      </c>
      <c r="M7" s="117">
        <v>7.8409141497704322</v>
      </c>
      <c r="N7" s="117">
        <v>8.3988034115677408</v>
      </c>
      <c r="O7" s="117">
        <v>8.9566926733650476</v>
      </c>
      <c r="P7" s="117">
        <v>9.5145819351623526</v>
      </c>
      <c r="Q7" s="117">
        <v>10.072471196959658</v>
      </c>
      <c r="R7" s="117">
        <v>10.630360458756961</v>
      </c>
      <c r="S7" s="117">
        <v>11.188249720554262</v>
      </c>
      <c r="T7" s="117">
        <v>11.746138982351564</v>
      </c>
      <c r="U7" s="117">
        <v>12.304028244148864</v>
      </c>
      <c r="V7" s="117">
        <v>12.861917505946163</v>
      </c>
      <c r="W7" s="117">
        <v>13.419806767743461</v>
      </c>
      <c r="X7" s="117">
        <v>13.977696029540759</v>
      </c>
      <c r="Y7" s="117">
        <v>14.535585291338055</v>
      </c>
      <c r="Z7" s="117">
        <v>15.09347455313535</v>
      </c>
      <c r="AA7" s="117">
        <v>15.651363814932644</v>
      </c>
      <c r="AB7" s="117">
        <v>16.209253076729937</v>
      </c>
      <c r="AC7" s="117">
        <v>16.767142338527226</v>
      </c>
      <c r="AD7" s="117">
        <v>17.325031600324515</v>
      </c>
      <c r="AE7" s="117">
        <v>17.8829208621218</v>
      </c>
      <c r="AF7" s="117">
        <v>18.440810123919082</v>
      </c>
      <c r="AG7" s="117">
        <v>18.998699385716364</v>
      </c>
      <c r="AH7" s="117">
        <v>19.556588647513642</v>
      </c>
      <c r="AI7" s="117">
        <v>20.114477909310917</v>
      </c>
      <c r="AJ7" s="117">
        <v>20.672367171108192</v>
      </c>
      <c r="AK7" s="117">
        <v>21.230256432905463</v>
      </c>
      <c r="AL7" s="117">
        <v>21.788145694702735</v>
      </c>
      <c r="AM7" s="118">
        <v>22.346034956500002</v>
      </c>
    </row>
    <row r="8" spans="1:39" x14ac:dyDescent="0.25">
      <c r="A8" t="s">
        <v>163</v>
      </c>
      <c r="B8" s="96">
        <v>68.521000000000015</v>
      </c>
      <c r="C8" s="117">
        <v>68.324868051573176</v>
      </c>
      <c r="D8" s="117">
        <v>68.128736103146338</v>
      </c>
      <c r="E8" s="117">
        <v>67.932604154719485</v>
      </c>
      <c r="F8" s="117">
        <v>67.736472206292618</v>
      </c>
      <c r="G8" s="117">
        <v>67.540340257865751</v>
      </c>
      <c r="H8" s="117">
        <v>67.344208309438869</v>
      </c>
      <c r="I8" s="117">
        <v>67.148076361011974</v>
      </c>
      <c r="J8" s="117">
        <v>66.951944412585078</v>
      </c>
      <c r="K8" s="117">
        <v>66.755812464158168</v>
      </c>
      <c r="L8" s="117">
        <v>66.559680515731245</v>
      </c>
      <c r="M8" s="117">
        <v>66.363548567304321</v>
      </c>
      <c r="N8" s="117">
        <v>66.167416618877382</v>
      </c>
      <c r="O8" s="117">
        <v>65.97128467045043</v>
      </c>
      <c r="P8" s="117">
        <v>65.775152722023478</v>
      </c>
      <c r="Q8" s="117">
        <v>65.579020773596511</v>
      </c>
      <c r="R8" s="117">
        <v>65.382888825169545</v>
      </c>
      <c r="S8" s="117">
        <v>65.186756876742564</v>
      </c>
      <c r="T8" s="117">
        <v>64.990624928315583</v>
      </c>
      <c r="U8" s="117">
        <v>64.794492979888588</v>
      </c>
      <c r="V8" s="117">
        <v>64.598361031461579</v>
      </c>
      <c r="W8" s="117">
        <v>64.40222908303457</v>
      </c>
      <c r="X8" s="117">
        <v>64.206097134607546</v>
      </c>
      <c r="Y8" s="117">
        <v>64.009965186180509</v>
      </c>
      <c r="Z8" s="117">
        <v>63.813833237753464</v>
      </c>
      <c r="AA8" s="117">
        <v>63.617701289326419</v>
      </c>
      <c r="AB8" s="117">
        <v>63.421569340899367</v>
      </c>
      <c r="AC8" s="117">
        <v>63.225437392472308</v>
      </c>
      <c r="AD8" s="117">
        <v>63.029305444045249</v>
      </c>
      <c r="AE8" s="117">
        <v>62.833173495618183</v>
      </c>
      <c r="AF8" s="117">
        <v>62.63704154719111</v>
      </c>
      <c r="AG8" s="117">
        <v>62.440909598764037</v>
      </c>
      <c r="AH8" s="117">
        <v>62.244777650336957</v>
      </c>
      <c r="AI8" s="117">
        <v>62.048645701909869</v>
      </c>
      <c r="AJ8" s="117">
        <v>61.852513753482782</v>
      </c>
      <c r="AK8" s="117">
        <v>61.656381805055688</v>
      </c>
      <c r="AL8" s="117">
        <v>61.460249856628593</v>
      </c>
      <c r="AM8" s="118">
        <v>61.264117908201499</v>
      </c>
    </row>
    <row r="9" spans="1:39" x14ac:dyDescent="0.25">
      <c r="A9" t="s">
        <v>18</v>
      </c>
      <c r="B9" s="96">
        <v>1.2025420000000004E-2</v>
      </c>
      <c r="C9" s="117">
        <v>4.3662570810811589E-2</v>
      </c>
      <c r="D9" s="117">
        <v>7.529972162162317E-2</v>
      </c>
      <c r="E9" s="117">
        <v>0.10693687243243474</v>
      </c>
      <c r="F9" s="117">
        <v>0.1385740232432463</v>
      </c>
      <c r="G9" s="117">
        <v>0.17021117405405783</v>
      </c>
      <c r="H9" s="117">
        <v>0.20184832486486937</v>
      </c>
      <c r="I9" s="117">
        <v>0.23348547567568087</v>
      </c>
      <c r="J9" s="117">
        <v>0.26512262648649237</v>
      </c>
      <c r="K9" s="117">
        <v>0.29675977729730385</v>
      </c>
      <c r="L9" s="117">
        <v>0.32839692810811527</v>
      </c>
      <c r="M9" s="117">
        <v>0.36003407891892664</v>
      </c>
      <c r="N9" s="117">
        <v>0.391671229729738</v>
      </c>
      <c r="O9" s="117">
        <v>0.42330838054054931</v>
      </c>
      <c r="P9" s="117">
        <v>0.45494553135136057</v>
      </c>
      <c r="Q9" s="117">
        <v>0.48658268216217182</v>
      </c>
      <c r="R9" s="117">
        <v>0.51821983297298302</v>
      </c>
      <c r="S9" s="117">
        <v>0.54985698378379411</v>
      </c>
      <c r="T9" s="117">
        <v>0.58149413459460508</v>
      </c>
      <c r="U9" s="117">
        <v>0.61313128540541606</v>
      </c>
      <c r="V9" s="117">
        <v>0.64476843621622693</v>
      </c>
      <c r="W9" s="117">
        <v>0.67640558702703768</v>
      </c>
      <c r="X9" s="117">
        <v>0.70804273783784843</v>
      </c>
      <c r="Y9" s="117">
        <v>0.73967988864865908</v>
      </c>
      <c r="Z9" s="117">
        <v>0.77131703945946961</v>
      </c>
      <c r="AA9" s="117">
        <v>0.80295419027028014</v>
      </c>
      <c r="AB9" s="117">
        <v>0.83459134108109057</v>
      </c>
      <c r="AC9" s="117">
        <v>0.86622849189190088</v>
      </c>
      <c r="AD9" s="117">
        <v>0.89786564270271119</v>
      </c>
      <c r="AE9" s="117">
        <v>0.92950279351352139</v>
      </c>
      <c r="AF9" s="117">
        <v>0.96113994432433159</v>
      </c>
      <c r="AG9" s="117">
        <v>0.99277709513514167</v>
      </c>
      <c r="AH9" s="117">
        <v>1.0244142459459518</v>
      </c>
      <c r="AI9" s="117">
        <v>1.0560513967567617</v>
      </c>
      <c r="AJ9" s="117">
        <v>1.0876885475675715</v>
      </c>
      <c r="AK9" s="117">
        <v>1.1193256983783813</v>
      </c>
      <c r="AL9" s="117">
        <v>1.1509628491891908</v>
      </c>
      <c r="AM9" s="118">
        <v>1.1826000000000001</v>
      </c>
    </row>
    <row r="10" spans="1:39" x14ac:dyDescent="0.25">
      <c r="A10" t="s">
        <v>164</v>
      </c>
      <c r="B10" s="96">
        <v>0.41868</v>
      </c>
      <c r="C10" s="117">
        <v>0.42044206054054112</v>
      </c>
      <c r="D10" s="117">
        <v>0.42220412108108224</v>
      </c>
      <c r="E10" s="117">
        <v>0.42396618162162336</v>
      </c>
      <c r="F10" s="117">
        <v>0.42572824216216443</v>
      </c>
      <c r="G10" s="117">
        <v>0.42749030270270544</v>
      </c>
      <c r="H10" s="117">
        <v>0.42925236324324645</v>
      </c>
      <c r="I10" s="117">
        <v>0.4310144237837874</v>
      </c>
      <c r="J10" s="117">
        <v>0.43277648432432836</v>
      </c>
      <c r="K10" s="117">
        <v>0.43453854486486926</v>
      </c>
      <c r="L10" s="117">
        <v>0.43630060540541016</v>
      </c>
      <c r="M10" s="117">
        <v>0.438062665945951</v>
      </c>
      <c r="N10" s="117">
        <v>0.43982472648649179</v>
      </c>
      <c r="O10" s="117">
        <v>0.44158678702703258</v>
      </c>
      <c r="P10" s="117">
        <v>0.44334884756757331</v>
      </c>
      <c r="Q10" s="117">
        <v>0.44511090810811399</v>
      </c>
      <c r="R10" s="117">
        <v>0.44687296864865467</v>
      </c>
      <c r="S10" s="117">
        <v>0.44863502918919529</v>
      </c>
      <c r="T10" s="117">
        <v>0.45039708972973586</v>
      </c>
      <c r="U10" s="117">
        <v>0.45215915027027642</v>
      </c>
      <c r="V10" s="117">
        <v>0.45392121081081693</v>
      </c>
      <c r="W10" s="117">
        <v>0.45568327135135739</v>
      </c>
      <c r="X10" s="117">
        <v>0.45744533189189784</v>
      </c>
      <c r="Y10" s="117">
        <v>0.45920739243243824</v>
      </c>
      <c r="Z10" s="117">
        <v>0.46096945297297859</v>
      </c>
      <c r="AA10" s="117">
        <v>0.46273151351351893</v>
      </c>
      <c r="AB10" s="117">
        <v>0.46449357405405922</v>
      </c>
      <c r="AC10" s="117">
        <v>0.46625563459459946</v>
      </c>
      <c r="AD10" s="117">
        <v>0.46801769513513969</v>
      </c>
      <c r="AE10" s="117">
        <v>0.46977975567567987</v>
      </c>
      <c r="AF10" s="117">
        <v>0.47154181621621999</v>
      </c>
      <c r="AG10" s="117">
        <v>0.47330387675676011</v>
      </c>
      <c r="AH10" s="117">
        <v>0.47506593729730018</v>
      </c>
      <c r="AI10" s="117">
        <v>0.47682799783784019</v>
      </c>
      <c r="AJ10" s="117">
        <v>0.4785900583783802</v>
      </c>
      <c r="AK10" s="117">
        <v>0.48035211891892016</v>
      </c>
      <c r="AL10" s="117">
        <v>0.48211417945946011</v>
      </c>
      <c r="AM10" s="118">
        <v>0.48387624000000001</v>
      </c>
    </row>
    <row r="11" spans="1:39" x14ac:dyDescent="0.25">
      <c r="A11" t="s">
        <v>165</v>
      </c>
      <c r="B11" s="96">
        <v>0</v>
      </c>
      <c r="C11" s="117">
        <v>5.6174944390756912E-70</v>
      </c>
      <c r="D11" s="117">
        <v>1.1154186334712917E-69</v>
      </c>
      <c r="E11" s="117">
        <v>1.657083668621029E-69</v>
      </c>
      <c r="F11" s="117">
        <v>2.182935204567438E-69</v>
      </c>
      <c r="G11" s="117">
        <v>2.6893050248935544E-69</v>
      </c>
      <c r="H11" s="117">
        <v>3.1726914085299685E-69</v>
      </c>
      <c r="I11" s="117">
        <v>3.629783116847621E-69</v>
      </c>
      <c r="J11" s="117">
        <v>4.0574818382761453E-69</v>
      </c>
      <c r="K11" s="117">
        <v>4.4529229401186081E-69</v>
      </c>
      <c r="L11" s="117">
        <v>4.8134943904893724E-69</v>
      </c>
      <c r="M11" s="117">
        <v>5.1368537274482278E-69</v>
      </c>
      <c r="N11" s="117">
        <v>5.4209429673326501E-69</v>
      </c>
      <c r="O11" s="117">
        <v>5.6640013598881771E-69</v>
      </c>
      <c r="P11" s="117">
        <v>5.8645759139473495E-69</v>
      </c>
      <c r="Q11" s="117">
        <v>6.0215296339903742E-69</v>
      </c>
      <c r="R11" s="117">
        <v>6.1340474248132219E-69</v>
      </c>
      <c r="S11" s="117">
        <v>6.2016396386076077E-69</v>
      </c>
      <c r="T11" s="117">
        <v>6.2241432558979422E-69</v>
      </c>
      <c r="U11" s="117">
        <v>6.2017207088593352E-69</v>
      </c>
      <c r="V11" s="117">
        <v>6.1348563724354611E-69</v>
      </c>
      <c r="W11" s="117">
        <v>6.02435076526564E-69</v>
      </c>
      <c r="X11" s="117">
        <v>5.8713125185994465E-69</v>
      </c>
      <c r="Y11" s="117">
        <v>5.6771481870115201E-69</v>
      </c>
      <c r="Z11" s="117">
        <v>5.4435499897202351E-69</v>
      </c>
      <c r="AA11" s="117">
        <v>5.172481585558393E-69</v>
      </c>
      <c r="AB11" s="117">
        <v>4.8661619980450677E-69</v>
      </c>
      <c r="AC11" s="117">
        <v>4.5270478194747341E-69</v>
      </c>
      <c r="AD11" s="117">
        <v>4.1578138343900802E-69</v>
      </c>
      <c r="AE11" s="117">
        <v>3.7613322131632033E-69</v>
      </c>
      <c r="AF11" s="117">
        <v>3.3406504356097385E-69</v>
      </c>
      <c r="AG11" s="117">
        <v>2.8989681125439407E-69</v>
      </c>
      <c r="AH11" s="117">
        <v>2.4396128799011955E-69</v>
      </c>
      <c r="AI11" s="117">
        <v>1.9660155454686488E-69</v>
      </c>
      <c r="AJ11" s="117">
        <v>1.4816846723450692E-69</v>
      </c>
      <c r="AK11" s="117">
        <v>9.9018078597790709E-70</v>
      </c>
      <c r="AL11" s="117">
        <v>4.9509039298895355E-70</v>
      </c>
      <c r="AM11" s="118">
        <v>0</v>
      </c>
    </row>
    <row r="12" spans="1:39" x14ac:dyDescent="0.25">
      <c r="A12" t="s">
        <v>67</v>
      </c>
      <c r="B12" s="96">
        <v>403.7</v>
      </c>
      <c r="C12" s="117">
        <v>393.98693712702925</v>
      </c>
      <c r="D12" s="117">
        <v>384.27387425405846</v>
      </c>
      <c r="E12" s="117">
        <v>374.56081138108772</v>
      </c>
      <c r="F12" s="117">
        <v>364.84774850811698</v>
      </c>
      <c r="G12" s="117">
        <v>355.1346856351463</v>
      </c>
      <c r="H12" s="117">
        <v>345.42162276217567</v>
      </c>
      <c r="I12" s="117">
        <v>335.70855988920505</v>
      </c>
      <c r="J12" s="117">
        <v>325.99549701623448</v>
      </c>
      <c r="K12" s="117">
        <v>316.28243414326397</v>
      </c>
      <c r="L12" s="117">
        <v>306.56937127029346</v>
      </c>
      <c r="M12" s="117">
        <v>296.85630839732301</v>
      </c>
      <c r="N12" s="117">
        <v>287.14324552435261</v>
      </c>
      <c r="O12" s="117">
        <v>277.43018265138221</v>
      </c>
      <c r="P12" s="117">
        <v>267.71711977841187</v>
      </c>
      <c r="Q12" s="117">
        <v>258.00405690544159</v>
      </c>
      <c r="R12" s="117">
        <v>248.29099403247133</v>
      </c>
      <c r="S12" s="117">
        <v>238.57793115950108</v>
      </c>
      <c r="T12" s="117">
        <v>228.86486828653085</v>
      </c>
      <c r="U12" s="117">
        <v>219.15180541356065</v>
      </c>
      <c r="V12" s="117">
        <v>209.43874254059045</v>
      </c>
      <c r="W12" s="117">
        <v>199.72567966762028</v>
      </c>
      <c r="X12" s="117">
        <v>190.01261679465014</v>
      </c>
      <c r="Y12" s="117">
        <v>180.29955392168</v>
      </c>
      <c r="Z12" s="117">
        <v>170.58649104870989</v>
      </c>
      <c r="AA12" s="117">
        <v>160.8734281757398</v>
      </c>
      <c r="AB12" s="117">
        <v>151.16036530276972</v>
      </c>
      <c r="AC12" s="117">
        <v>141.44730242979966</v>
      </c>
      <c r="AD12" s="117">
        <v>131.73423955682964</v>
      </c>
      <c r="AE12" s="117">
        <v>122.02117668385962</v>
      </c>
      <c r="AF12" s="117">
        <v>112.30811381088961</v>
      </c>
      <c r="AG12" s="117">
        <v>102.59505093791961</v>
      </c>
      <c r="AH12" s="117">
        <v>92.881988064949624</v>
      </c>
      <c r="AI12" s="117">
        <v>83.168925191979639</v>
      </c>
      <c r="AJ12" s="117">
        <v>73.455862319009668</v>
      </c>
      <c r="AK12" s="117">
        <v>63.742799446039712</v>
      </c>
      <c r="AL12" s="117">
        <v>54.029736573069755</v>
      </c>
      <c r="AM12" s="118">
        <v>44.316673700099805</v>
      </c>
    </row>
    <row r="13" spans="1:39" x14ac:dyDescent="0.25">
      <c r="A13" t="s">
        <v>166</v>
      </c>
      <c r="B13" s="96">
        <v>19.5</v>
      </c>
      <c r="C13" s="117">
        <v>20.137764693554026</v>
      </c>
      <c r="D13" s="117">
        <v>20.775529387108051</v>
      </c>
      <c r="E13" s="117">
        <v>21.413294080662077</v>
      </c>
      <c r="F13" s="117">
        <v>22.051058774216106</v>
      </c>
      <c r="G13" s="117">
        <v>22.688823467770135</v>
      </c>
      <c r="H13" s="117">
        <v>23.326588161324167</v>
      </c>
      <c r="I13" s="117">
        <v>23.964352854878204</v>
      </c>
      <c r="J13" s="117">
        <v>24.60211754843224</v>
      </c>
      <c r="K13" s="117">
        <v>25.23988224198628</v>
      </c>
      <c r="L13" s="117">
        <v>25.877646935540323</v>
      </c>
      <c r="M13" s="117">
        <v>26.515411629094366</v>
      </c>
      <c r="N13" s="117">
        <v>27.153176322648413</v>
      </c>
      <c r="O13" s="117">
        <v>27.790941016202463</v>
      </c>
      <c r="P13" s="117">
        <v>28.428705709756514</v>
      </c>
      <c r="Q13" s="117">
        <v>29.066470403310568</v>
      </c>
      <c r="R13" s="117">
        <v>29.704235096864625</v>
      </c>
      <c r="S13" s="117">
        <v>30.341999790418683</v>
      </c>
      <c r="T13" s="117">
        <v>30.979764483972744</v>
      </c>
      <c r="U13" s="117">
        <v>31.617529177526809</v>
      </c>
      <c r="V13" s="117">
        <v>32.255293871080873</v>
      </c>
      <c r="W13" s="117">
        <v>32.893058564634941</v>
      </c>
      <c r="X13" s="117">
        <v>33.530823258189017</v>
      </c>
      <c r="Y13" s="117">
        <v>34.168587951743099</v>
      </c>
      <c r="Z13" s="117">
        <v>34.806352645297181</v>
      </c>
      <c r="AA13" s="117">
        <v>35.444117338851271</v>
      </c>
      <c r="AB13" s="117">
        <v>36.081882032405368</v>
      </c>
      <c r="AC13" s="117">
        <v>36.719646725959464</v>
      </c>
      <c r="AD13" s="117">
        <v>37.357411419513568</v>
      </c>
      <c r="AE13" s="117">
        <v>37.995176113067679</v>
      </c>
      <c r="AF13" s="117">
        <v>38.632940806621789</v>
      </c>
      <c r="AG13" s="117">
        <v>39.270705500175907</v>
      </c>
      <c r="AH13" s="117">
        <v>39.908470193730032</v>
      </c>
      <c r="AI13" s="117">
        <v>40.546234887284157</v>
      </c>
      <c r="AJ13" s="117">
        <v>41.183999580838289</v>
      </c>
      <c r="AK13" s="117">
        <v>41.821764274392422</v>
      </c>
      <c r="AL13" s="117">
        <v>42.459528967946554</v>
      </c>
      <c r="AM13" s="118">
        <v>43.097293661500693</v>
      </c>
    </row>
    <row r="14" spans="1:39" x14ac:dyDescent="0.25">
      <c r="A14" t="s">
        <v>167</v>
      </c>
      <c r="B14" s="96">
        <v>5.4</v>
      </c>
      <c r="C14" s="117">
        <v>5.2540540540540608</v>
      </c>
      <c r="D14" s="117">
        <v>5.1081081081081212</v>
      </c>
      <c r="E14" s="117">
        <v>4.9621621621621808</v>
      </c>
      <c r="F14" s="117">
        <v>4.8162162162162403</v>
      </c>
      <c r="G14" s="117">
        <v>4.670270270270299</v>
      </c>
      <c r="H14" s="117">
        <v>4.5243243243243567</v>
      </c>
      <c r="I14" s="117">
        <v>4.3783783783784145</v>
      </c>
      <c r="J14" s="117">
        <v>4.2324324324324714</v>
      </c>
      <c r="K14" s="117">
        <v>4.0864864864865282</v>
      </c>
      <c r="L14" s="117">
        <v>3.9405405405405842</v>
      </c>
      <c r="M14" s="117">
        <v>3.7945945945946398</v>
      </c>
      <c r="N14" s="117">
        <v>3.6486486486486953</v>
      </c>
      <c r="O14" s="117">
        <v>3.5027027027027504</v>
      </c>
      <c r="P14" s="117">
        <v>3.3567567567568051</v>
      </c>
      <c r="Q14" s="117">
        <v>3.2108108108108597</v>
      </c>
      <c r="R14" s="117">
        <v>3.0648648648649139</v>
      </c>
      <c r="S14" s="117">
        <v>2.9189189189189677</v>
      </c>
      <c r="T14" s="117">
        <v>2.7729729729730215</v>
      </c>
      <c r="U14" s="117">
        <v>2.6270270270270748</v>
      </c>
      <c r="V14" s="117">
        <v>2.4810810810811277</v>
      </c>
      <c r="W14" s="117">
        <v>2.3351351351351806</v>
      </c>
      <c r="X14" s="117">
        <v>2.189189189189233</v>
      </c>
      <c r="Y14" s="117">
        <v>2.043243243243285</v>
      </c>
      <c r="Z14" s="117">
        <v>1.8972972972973368</v>
      </c>
      <c r="AA14" s="117">
        <v>1.7513513513513885</v>
      </c>
      <c r="AB14" s="117">
        <v>1.6054054054054401</v>
      </c>
      <c r="AC14" s="117">
        <v>1.4594594594594914</v>
      </c>
      <c r="AD14" s="117">
        <v>1.3135135135135427</v>
      </c>
      <c r="AE14" s="117">
        <v>1.1675675675675938</v>
      </c>
      <c r="AF14" s="117">
        <v>1.0216216216216449</v>
      </c>
      <c r="AG14" s="117">
        <v>0.87567567567569582</v>
      </c>
      <c r="AH14" s="117">
        <v>0.72972972972974659</v>
      </c>
      <c r="AI14" s="117">
        <v>0.58378378378379736</v>
      </c>
      <c r="AJ14" s="117">
        <v>0.43783783783784802</v>
      </c>
      <c r="AK14" s="117">
        <v>0.29189189189189868</v>
      </c>
      <c r="AL14" s="117">
        <v>0.14594594594594934</v>
      </c>
      <c r="AM14" s="118">
        <v>0</v>
      </c>
    </row>
    <row r="15" spans="1:39" x14ac:dyDescent="0.25">
      <c r="A15" t="s">
        <v>168</v>
      </c>
      <c r="B15" s="96">
        <v>19.8</v>
      </c>
      <c r="C15" s="117">
        <v>19.26486486486489</v>
      </c>
      <c r="D15" s="117">
        <v>18.729729729729776</v>
      </c>
      <c r="E15" s="117">
        <v>18.194594594594662</v>
      </c>
      <c r="F15" s="117">
        <v>17.659459459459544</v>
      </c>
      <c r="G15" s="117">
        <v>17.124324324324427</v>
      </c>
      <c r="H15" s="117">
        <v>16.589189189189305</v>
      </c>
      <c r="I15" s="117">
        <v>16.054054054054184</v>
      </c>
      <c r="J15" s="117">
        <v>15.518918918919059</v>
      </c>
      <c r="K15" s="117">
        <v>14.983783783783933</v>
      </c>
      <c r="L15" s="117">
        <v>14.448648648648806</v>
      </c>
      <c r="M15" s="117">
        <v>13.913513513513678</v>
      </c>
      <c r="N15" s="117">
        <v>13.378378378378548</v>
      </c>
      <c r="O15" s="117">
        <v>12.843243243243418</v>
      </c>
      <c r="P15" s="117">
        <v>12.308108108108286</v>
      </c>
      <c r="Q15" s="117">
        <v>11.772972972973152</v>
      </c>
      <c r="R15" s="117">
        <v>11.237837837838018</v>
      </c>
      <c r="S15" s="117">
        <v>10.702702702702883</v>
      </c>
      <c r="T15" s="117">
        <v>10.167567567567746</v>
      </c>
      <c r="U15" s="117">
        <v>9.6324324324326085</v>
      </c>
      <c r="V15" s="117">
        <v>9.0972972972974695</v>
      </c>
      <c r="W15" s="117">
        <v>8.5621621621623287</v>
      </c>
      <c r="X15" s="117">
        <v>8.027027027027188</v>
      </c>
      <c r="Y15" s="117">
        <v>7.4918918918920454</v>
      </c>
      <c r="Z15" s="117">
        <v>6.956756756756902</v>
      </c>
      <c r="AA15" s="117">
        <v>6.4216216216217585</v>
      </c>
      <c r="AB15" s="117">
        <v>5.8864864864866142</v>
      </c>
      <c r="AC15" s="117">
        <v>5.351351351351469</v>
      </c>
      <c r="AD15" s="117">
        <v>4.8162162162163238</v>
      </c>
      <c r="AE15" s="117">
        <v>4.2810810810811777</v>
      </c>
      <c r="AF15" s="117">
        <v>3.7459459459460311</v>
      </c>
      <c r="AG15" s="117">
        <v>3.2108108108108846</v>
      </c>
      <c r="AH15" s="117">
        <v>2.6756756756757376</v>
      </c>
      <c r="AI15" s="117">
        <v>2.1405405405405906</v>
      </c>
      <c r="AJ15" s="117">
        <v>1.6054054054054432</v>
      </c>
      <c r="AK15" s="117">
        <v>1.0702702702702955</v>
      </c>
      <c r="AL15" s="117">
        <v>0.53513513513514777</v>
      </c>
      <c r="AM15" s="118">
        <v>0</v>
      </c>
    </row>
    <row r="16" spans="1:39" ht="15.75" thickBot="1" x14ac:dyDescent="0.3">
      <c r="A16" s="85" t="s">
        <v>100</v>
      </c>
      <c r="B16" s="97">
        <v>543.1922047249999</v>
      </c>
      <c r="C16" s="97">
        <v>540.324039073427</v>
      </c>
      <c r="D16" s="97">
        <v>537.45587342185388</v>
      </c>
      <c r="E16" s="97">
        <v>534.58770777028076</v>
      </c>
      <c r="F16" s="97">
        <v>531.71954211870764</v>
      </c>
      <c r="G16" s="97">
        <v>528.85137646713451</v>
      </c>
      <c r="H16" s="97">
        <v>525.98321081556162</v>
      </c>
      <c r="I16" s="97">
        <v>523.1150451639885</v>
      </c>
      <c r="J16" s="97">
        <v>520.2468795124156</v>
      </c>
      <c r="K16" s="97">
        <v>517.37871386084259</v>
      </c>
      <c r="L16" s="97">
        <v>514.51054820926959</v>
      </c>
      <c r="M16" s="97">
        <v>511.64238255769664</v>
      </c>
      <c r="N16" s="97">
        <v>508.77421690612374</v>
      </c>
      <c r="O16" s="97">
        <v>505.9060512545509</v>
      </c>
      <c r="P16" s="97">
        <v>503.03788560297801</v>
      </c>
      <c r="Q16" s="97">
        <v>500.16971995140517</v>
      </c>
      <c r="R16" s="97">
        <v>497.30155429983228</v>
      </c>
      <c r="S16" s="97">
        <v>494.43338864825944</v>
      </c>
      <c r="T16" s="97">
        <v>491.56522299668666</v>
      </c>
      <c r="U16" s="97">
        <v>488.69705734511376</v>
      </c>
      <c r="V16" s="97">
        <v>485.82889169354087</v>
      </c>
      <c r="W16" s="97">
        <v>482.96072604196803</v>
      </c>
      <c r="X16" s="97">
        <v>480.09256039039514</v>
      </c>
      <c r="Y16" s="97">
        <v>477.22439473882235</v>
      </c>
      <c r="Z16" s="97">
        <v>474.35622908724935</v>
      </c>
      <c r="AA16" s="97">
        <v>471.48806343567657</v>
      </c>
      <c r="AB16" s="97">
        <v>468.61989778410373</v>
      </c>
      <c r="AC16" s="97">
        <v>465.75173213253078</v>
      </c>
      <c r="AD16" s="97">
        <v>462.88356648095794</v>
      </c>
      <c r="AE16" s="97">
        <v>460.01540082938499</v>
      </c>
      <c r="AF16" s="97">
        <v>457.14723517781209</v>
      </c>
      <c r="AG16" s="97">
        <v>454.27906952623914</v>
      </c>
      <c r="AH16" s="97">
        <v>451.41090387466613</v>
      </c>
      <c r="AI16" s="97">
        <v>448.54273822309329</v>
      </c>
      <c r="AJ16" s="97">
        <v>445.67457257152023</v>
      </c>
      <c r="AK16" s="97">
        <v>442.80640691994722</v>
      </c>
      <c r="AL16" s="97">
        <v>439.9382412683741</v>
      </c>
      <c r="AM16" s="119">
        <v>437.07007561680109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0:BF111"/>
  <sheetViews>
    <sheetView topLeftCell="A43" workbookViewId="0">
      <selection activeCell="AL58" sqref="AL58"/>
    </sheetView>
  </sheetViews>
  <sheetFormatPr baseColWidth="10" defaultRowHeight="15" outlineLevelRow="1" x14ac:dyDescent="0.25"/>
  <cols>
    <col min="1" max="1" width="27" bestFit="1" customWidth="1"/>
    <col min="2" max="39" width="8.140625" customWidth="1"/>
    <col min="40" max="74" width="7.5703125" customWidth="1"/>
  </cols>
  <sheetData>
    <row r="10" spans="1:39" x14ac:dyDescent="0.25">
      <c r="A10" s="3" t="s">
        <v>103</v>
      </c>
      <c r="B10" s="47">
        <v>2013</v>
      </c>
      <c r="C10" s="47">
        <v>2014</v>
      </c>
      <c r="D10" s="47">
        <v>2015</v>
      </c>
      <c r="E10" s="47">
        <v>2016</v>
      </c>
      <c r="F10" s="47">
        <v>2017</v>
      </c>
      <c r="G10" s="47">
        <v>2018</v>
      </c>
      <c r="H10" s="47">
        <v>2019</v>
      </c>
      <c r="I10" s="47">
        <v>2020</v>
      </c>
      <c r="J10" s="47">
        <v>2021</v>
      </c>
      <c r="K10" s="47">
        <v>2022</v>
      </c>
      <c r="L10" s="47">
        <v>2023</v>
      </c>
      <c r="M10" s="47">
        <v>2024</v>
      </c>
      <c r="N10" s="47">
        <v>2025</v>
      </c>
      <c r="O10" s="47">
        <v>2026</v>
      </c>
      <c r="P10" s="47">
        <v>2027</v>
      </c>
      <c r="Q10" s="47">
        <v>2028</v>
      </c>
      <c r="R10" s="47">
        <v>2029</v>
      </c>
      <c r="S10" s="47">
        <v>2030</v>
      </c>
      <c r="T10" s="47">
        <v>2031</v>
      </c>
      <c r="U10" s="47">
        <v>2032</v>
      </c>
      <c r="V10" s="47">
        <v>2033</v>
      </c>
      <c r="W10" s="47">
        <v>2034</v>
      </c>
      <c r="X10" s="47">
        <v>2035</v>
      </c>
      <c r="Y10" s="47">
        <v>2036</v>
      </c>
      <c r="Z10" s="47">
        <v>2037</v>
      </c>
      <c r="AA10" s="47">
        <v>2038</v>
      </c>
      <c r="AB10" s="47">
        <v>2039</v>
      </c>
      <c r="AC10" s="47">
        <v>2040</v>
      </c>
      <c r="AD10" s="47">
        <v>2041</v>
      </c>
      <c r="AE10" s="47">
        <v>2042</v>
      </c>
      <c r="AF10" s="47">
        <v>2043</v>
      </c>
      <c r="AG10" s="47">
        <v>2044</v>
      </c>
      <c r="AH10" s="47">
        <v>2045</v>
      </c>
      <c r="AI10" s="47">
        <v>2046</v>
      </c>
      <c r="AJ10" s="47">
        <v>2047</v>
      </c>
      <c r="AK10" s="47">
        <v>2048</v>
      </c>
      <c r="AL10" s="47">
        <v>2049</v>
      </c>
      <c r="AM10" s="47">
        <v>2050</v>
      </c>
    </row>
    <row r="11" spans="1:39" x14ac:dyDescent="0.25">
      <c r="A11" t="s">
        <v>90</v>
      </c>
      <c r="B11" s="48">
        <v>0</v>
      </c>
      <c r="C11" s="111">
        <f>B11+($Q11-$B11)/(2028-2013)</f>
        <v>144.44804971508864</v>
      </c>
      <c r="D11" s="111">
        <f t="shared" ref="D11:P11" si="0">C11+($Q11-$B11)/(2028-2013)</f>
        <v>288.89609943017729</v>
      </c>
      <c r="E11" s="111">
        <f t="shared" si="0"/>
        <v>433.34414914526593</v>
      </c>
      <c r="F11" s="111">
        <f t="shared" si="0"/>
        <v>577.79219886035457</v>
      </c>
      <c r="G11" s="111">
        <f t="shared" si="0"/>
        <v>722.24024857544327</v>
      </c>
      <c r="H11" s="111">
        <f t="shared" si="0"/>
        <v>866.68829829053197</v>
      </c>
      <c r="I11" s="111">
        <f t="shared" si="0"/>
        <v>1011.1363480056207</v>
      </c>
      <c r="J11" s="111">
        <f t="shared" si="0"/>
        <v>1155.5843977207094</v>
      </c>
      <c r="K11" s="111">
        <f t="shared" si="0"/>
        <v>1300.0324474357981</v>
      </c>
      <c r="L11" s="111">
        <f t="shared" si="0"/>
        <v>1444.4804971508868</v>
      </c>
      <c r="M11" s="111">
        <f t="shared" si="0"/>
        <v>1588.9285468659755</v>
      </c>
      <c r="N11" s="111">
        <f t="shared" si="0"/>
        <v>1733.3765965810642</v>
      </c>
      <c r="O11" s="111">
        <f t="shared" si="0"/>
        <v>1877.8246462961529</v>
      </c>
      <c r="P11" s="111">
        <f t="shared" si="0"/>
        <v>2022.2726960112416</v>
      </c>
      <c r="Q11" s="138">
        <f>'Capacités installées'!H24</f>
        <v>2166.7207457263298</v>
      </c>
      <c r="R11" s="111">
        <f>Q11+($AM11-$Q11)/(2050-2028)</f>
        <v>2431.9277776462259</v>
      </c>
      <c r="S11" s="111">
        <f t="shared" ref="S11:AL11" si="1">R11+($AM11-$Q11)/(2050-2028)</f>
        <v>2697.1348095661219</v>
      </c>
      <c r="T11" s="111">
        <f t="shared" si="1"/>
        <v>2962.341841486018</v>
      </c>
      <c r="U11" s="111">
        <f t="shared" si="1"/>
        <v>3227.548873405914</v>
      </c>
      <c r="V11" s="111">
        <f t="shared" si="1"/>
        <v>3492.7559053258101</v>
      </c>
      <c r="W11" s="111">
        <f t="shared" si="1"/>
        <v>3757.9629372457061</v>
      </c>
      <c r="X11" s="111">
        <f t="shared" si="1"/>
        <v>4023.1699691656022</v>
      </c>
      <c r="Y11" s="111">
        <f t="shared" si="1"/>
        <v>4288.3770010854978</v>
      </c>
      <c r="Z11" s="111">
        <f t="shared" si="1"/>
        <v>4553.5840330053934</v>
      </c>
      <c r="AA11" s="111">
        <f t="shared" si="1"/>
        <v>4818.791064925289</v>
      </c>
      <c r="AB11" s="111">
        <f t="shared" si="1"/>
        <v>5083.9980968451846</v>
      </c>
      <c r="AC11" s="111">
        <f t="shared" si="1"/>
        <v>5349.2051287650802</v>
      </c>
      <c r="AD11" s="111">
        <f t="shared" si="1"/>
        <v>5614.4121606849758</v>
      </c>
      <c r="AE11" s="111">
        <f t="shared" si="1"/>
        <v>5879.6191926048714</v>
      </c>
      <c r="AF11" s="111">
        <f t="shared" si="1"/>
        <v>6144.826224524767</v>
      </c>
      <c r="AG11" s="111">
        <f t="shared" si="1"/>
        <v>6410.0332564446626</v>
      </c>
      <c r="AH11" s="111">
        <f t="shared" si="1"/>
        <v>6675.2402883645582</v>
      </c>
      <c r="AI11" s="111">
        <f t="shared" si="1"/>
        <v>6940.4473202844538</v>
      </c>
      <c r="AJ11" s="111">
        <f t="shared" si="1"/>
        <v>7205.6543522043494</v>
      </c>
      <c r="AK11" s="111">
        <f t="shared" si="1"/>
        <v>7470.861384124245</v>
      </c>
      <c r="AL11" s="111">
        <f t="shared" si="1"/>
        <v>7736.0684160441406</v>
      </c>
      <c r="AM11" s="43">
        <f>'Capacités installées'!B24</f>
        <v>8001.2754479640398</v>
      </c>
    </row>
    <row r="12" spans="1:39" x14ac:dyDescent="0.25">
      <c r="A12" t="s">
        <v>110</v>
      </c>
      <c r="B12" s="33"/>
      <c r="C12" s="42">
        <f>C11-B11</f>
        <v>144.44804971508864</v>
      </c>
      <c r="D12" s="42">
        <f t="shared" ref="D12:AM12" si="2">D11-C11</f>
        <v>144.44804971508864</v>
      </c>
      <c r="E12" s="42">
        <f t="shared" si="2"/>
        <v>144.44804971508864</v>
      </c>
      <c r="F12" s="42">
        <f t="shared" si="2"/>
        <v>144.44804971508864</v>
      </c>
      <c r="G12" s="42">
        <f t="shared" si="2"/>
        <v>144.4480497150887</v>
      </c>
      <c r="H12" s="42">
        <f t="shared" si="2"/>
        <v>144.4480497150887</v>
      </c>
      <c r="I12" s="42">
        <f t="shared" si="2"/>
        <v>144.4480497150887</v>
      </c>
      <c r="J12" s="42">
        <f t="shared" si="2"/>
        <v>144.4480497150887</v>
      </c>
      <c r="K12" s="42">
        <f t="shared" si="2"/>
        <v>144.4480497150887</v>
      </c>
      <c r="L12" s="42">
        <f t="shared" si="2"/>
        <v>144.4480497150887</v>
      </c>
      <c r="M12" s="42">
        <f t="shared" si="2"/>
        <v>144.4480497150887</v>
      </c>
      <c r="N12" s="42">
        <f t="shared" si="2"/>
        <v>144.4480497150887</v>
      </c>
      <c r="O12" s="42">
        <f t="shared" si="2"/>
        <v>144.4480497150887</v>
      </c>
      <c r="P12" s="42">
        <f t="shared" si="2"/>
        <v>144.4480497150887</v>
      </c>
      <c r="Q12" s="42">
        <f t="shared" si="2"/>
        <v>144.44804971508825</v>
      </c>
      <c r="R12" s="42">
        <f t="shared" si="2"/>
        <v>265.20703191989605</v>
      </c>
      <c r="S12" s="42">
        <f t="shared" si="2"/>
        <v>265.20703191989605</v>
      </c>
      <c r="T12" s="42">
        <f t="shared" si="2"/>
        <v>265.20703191989605</v>
      </c>
      <c r="U12" s="42">
        <f t="shared" si="2"/>
        <v>265.20703191989605</v>
      </c>
      <c r="V12" s="42">
        <f t="shared" si="2"/>
        <v>265.20703191989605</v>
      </c>
      <c r="W12" s="42">
        <f t="shared" si="2"/>
        <v>265.20703191989605</v>
      </c>
      <c r="X12" s="42">
        <f t="shared" si="2"/>
        <v>265.20703191989605</v>
      </c>
      <c r="Y12" s="42">
        <f t="shared" si="2"/>
        <v>265.2070319198956</v>
      </c>
      <c r="Z12" s="42">
        <f t="shared" si="2"/>
        <v>265.2070319198956</v>
      </c>
      <c r="AA12" s="42">
        <f t="shared" si="2"/>
        <v>265.2070319198956</v>
      </c>
      <c r="AB12" s="42">
        <f t="shared" si="2"/>
        <v>265.2070319198956</v>
      </c>
      <c r="AC12" s="42">
        <f t="shared" si="2"/>
        <v>265.2070319198956</v>
      </c>
      <c r="AD12" s="42">
        <f t="shared" si="2"/>
        <v>265.2070319198956</v>
      </c>
      <c r="AE12" s="42">
        <f t="shared" si="2"/>
        <v>265.2070319198956</v>
      </c>
      <c r="AF12" s="42">
        <f t="shared" si="2"/>
        <v>265.2070319198956</v>
      </c>
      <c r="AG12" s="42">
        <f t="shared" si="2"/>
        <v>265.2070319198956</v>
      </c>
      <c r="AH12" s="42">
        <f t="shared" si="2"/>
        <v>265.2070319198956</v>
      </c>
      <c r="AI12" s="42">
        <f t="shared" si="2"/>
        <v>265.2070319198956</v>
      </c>
      <c r="AJ12" s="42">
        <f t="shared" si="2"/>
        <v>265.2070319198956</v>
      </c>
      <c r="AK12" s="42">
        <f t="shared" si="2"/>
        <v>265.2070319198956</v>
      </c>
      <c r="AL12" s="42">
        <f t="shared" si="2"/>
        <v>265.2070319198956</v>
      </c>
      <c r="AM12" s="42">
        <f t="shared" si="2"/>
        <v>265.20703191989924</v>
      </c>
    </row>
    <row r="13" spans="1:39" x14ac:dyDescent="0.25">
      <c r="A13" t="s">
        <v>106</v>
      </c>
      <c r="B13" s="46">
        <f>LCOE!AN27*1000</f>
        <v>900000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9"/>
      <c r="N13" s="42"/>
      <c r="O13" s="42"/>
      <c r="P13" s="42"/>
      <c r="Q13" s="42"/>
      <c r="R13" s="42"/>
      <c r="S13" s="43">
        <f>LCOE!AO27*1000</f>
        <v>805000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9"/>
      <c r="AF13" s="49"/>
      <c r="AG13" s="49"/>
      <c r="AH13" s="49"/>
      <c r="AI13" s="49"/>
      <c r="AJ13" s="49"/>
      <c r="AK13" s="49"/>
      <c r="AL13" s="42"/>
      <c r="AM13" s="43">
        <f>LCOE!AP27*1000</f>
        <v>753000</v>
      </c>
    </row>
    <row r="14" spans="1:39" x14ac:dyDescent="0.25">
      <c r="A14" t="s">
        <v>104</v>
      </c>
      <c r="B14" s="41">
        <f>B13*S14/S13</f>
        <v>57370.517928286856</v>
      </c>
      <c r="C14" s="13">
        <f>B14+($S14-$B14)/(2030-2013)</f>
        <v>57014.295758143897</v>
      </c>
      <c r="D14" s="13">
        <f t="shared" ref="D14:R15" si="3">C14+($S14-$B14)/(2030-2013)</f>
        <v>56658.073588000938</v>
      </c>
      <c r="E14" s="13">
        <f t="shared" si="3"/>
        <v>56301.851417857979</v>
      </c>
      <c r="F14" s="13">
        <f t="shared" si="3"/>
        <v>55945.62924771502</v>
      </c>
      <c r="G14" s="13">
        <f t="shared" si="3"/>
        <v>55589.407077572061</v>
      </c>
      <c r="H14" s="13">
        <f t="shared" si="3"/>
        <v>55233.184907429102</v>
      </c>
      <c r="I14" s="13">
        <f t="shared" si="3"/>
        <v>54876.962737286143</v>
      </c>
      <c r="J14" s="13">
        <f t="shared" si="3"/>
        <v>54520.740567143184</v>
      </c>
      <c r="K14" s="13">
        <f t="shared" si="3"/>
        <v>54164.518397000225</v>
      </c>
      <c r="L14" s="13">
        <f t="shared" si="3"/>
        <v>53808.296226857266</v>
      </c>
      <c r="M14" s="13">
        <f t="shared" si="3"/>
        <v>53452.074056714308</v>
      </c>
      <c r="N14" s="13">
        <f t="shared" si="3"/>
        <v>53095.851886571349</v>
      </c>
      <c r="O14" s="13">
        <f t="shared" si="3"/>
        <v>52739.62971642839</v>
      </c>
      <c r="P14" s="13">
        <f t="shared" si="3"/>
        <v>52383.407546285431</v>
      </c>
      <c r="Q14" s="13">
        <f t="shared" si="3"/>
        <v>52027.185376142472</v>
      </c>
      <c r="R14" s="13">
        <f t="shared" si="3"/>
        <v>51670.963205999513</v>
      </c>
      <c r="S14" s="13">
        <f>S13*AM14/AM13</f>
        <v>51314.741035856576</v>
      </c>
      <c r="T14" s="13">
        <f>S14+($AM14-$S14)/(2050-2030)</f>
        <v>51149.003984063747</v>
      </c>
      <c r="U14" s="13">
        <f t="shared" ref="U14:AL15" si="4">T14+($AM14-$S14)/(2050-2030)</f>
        <v>50983.266932270919</v>
      </c>
      <c r="V14" s="13">
        <f t="shared" si="4"/>
        <v>50817.52988047809</v>
      </c>
      <c r="W14" s="13">
        <f t="shared" si="4"/>
        <v>50651.792828685262</v>
      </c>
      <c r="X14" s="13">
        <f t="shared" si="4"/>
        <v>50486.055776892434</v>
      </c>
      <c r="Y14" s="13">
        <f t="shared" si="4"/>
        <v>50320.318725099605</v>
      </c>
      <c r="Z14" s="13">
        <f t="shared" si="4"/>
        <v>50154.581673306777</v>
      </c>
      <c r="AA14" s="13">
        <f t="shared" si="4"/>
        <v>49988.844621513948</v>
      </c>
      <c r="AB14" s="13">
        <f t="shared" si="4"/>
        <v>49823.10756972112</v>
      </c>
      <c r="AC14" s="13">
        <f t="shared" si="4"/>
        <v>49657.370517928292</v>
      </c>
      <c r="AD14" s="13">
        <f t="shared" si="4"/>
        <v>49491.633466135463</v>
      </c>
      <c r="AE14" s="13">
        <f t="shared" si="4"/>
        <v>49325.896414342635</v>
      </c>
      <c r="AF14" s="13">
        <f t="shared" si="4"/>
        <v>49160.159362549806</v>
      </c>
      <c r="AG14" s="13">
        <f t="shared" si="4"/>
        <v>48994.422310756978</v>
      </c>
      <c r="AH14" s="13">
        <f t="shared" si="4"/>
        <v>48828.685258964149</v>
      </c>
      <c r="AI14" s="13">
        <f t="shared" si="4"/>
        <v>48662.948207171321</v>
      </c>
      <c r="AJ14" s="13">
        <f t="shared" si="4"/>
        <v>48497.211155378493</v>
      </c>
      <c r="AK14" s="13">
        <f t="shared" si="4"/>
        <v>48331.474103585664</v>
      </c>
      <c r="AL14" s="13">
        <f t="shared" si="4"/>
        <v>48165.737051792836</v>
      </c>
      <c r="AM14" s="13">
        <f>LCOE!AR27*1000</f>
        <v>48000</v>
      </c>
    </row>
    <row r="15" spans="1:39" x14ac:dyDescent="0.25">
      <c r="A15" t="s">
        <v>105</v>
      </c>
      <c r="B15" s="13">
        <f>B14*S15/S14</f>
        <v>16733.067729083668</v>
      </c>
      <c r="C15" s="13">
        <f>B15+($S15-$B15)/(2030-2013)</f>
        <v>16629.169596125306</v>
      </c>
      <c r="D15" s="13">
        <f t="shared" si="3"/>
        <v>16525.271463166944</v>
      </c>
      <c r="E15" s="13">
        <f t="shared" si="3"/>
        <v>16421.373330208582</v>
      </c>
      <c r="F15" s="13">
        <f t="shared" si="3"/>
        <v>16317.47519725022</v>
      </c>
      <c r="G15" s="13">
        <f t="shared" si="3"/>
        <v>16213.577064291858</v>
      </c>
      <c r="H15" s="13">
        <f t="shared" si="3"/>
        <v>16109.678931333496</v>
      </c>
      <c r="I15" s="13">
        <f t="shared" si="3"/>
        <v>16005.780798375134</v>
      </c>
      <c r="J15" s="13">
        <f t="shared" si="3"/>
        <v>15901.882665416771</v>
      </c>
      <c r="K15" s="13">
        <f t="shared" si="3"/>
        <v>15797.984532458409</v>
      </c>
      <c r="L15" s="13">
        <f t="shared" si="3"/>
        <v>15694.086399500047</v>
      </c>
      <c r="M15" s="13">
        <f t="shared" si="3"/>
        <v>15590.188266541685</v>
      </c>
      <c r="N15" s="13">
        <f t="shared" si="3"/>
        <v>15486.290133583323</v>
      </c>
      <c r="O15" s="13">
        <f t="shared" si="3"/>
        <v>15382.392000624961</v>
      </c>
      <c r="P15" s="13">
        <f>O15+($S15-$B15)/(2030-2013)</f>
        <v>15278.493867666599</v>
      </c>
      <c r="Q15" s="13">
        <f t="shared" si="3"/>
        <v>15174.595734708237</v>
      </c>
      <c r="R15" s="13">
        <f t="shared" si="3"/>
        <v>15070.697601749875</v>
      </c>
      <c r="S15" s="13">
        <f>S14*AM15/AM14</f>
        <v>14966.799468791502</v>
      </c>
      <c r="T15" s="13">
        <f>S15+($AM15-$S15)/(2050-2030)</f>
        <v>14918.459495351926</v>
      </c>
      <c r="U15" s="13">
        <f t="shared" si="4"/>
        <v>14870.119521912351</v>
      </c>
      <c r="V15" s="13">
        <f t="shared" si="4"/>
        <v>14821.779548472776</v>
      </c>
      <c r="W15" s="13">
        <f>V15+($AM15-$S15)/(2050-2030)</f>
        <v>14773.439575033201</v>
      </c>
      <c r="X15" s="13">
        <f t="shared" si="4"/>
        <v>14725.099601593625</v>
      </c>
      <c r="Y15" s="13">
        <f t="shared" si="4"/>
        <v>14676.75962815405</v>
      </c>
      <c r="Z15" s="13">
        <f t="shared" si="4"/>
        <v>14628.419654714475</v>
      </c>
      <c r="AA15" s="13">
        <f t="shared" si="4"/>
        <v>14580.079681274899</v>
      </c>
      <c r="AB15" s="13">
        <f t="shared" si="4"/>
        <v>14531.739707835324</v>
      </c>
      <c r="AC15" s="13">
        <f t="shared" si="4"/>
        <v>14483.399734395749</v>
      </c>
      <c r="AD15" s="13">
        <f t="shared" si="4"/>
        <v>14435.059760956174</v>
      </c>
      <c r="AE15" s="13">
        <f t="shared" si="4"/>
        <v>14386.719787516598</v>
      </c>
      <c r="AF15" s="13">
        <f t="shared" si="4"/>
        <v>14338.379814077023</v>
      </c>
      <c r="AG15" s="13">
        <f t="shared" si="4"/>
        <v>14290.039840637448</v>
      </c>
      <c r="AH15" s="13">
        <f t="shared" si="4"/>
        <v>14241.699867197873</v>
      </c>
      <c r="AI15" s="13">
        <f t="shared" si="4"/>
        <v>14193.359893758297</v>
      </c>
      <c r="AJ15" s="13">
        <f t="shared" si="4"/>
        <v>14145.019920318722</v>
      </c>
      <c r="AK15" s="13">
        <f t="shared" si="4"/>
        <v>14096.679946879147</v>
      </c>
      <c r="AL15" s="13">
        <f t="shared" si="4"/>
        <v>14048.339973439572</v>
      </c>
      <c r="AM15" s="13">
        <f>LCOE!AS27*1000</f>
        <v>14000</v>
      </c>
    </row>
    <row r="16" spans="1:39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x14ac:dyDescent="0.25">
      <c r="A17" t="s">
        <v>111</v>
      </c>
      <c r="B17" s="111">
        <v>0</v>
      </c>
      <c r="C17" s="111">
        <v>8.2356038281431694</v>
      </c>
      <c r="D17" s="111">
        <v>16.419752058543917</v>
      </c>
      <c r="E17" s="111">
        <v>24.55244469120224</v>
      </c>
      <c r="F17" s="111">
        <v>32.633681726118141</v>
      </c>
      <c r="G17" s="111">
        <v>40.66346316329161</v>
      </c>
      <c r="H17" s="111">
        <v>48.641789002722646</v>
      </c>
      <c r="I17" s="111">
        <v>56.568659244411251</v>
      </c>
      <c r="J17" s="111">
        <v>64.444073888357437</v>
      </c>
      <c r="K17" s="111">
        <v>72.268032934561191</v>
      </c>
      <c r="L17" s="111">
        <v>80.040536383022499</v>
      </c>
      <c r="M17" s="111">
        <v>87.761584233741374</v>
      </c>
      <c r="N17" s="111">
        <v>95.431176486717817</v>
      </c>
      <c r="O17" s="111">
        <v>103.04931314195181</v>
      </c>
      <c r="P17" s="111">
        <v>110.61599419944338</v>
      </c>
      <c r="Q17" s="111">
        <v>118.13121965919252</v>
      </c>
      <c r="R17" s="111">
        <v>131.83472248674698</v>
      </c>
      <c r="S17" s="111">
        <v>145.44375268800428</v>
      </c>
      <c r="T17" s="111">
        <v>159.00882825525872</v>
      </c>
      <c r="U17" s="111">
        <v>172.52994918786533</v>
      </c>
      <c r="V17" s="111">
        <v>186.00711548525842</v>
      </c>
      <c r="W17" s="111">
        <v>198.52127600749424</v>
      </c>
      <c r="X17" s="111">
        <v>211.01899709750407</v>
      </c>
      <c r="Y17" s="111">
        <v>223.50027875500811</v>
      </c>
      <c r="Z17" s="111">
        <v>235.96512097983077</v>
      </c>
      <c r="AA17" s="111">
        <v>248.41352377190151</v>
      </c>
      <c r="AB17" s="111">
        <v>260.84548713125326</v>
      </c>
      <c r="AC17" s="111">
        <v>273.26101105801933</v>
      </c>
      <c r="AD17" s="111">
        <v>285.66009555242761</v>
      </c>
      <c r="AE17" s="111">
        <v>298.04274061479384</v>
      </c>
      <c r="AF17" s="111">
        <v>310.40894624551242</v>
      </c>
      <c r="AG17" s="111">
        <v>322.75871244504651</v>
      </c>
      <c r="AH17" s="111">
        <v>335.09203921391691</v>
      </c>
      <c r="AI17" s="111">
        <v>347.40892655268982</v>
      </c>
      <c r="AJ17" s="111">
        <v>359.70937446196388</v>
      </c>
      <c r="AK17" s="111">
        <v>371.99338294235753</v>
      </c>
      <c r="AL17" s="111">
        <v>383.83766444905331</v>
      </c>
      <c r="AM17" s="111">
        <v>395.68850931737575</v>
      </c>
    </row>
    <row r="18" spans="1:39" x14ac:dyDescent="0.25">
      <c r="A18" t="s">
        <v>107</v>
      </c>
      <c r="B18" s="13">
        <f>B15*B11/1000000</f>
        <v>0</v>
      </c>
      <c r="C18" s="13">
        <f t="shared" ref="C18:S18" si="5">C15*C11/1000000</f>
        <v>2.4020511165417489</v>
      </c>
      <c r="D18" s="13">
        <f t="shared" si="5"/>
        <v>4.7740864677337491</v>
      </c>
      <c r="E18" s="13">
        <f t="shared" si="5"/>
        <v>7.1161060535759999</v>
      </c>
      <c r="F18" s="13">
        <f t="shared" si="5"/>
        <v>9.4281098740685021</v>
      </c>
      <c r="G18" s="13">
        <f t="shared" si="5"/>
        <v>11.710097929211257</v>
      </c>
      <c r="H18" s="13">
        <f t="shared" si="5"/>
        <v>13.962070219004262</v>
      </c>
      <c r="I18" s="13">
        <f t="shared" si="5"/>
        <v>16.184026743447522</v>
      </c>
      <c r="J18" s="13">
        <f t="shared" si="5"/>
        <v>18.375967502541027</v>
      </c>
      <c r="K18" s="13">
        <f t="shared" si="5"/>
        <v>20.537892496284787</v>
      </c>
      <c r="L18" s="13">
        <f t="shared" si="5"/>
        <v>22.669801724678798</v>
      </c>
      <c r="M18" s="13">
        <f t="shared" si="5"/>
        <v>24.771695187723058</v>
      </c>
      <c r="N18" s="13">
        <f t="shared" si="5"/>
        <v>26.843572885417572</v>
      </c>
      <c r="O18" s="13">
        <f t="shared" si="5"/>
        <v>28.885434817762338</v>
      </c>
      <c r="P18" s="13">
        <f t="shared" si="5"/>
        <v>30.897280984757352</v>
      </c>
      <c r="Q18" s="13">
        <f t="shared" si="5"/>
        <v>32.879111386402613</v>
      </c>
      <c r="R18" s="13">
        <f t="shared" si="5"/>
        <v>36.650848126201879</v>
      </c>
      <c r="S18" s="13">
        <f t="shared" si="5"/>
        <v>40.3674758350733</v>
      </c>
      <c r="T18" s="13">
        <f t="shared" ref="T18:AM18" si="6">T15*T11/1000000</f>
        <v>44.193576773595396</v>
      </c>
      <c r="U18" s="13">
        <f t="shared" si="6"/>
        <v>47.994037510359497</v>
      </c>
      <c r="V18" s="13">
        <f t="shared" si="6"/>
        <v>51.768858045365612</v>
      </c>
      <c r="W18" s="13">
        <f t="shared" si="6"/>
        <v>55.518038378613724</v>
      </c>
      <c r="X18" s="13">
        <f t="shared" si="6"/>
        <v>59.241578510103842</v>
      </c>
      <c r="Y18" s="13">
        <f t="shared" si="6"/>
        <v>62.939478439835973</v>
      </c>
      <c r="Z18" s="13">
        <f t="shared" si="6"/>
        <v>66.611738167810103</v>
      </c>
      <c r="AA18" s="13">
        <f t="shared" si="6"/>
        <v>70.258357694026245</v>
      </c>
      <c r="AB18" s="13">
        <f t="shared" si="6"/>
        <v>73.879337018484378</v>
      </c>
      <c r="AC18" s="13">
        <f t="shared" si="6"/>
        <v>77.474676141184545</v>
      </c>
      <c r="AD18" s="13">
        <f t="shared" si="6"/>
        <v>81.04437506212669</v>
      </c>
      <c r="AE18" s="13">
        <f t="shared" si="6"/>
        <v>84.588433781310869</v>
      </c>
      <c r="AF18" s="13">
        <f t="shared" si="6"/>
        <v>88.106852298737053</v>
      </c>
      <c r="AG18" s="13">
        <f t="shared" si="6"/>
        <v>91.599630614405228</v>
      </c>
      <c r="AH18" s="13">
        <f t="shared" si="6"/>
        <v>95.066768728315409</v>
      </c>
      <c r="AI18" s="13">
        <f t="shared" si="6"/>
        <v>98.50826664046761</v>
      </c>
      <c r="AJ18" s="13">
        <f t="shared" si="6"/>
        <v>101.92412435086182</v>
      </c>
      <c r="AK18" s="13">
        <f t="shared" si="6"/>
        <v>105.31434185949804</v>
      </c>
      <c r="AL18" s="13">
        <f t="shared" si="6"/>
        <v>108.67891916637625</v>
      </c>
      <c r="AM18" s="13">
        <f t="shared" si="6"/>
        <v>112.01785627149657</v>
      </c>
    </row>
    <row r="19" spans="1:39" x14ac:dyDescent="0.25">
      <c r="A19" t="s">
        <v>112</v>
      </c>
      <c r="B19" s="13">
        <f>B18+B17</f>
        <v>0</v>
      </c>
      <c r="C19" s="13">
        <f t="shared" ref="C19:AM19" si="7">C18+C17</f>
        <v>10.637654944684918</v>
      </c>
      <c r="D19" s="13">
        <f t="shared" si="7"/>
        <v>21.193838526277666</v>
      </c>
      <c r="E19" s="13">
        <f t="shared" si="7"/>
        <v>31.668550744778241</v>
      </c>
      <c r="F19" s="13">
        <f t="shared" si="7"/>
        <v>42.061791600186645</v>
      </c>
      <c r="G19" s="13">
        <f t="shared" si="7"/>
        <v>52.373561092502868</v>
      </c>
      <c r="H19" s="13">
        <f t="shared" si="7"/>
        <v>62.603859221726907</v>
      </c>
      <c r="I19" s="13">
        <f t="shared" si="7"/>
        <v>72.752685987858769</v>
      </c>
      <c r="J19" s="13">
        <f t="shared" si="7"/>
        <v>82.820041390898467</v>
      </c>
      <c r="K19" s="13">
        <f t="shared" si="7"/>
        <v>92.805925430845974</v>
      </c>
      <c r="L19" s="13">
        <f t="shared" si="7"/>
        <v>102.71033810770129</v>
      </c>
      <c r="M19" s="13">
        <f t="shared" si="7"/>
        <v>112.53327942146443</v>
      </c>
      <c r="N19" s="13">
        <f t="shared" si="7"/>
        <v>122.27474937213539</v>
      </c>
      <c r="O19" s="13">
        <f t="shared" si="7"/>
        <v>131.93474795971414</v>
      </c>
      <c r="P19" s="13">
        <f t="shared" si="7"/>
        <v>141.51327518420072</v>
      </c>
      <c r="Q19" s="13">
        <f t="shared" si="7"/>
        <v>151.01033104559514</v>
      </c>
      <c r="R19" s="13">
        <f t="shared" si="7"/>
        <v>168.48557061294886</v>
      </c>
      <c r="S19" s="13">
        <f t="shared" si="7"/>
        <v>185.81122852307757</v>
      </c>
      <c r="T19" s="13">
        <f t="shared" si="7"/>
        <v>203.20240502885412</v>
      </c>
      <c r="U19" s="13">
        <f t="shared" si="7"/>
        <v>220.52398669822483</v>
      </c>
      <c r="V19" s="13">
        <f t="shared" si="7"/>
        <v>237.77597353062404</v>
      </c>
      <c r="W19" s="13">
        <f t="shared" si="7"/>
        <v>254.03931438610795</v>
      </c>
      <c r="X19" s="13">
        <f t="shared" si="7"/>
        <v>270.2605756076079</v>
      </c>
      <c r="Y19" s="13">
        <f t="shared" si="7"/>
        <v>286.43975719484411</v>
      </c>
      <c r="Z19" s="13">
        <f t="shared" si="7"/>
        <v>302.5768591476409</v>
      </c>
      <c r="AA19" s="13">
        <f t="shared" si="7"/>
        <v>318.67188146592775</v>
      </c>
      <c r="AB19" s="13">
        <f t="shared" si="7"/>
        <v>334.72482414973763</v>
      </c>
      <c r="AC19" s="13">
        <f t="shared" si="7"/>
        <v>350.73568719920388</v>
      </c>
      <c r="AD19" s="13">
        <f t="shared" si="7"/>
        <v>366.70447061455428</v>
      </c>
      <c r="AE19" s="13">
        <f t="shared" si="7"/>
        <v>382.63117439610471</v>
      </c>
      <c r="AF19" s="13">
        <f t="shared" si="7"/>
        <v>398.51579854424949</v>
      </c>
      <c r="AG19" s="13">
        <f t="shared" si="7"/>
        <v>414.35834305945173</v>
      </c>
      <c r="AH19" s="13">
        <f t="shared" si="7"/>
        <v>430.15880794223233</v>
      </c>
      <c r="AI19" s="13">
        <f t="shared" si="7"/>
        <v>445.91719319315746</v>
      </c>
      <c r="AJ19" s="13">
        <f t="shared" si="7"/>
        <v>461.63349881282568</v>
      </c>
      <c r="AK19" s="13">
        <f t="shared" si="7"/>
        <v>477.30772480185556</v>
      </c>
      <c r="AL19" s="13">
        <f t="shared" si="7"/>
        <v>492.51658361542957</v>
      </c>
      <c r="AM19" s="13">
        <f t="shared" si="7"/>
        <v>507.7063655888723</v>
      </c>
    </row>
    <row r="20" spans="1:39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2" spans="1:39" x14ac:dyDescent="0.25">
      <c r="A22" s="3" t="s">
        <v>29</v>
      </c>
      <c r="B22" s="47">
        <v>2013</v>
      </c>
      <c r="C22" s="47">
        <v>2014</v>
      </c>
      <c r="D22" s="47">
        <v>2015</v>
      </c>
      <c r="E22" s="47">
        <v>2016</v>
      </c>
      <c r="F22" s="47">
        <v>2017</v>
      </c>
      <c r="G22" s="47">
        <v>2018</v>
      </c>
      <c r="H22" s="47">
        <v>2019</v>
      </c>
      <c r="I22" s="47">
        <v>2020</v>
      </c>
      <c r="J22" s="47">
        <v>2021</v>
      </c>
      <c r="K22" s="47">
        <v>2022</v>
      </c>
      <c r="L22" s="47">
        <v>2023</v>
      </c>
      <c r="M22" s="47">
        <v>2024</v>
      </c>
      <c r="N22" s="47">
        <v>2025</v>
      </c>
      <c r="O22" s="47">
        <v>2026</v>
      </c>
      <c r="P22" s="47">
        <v>2027</v>
      </c>
      <c r="Q22" s="47">
        <v>2028</v>
      </c>
      <c r="R22" s="47">
        <v>2029</v>
      </c>
      <c r="S22" s="47">
        <v>2030</v>
      </c>
      <c r="T22" s="47">
        <v>2031</v>
      </c>
      <c r="U22" s="47">
        <v>2032</v>
      </c>
      <c r="V22" s="47">
        <v>2033</v>
      </c>
      <c r="W22" s="47">
        <v>2034</v>
      </c>
      <c r="X22" s="47">
        <v>2035</v>
      </c>
      <c r="Y22" s="47">
        <v>2036</v>
      </c>
      <c r="Z22" s="47">
        <v>2037</v>
      </c>
      <c r="AA22" s="47">
        <v>2038</v>
      </c>
      <c r="AB22" s="47">
        <v>2039</v>
      </c>
      <c r="AC22" s="47">
        <v>2040</v>
      </c>
      <c r="AD22" s="47">
        <v>2041</v>
      </c>
      <c r="AE22" s="47">
        <v>2042</v>
      </c>
      <c r="AF22" s="47">
        <v>2043</v>
      </c>
      <c r="AG22" s="47">
        <v>2044</v>
      </c>
      <c r="AH22" s="47">
        <v>2045</v>
      </c>
      <c r="AI22" s="47">
        <v>2046</v>
      </c>
      <c r="AJ22" s="47">
        <v>2047</v>
      </c>
      <c r="AK22" s="47">
        <v>2048</v>
      </c>
      <c r="AL22" s="47">
        <v>2049</v>
      </c>
      <c r="AM22" s="47">
        <v>2050</v>
      </c>
    </row>
    <row r="23" spans="1:39" x14ac:dyDescent="0.25">
      <c r="A23" s="51" t="s">
        <v>90</v>
      </c>
      <c r="B23" s="109">
        <v>0</v>
      </c>
      <c r="C23" s="111">
        <v>0</v>
      </c>
      <c r="D23" s="111">
        <v>0</v>
      </c>
      <c r="E23" s="111">
        <v>0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  <c r="K23" s="111">
        <v>0</v>
      </c>
      <c r="L23" s="111">
        <v>0</v>
      </c>
      <c r="M23" s="110">
        <v>0</v>
      </c>
      <c r="N23" s="111">
        <v>0</v>
      </c>
      <c r="O23" s="111">
        <v>0</v>
      </c>
      <c r="P23" s="111">
        <v>0</v>
      </c>
      <c r="Q23" s="111">
        <v>0</v>
      </c>
      <c r="R23" s="111">
        <v>0</v>
      </c>
      <c r="S23" s="111">
        <v>0</v>
      </c>
      <c r="T23" s="111">
        <v>0</v>
      </c>
      <c r="U23" s="111">
        <v>0</v>
      </c>
      <c r="V23" s="111">
        <v>0</v>
      </c>
      <c r="W23" s="111">
        <v>0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1">
        <v>0</v>
      </c>
      <c r="AI23" s="111">
        <v>0</v>
      </c>
      <c r="AJ23" s="111">
        <v>0</v>
      </c>
      <c r="AK23" s="111">
        <v>0</v>
      </c>
      <c r="AL23" s="111">
        <v>0</v>
      </c>
      <c r="AM23" s="110">
        <f>'Capacités installées'!B21</f>
        <v>112.005783547704</v>
      </c>
    </row>
    <row r="24" spans="1:39" x14ac:dyDescent="0.25">
      <c r="A24" t="s">
        <v>110</v>
      </c>
      <c r="B24" s="33"/>
      <c r="C24" s="42">
        <f t="shared" ref="C24:AM24" si="8">C23-B23</f>
        <v>0</v>
      </c>
      <c r="D24" s="42">
        <f t="shared" si="8"/>
        <v>0</v>
      </c>
      <c r="E24" s="42">
        <f t="shared" si="8"/>
        <v>0</v>
      </c>
      <c r="F24" s="42">
        <f t="shared" si="8"/>
        <v>0</v>
      </c>
      <c r="G24" s="42">
        <f t="shared" si="8"/>
        <v>0</v>
      </c>
      <c r="H24" s="42">
        <f t="shared" si="8"/>
        <v>0</v>
      </c>
      <c r="I24" s="42">
        <f t="shared" si="8"/>
        <v>0</v>
      </c>
      <c r="J24" s="42">
        <f t="shared" si="8"/>
        <v>0</v>
      </c>
      <c r="K24" s="42">
        <f t="shared" si="8"/>
        <v>0</v>
      </c>
      <c r="L24" s="42">
        <f t="shared" si="8"/>
        <v>0</v>
      </c>
      <c r="M24" s="42">
        <f t="shared" si="8"/>
        <v>0</v>
      </c>
      <c r="N24" s="42">
        <f t="shared" si="8"/>
        <v>0</v>
      </c>
      <c r="O24" s="42">
        <f t="shared" si="8"/>
        <v>0</v>
      </c>
      <c r="P24" s="42">
        <f t="shared" si="8"/>
        <v>0</v>
      </c>
      <c r="Q24" s="42">
        <f t="shared" si="8"/>
        <v>0</v>
      </c>
      <c r="R24" s="42">
        <f t="shared" si="8"/>
        <v>0</v>
      </c>
      <c r="S24" s="42">
        <f t="shared" si="8"/>
        <v>0</v>
      </c>
      <c r="T24" s="42">
        <f t="shared" si="8"/>
        <v>0</v>
      </c>
      <c r="U24" s="42">
        <f t="shared" si="8"/>
        <v>0</v>
      </c>
      <c r="V24" s="42">
        <f t="shared" si="8"/>
        <v>0</v>
      </c>
      <c r="W24" s="42">
        <f t="shared" si="8"/>
        <v>0</v>
      </c>
      <c r="X24" s="42">
        <f t="shared" si="8"/>
        <v>0</v>
      </c>
      <c r="Y24" s="42">
        <f t="shared" si="8"/>
        <v>0</v>
      </c>
      <c r="Z24" s="42">
        <f t="shared" si="8"/>
        <v>0</v>
      </c>
      <c r="AA24" s="42">
        <f t="shared" si="8"/>
        <v>0</v>
      </c>
      <c r="AB24" s="42">
        <f t="shared" si="8"/>
        <v>0</v>
      </c>
      <c r="AC24" s="42">
        <f t="shared" si="8"/>
        <v>0</v>
      </c>
      <c r="AD24" s="42">
        <f t="shared" si="8"/>
        <v>0</v>
      </c>
      <c r="AE24" s="42">
        <f t="shared" si="8"/>
        <v>0</v>
      </c>
      <c r="AF24" s="42">
        <f t="shared" si="8"/>
        <v>0</v>
      </c>
      <c r="AG24" s="42">
        <f t="shared" si="8"/>
        <v>0</v>
      </c>
      <c r="AH24" s="42">
        <f t="shared" si="8"/>
        <v>0</v>
      </c>
      <c r="AI24" s="42">
        <f t="shared" si="8"/>
        <v>0</v>
      </c>
      <c r="AJ24" s="42">
        <f t="shared" si="8"/>
        <v>0</v>
      </c>
      <c r="AK24" s="42">
        <f t="shared" si="8"/>
        <v>0</v>
      </c>
      <c r="AL24" s="42">
        <f t="shared" si="8"/>
        <v>0</v>
      </c>
      <c r="AM24" s="42">
        <f t="shared" si="8"/>
        <v>112.005783547704</v>
      </c>
    </row>
    <row r="25" spans="1:39" x14ac:dyDescent="0.25">
      <c r="A25" t="s">
        <v>106</v>
      </c>
      <c r="B25" s="46">
        <f>LCOE!AN28*1000</f>
        <v>836653.38645418326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9"/>
      <c r="N25" s="42"/>
      <c r="O25" s="42"/>
      <c r="P25" s="42"/>
      <c r="Q25" s="42"/>
      <c r="R25" s="42"/>
      <c r="S25" s="43">
        <f>LCOE!AO28*1000</f>
        <v>748339.97343957506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9"/>
      <c r="AF25" s="42"/>
      <c r="AG25" s="42"/>
      <c r="AH25" s="42"/>
      <c r="AI25" s="42"/>
      <c r="AJ25" s="42"/>
      <c r="AK25" s="49"/>
      <c r="AL25" s="42"/>
      <c r="AM25" s="43">
        <f>LCOE!AP28*1000</f>
        <v>700000</v>
      </c>
    </row>
    <row r="26" spans="1:39" x14ac:dyDescent="0.25">
      <c r="A26" t="s">
        <v>104</v>
      </c>
      <c r="B26" s="50">
        <f>B25*S26/S25</f>
        <v>50199.203187250998</v>
      </c>
      <c r="C26" s="13">
        <f>B26+($S26-$B26)/(2030-2013)</f>
        <v>49887.508788375912</v>
      </c>
      <c r="D26" s="13">
        <f t="shared" ref="D26:R27" si="9">C26+($S26-$B26)/(2030-2013)</f>
        <v>49575.814389500825</v>
      </c>
      <c r="E26" s="13">
        <f t="shared" si="9"/>
        <v>49264.119990625739</v>
      </c>
      <c r="F26" s="13">
        <f t="shared" si="9"/>
        <v>48952.425591750653</v>
      </c>
      <c r="G26" s="13">
        <f t="shared" si="9"/>
        <v>48640.731192875566</v>
      </c>
      <c r="H26" s="13">
        <f t="shared" si="9"/>
        <v>48329.03679400048</v>
      </c>
      <c r="I26" s="13">
        <f t="shared" si="9"/>
        <v>48017.342395125394</v>
      </c>
      <c r="J26" s="13">
        <f t="shared" si="9"/>
        <v>47705.647996250307</v>
      </c>
      <c r="K26" s="13">
        <f t="shared" si="9"/>
        <v>47393.953597375221</v>
      </c>
      <c r="L26" s="13">
        <f t="shared" si="9"/>
        <v>47082.259198500135</v>
      </c>
      <c r="M26" s="13">
        <f t="shared" si="9"/>
        <v>46770.564799625048</v>
      </c>
      <c r="N26" s="13">
        <f t="shared" si="9"/>
        <v>46458.870400749962</v>
      </c>
      <c r="O26" s="13">
        <f t="shared" si="9"/>
        <v>46147.176001874876</v>
      </c>
      <c r="P26" s="13">
        <f t="shared" si="9"/>
        <v>45835.481602999789</v>
      </c>
      <c r="Q26" s="13">
        <f t="shared" si="9"/>
        <v>45523.787204124703</v>
      </c>
      <c r="R26" s="13">
        <f t="shared" si="9"/>
        <v>45212.092805249617</v>
      </c>
      <c r="S26" s="13">
        <f>S25*AM26/AM25</f>
        <v>44900.398406374501</v>
      </c>
      <c r="T26" s="13">
        <f>S26+($AM26-$S26)/(2050-2030)</f>
        <v>44755.378486055779</v>
      </c>
      <c r="U26" s="13">
        <f t="shared" ref="U26:AL27" si="10">T26+($AM26-$S26)/(2050-2030)</f>
        <v>44610.358565737057</v>
      </c>
      <c r="V26" s="13">
        <f t="shared" si="10"/>
        <v>44465.338645418335</v>
      </c>
      <c r="W26" s="13">
        <f t="shared" si="10"/>
        <v>44320.318725099612</v>
      </c>
      <c r="X26" s="13">
        <f t="shared" si="10"/>
        <v>44175.29880478089</v>
      </c>
      <c r="Y26" s="13">
        <f t="shared" si="10"/>
        <v>44030.278884462168</v>
      </c>
      <c r="Z26" s="13">
        <f t="shared" si="10"/>
        <v>43885.258964143446</v>
      </c>
      <c r="AA26" s="13">
        <f t="shared" si="10"/>
        <v>43740.239043824724</v>
      </c>
      <c r="AB26" s="13">
        <f t="shared" si="10"/>
        <v>43595.219123506002</v>
      </c>
      <c r="AC26" s="13">
        <f t="shared" si="10"/>
        <v>43450.19920318728</v>
      </c>
      <c r="AD26" s="13">
        <f t="shared" si="10"/>
        <v>43305.179282868557</v>
      </c>
      <c r="AE26" s="13">
        <f t="shared" si="10"/>
        <v>43160.159362549835</v>
      </c>
      <c r="AF26" s="13">
        <f t="shared" si="10"/>
        <v>43015.139442231113</v>
      </c>
      <c r="AG26" s="13">
        <f t="shared" si="10"/>
        <v>42870.119521912391</v>
      </c>
      <c r="AH26" s="13">
        <f t="shared" si="10"/>
        <v>42725.099601593669</v>
      </c>
      <c r="AI26" s="13">
        <f t="shared" si="10"/>
        <v>42580.079681274947</v>
      </c>
      <c r="AJ26" s="13">
        <f t="shared" si="10"/>
        <v>42435.059760956225</v>
      </c>
      <c r="AK26" s="13">
        <f t="shared" si="10"/>
        <v>42290.039840637502</v>
      </c>
      <c r="AL26" s="13">
        <f t="shared" si="10"/>
        <v>42145.01992031878</v>
      </c>
      <c r="AM26" s="13">
        <f>LCOE!AR28*1000</f>
        <v>42000</v>
      </c>
    </row>
    <row r="27" spans="1:39" x14ac:dyDescent="0.25">
      <c r="A27" t="s">
        <v>105</v>
      </c>
      <c r="B27" s="13">
        <f>B26*S27/S26</f>
        <v>62151.394422310754</v>
      </c>
      <c r="C27" s="13">
        <f>B27+($S27-$B27)/(2030-2013)</f>
        <v>61765.487071322546</v>
      </c>
      <c r="D27" s="13">
        <f t="shared" si="9"/>
        <v>61379.579720334339</v>
      </c>
      <c r="E27" s="13">
        <f t="shared" si="9"/>
        <v>60993.672369346132</v>
      </c>
      <c r="F27" s="13">
        <f t="shared" si="9"/>
        <v>60607.765018357924</v>
      </c>
      <c r="G27" s="13">
        <f t="shared" si="9"/>
        <v>60221.857667369717</v>
      </c>
      <c r="H27" s="13">
        <f t="shared" si="9"/>
        <v>59835.95031638151</v>
      </c>
      <c r="I27" s="13">
        <f t="shared" si="9"/>
        <v>59450.042965393302</v>
      </c>
      <c r="J27" s="13">
        <f t="shared" si="9"/>
        <v>59064.135614405095</v>
      </c>
      <c r="K27" s="13">
        <f t="shared" si="9"/>
        <v>58678.228263416888</v>
      </c>
      <c r="L27" s="13">
        <f t="shared" si="9"/>
        <v>58292.32091242868</v>
      </c>
      <c r="M27" s="13">
        <f t="shared" si="9"/>
        <v>57906.413561440473</v>
      </c>
      <c r="N27" s="13">
        <f t="shared" si="9"/>
        <v>57520.506210452266</v>
      </c>
      <c r="O27" s="13">
        <f t="shared" si="9"/>
        <v>57134.598859464058</v>
      </c>
      <c r="P27" s="13">
        <f>O27+($S27-$B27)/(2030-2013)</f>
        <v>56748.691508475851</v>
      </c>
      <c r="Q27" s="13">
        <f t="shared" si="9"/>
        <v>56362.784157487644</v>
      </c>
      <c r="R27" s="13">
        <f t="shared" si="9"/>
        <v>55976.876806499436</v>
      </c>
      <c r="S27" s="13">
        <f>S26*AM27/AM26</f>
        <v>55590.969455511287</v>
      </c>
      <c r="T27" s="13">
        <f>S27+($AM27-$S27)/(2050-2030)</f>
        <v>55411.420982735726</v>
      </c>
      <c r="U27" s="13">
        <f t="shared" si="10"/>
        <v>55231.872509960165</v>
      </c>
      <c r="V27" s="13">
        <f t="shared" si="10"/>
        <v>55052.324037184604</v>
      </c>
      <c r="W27" s="13">
        <f>V27+($AM27-$S27)/(2050-2030)</f>
        <v>54872.775564409043</v>
      </c>
      <c r="X27" s="13">
        <f t="shared" si="10"/>
        <v>54693.227091633482</v>
      </c>
      <c r="Y27" s="13">
        <f t="shared" si="10"/>
        <v>54513.678618857921</v>
      </c>
      <c r="Z27" s="13">
        <f t="shared" si="10"/>
        <v>54334.13014608236</v>
      </c>
      <c r="AA27" s="13">
        <f t="shared" si="10"/>
        <v>54154.581673306799</v>
      </c>
      <c r="AB27" s="13">
        <f t="shared" si="10"/>
        <v>53975.033200531238</v>
      </c>
      <c r="AC27" s="13">
        <f t="shared" si="10"/>
        <v>53795.484727755676</v>
      </c>
      <c r="AD27" s="13">
        <f t="shared" si="10"/>
        <v>53615.936254980115</v>
      </c>
      <c r="AE27" s="13">
        <f t="shared" si="10"/>
        <v>53436.387782204554</v>
      </c>
      <c r="AF27" s="13">
        <f t="shared" si="10"/>
        <v>53256.839309428993</v>
      </c>
      <c r="AG27" s="13">
        <f t="shared" si="10"/>
        <v>53077.290836653432</v>
      </c>
      <c r="AH27" s="13">
        <f t="shared" si="10"/>
        <v>52897.742363877871</v>
      </c>
      <c r="AI27" s="13">
        <f t="shared" si="10"/>
        <v>52718.19389110231</v>
      </c>
      <c r="AJ27" s="13">
        <f t="shared" si="10"/>
        <v>52538.645418326749</v>
      </c>
      <c r="AK27" s="13">
        <f t="shared" si="10"/>
        <v>52359.096945551188</v>
      </c>
      <c r="AL27" s="13">
        <f t="shared" si="10"/>
        <v>52179.548472775627</v>
      </c>
      <c r="AM27" s="13">
        <f>LCOE!AS28*1000</f>
        <v>52000</v>
      </c>
    </row>
    <row r="29" spans="1:39" x14ac:dyDescent="0.25">
      <c r="A29" t="s">
        <v>111</v>
      </c>
      <c r="B29" s="13">
        <f>SUM(B33:B42)</f>
        <v>0</v>
      </c>
      <c r="C29" s="13">
        <f t="shared" ref="C29:AL29" si="11">SUM(C33:C42)</f>
        <v>0</v>
      </c>
      <c r="D29" s="13">
        <f t="shared" si="11"/>
        <v>0</v>
      </c>
      <c r="E29" s="13">
        <f t="shared" si="11"/>
        <v>0</v>
      </c>
      <c r="F29" s="13">
        <f t="shared" si="11"/>
        <v>0</v>
      </c>
      <c r="G29" s="13">
        <f t="shared" si="11"/>
        <v>0</v>
      </c>
      <c r="H29" s="13">
        <f t="shared" si="11"/>
        <v>0</v>
      </c>
      <c r="I29" s="13">
        <f t="shared" si="11"/>
        <v>0</v>
      </c>
      <c r="J29" s="13">
        <f t="shared" si="11"/>
        <v>0</v>
      </c>
      <c r="K29" s="13">
        <f t="shared" si="11"/>
        <v>0</v>
      </c>
      <c r="L29" s="13">
        <f t="shared" si="11"/>
        <v>0</v>
      </c>
      <c r="M29" s="13">
        <f t="shared" si="11"/>
        <v>0</v>
      </c>
      <c r="N29" s="13">
        <f t="shared" si="11"/>
        <v>0</v>
      </c>
      <c r="O29" s="13">
        <f t="shared" si="11"/>
        <v>0</v>
      </c>
      <c r="P29" s="13">
        <f t="shared" si="11"/>
        <v>0</v>
      </c>
      <c r="Q29" s="13">
        <f t="shared" si="11"/>
        <v>0</v>
      </c>
      <c r="R29" s="13">
        <f t="shared" si="11"/>
        <v>0</v>
      </c>
      <c r="S29" s="13">
        <f t="shared" si="11"/>
        <v>0</v>
      </c>
      <c r="T29" s="13">
        <f t="shared" si="11"/>
        <v>0</v>
      </c>
      <c r="U29" s="13">
        <f t="shared" si="11"/>
        <v>0</v>
      </c>
      <c r="V29" s="13">
        <f t="shared" si="11"/>
        <v>0</v>
      </c>
      <c r="W29" s="13">
        <f t="shared" si="11"/>
        <v>0</v>
      </c>
      <c r="X29" s="13">
        <f t="shared" si="11"/>
        <v>0</v>
      </c>
      <c r="Y29" s="13">
        <f t="shared" si="11"/>
        <v>0</v>
      </c>
      <c r="Z29" s="13">
        <f t="shared" si="11"/>
        <v>0</v>
      </c>
      <c r="AA29" s="13">
        <f t="shared" si="11"/>
        <v>0</v>
      </c>
      <c r="AB29" s="13">
        <f t="shared" si="11"/>
        <v>0</v>
      </c>
      <c r="AC29" s="13">
        <f t="shared" si="11"/>
        <v>0</v>
      </c>
      <c r="AD29" s="13">
        <f t="shared" si="11"/>
        <v>0</v>
      </c>
      <c r="AE29" s="13">
        <f t="shared" si="11"/>
        <v>0</v>
      </c>
      <c r="AF29" s="13">
        <f t="shared" si="11"/>
        <v>0</v>
      </c>
      <c r="AG29" s="13">
        <f t="shared" si="11"/>
        <v>0</v>
      </c>
      <c r="AH29" s="13">
        <f t="shared" si="11"/>
        <v>0</v>
      </c>
      <c r="AI29" s="13">
        <f t="shared" si="11"/>
        <v>0</v>
      </c>
      <c r="AJ29" s="13">
        <f t="shared" si="11"/>
        <v>0</v>
      </c>
      <c r="AK29" s="13">
        <f t="shared" si="11"/>
        <v>0</v>
      </c>
      <c r="AL29" s="13">
        <f t="shared" si="11"/>
        <v>0</v>
      </c>
      <c r="AM29" s="13">
        <f>SUM(AM33:AM42)</f>
        <v>4.7042429090035682</v>
      </c>
    </row>
    <row r="30" spans="1:39" x14ac:dyDescent="0.25">
      <c r="A30" t="s">
        <v>107</v>
      </c>
      <c r="B30" s="13">
        <f>B27*B23/1000000</f>
        <v>0</v>
      </c>
      <c r="C30" s="13">
        <f t="shared" ref="C30:S30" si="12">C27*C23/1000000</f>
        <v>0</v>
      </c>
      <c r="D30" s="13">
        <f t="shared" si="12"/>
        <v>0</v>
      </c>
      <c r="E30" s="13">
        <f t="shared" si="12"/>
        <v>0</v>
      </c>
      <c r="F30" s="13">
        <f t="shared" si="12"/>
        <v>0</v>
      </c>
      <c r="G30" s="13">
        <f t="shared" si="12"/>
        <v>0</v>
      </c>
      <c r="H30" s="13">
        <f t="shared" si="12"/>
        <v>0</v>
      </c>
      <c r="I30" s="13">
        <f t="shared" si="12"/>
        <v>0</v>
      </c>
      <c r="J30" s="13">
        <f t="shared" si="12"/>
        <v>0</v>
      </c>
      <c r="K30" s="13">
        <f t="shared" si="12"/>
        <v>0</v>
      </c>
      <c r="L30" s="13">
        <f t="shared" si="12"/>
        <v>0</v>
      </c>
      <c r="M30" s="13">
        <f t="shared" si="12"/>
        <v>0</v>
      </c>
      <c r="N30" s="13">
        <f t="shared" si="12"/>
        <v>0</v>
      </c>
      <c r="O30" s="13">
        <f t="shared" si="12"/>
        <v>0</v>
      </c>
      <c r="P30" s="13">
        <f t="shared" si="12"/>
        <v>0</v>
      </c>
      <c r="Q30" s="13">
        <f t="shared" si="12"/>
        <v>0</v>
      </c>
      <c r="R30" s="13">
        <f t="shared" si="12"/>
        <v>0</v>
      </c>
      <c r="S30" s="13">
        <f t="shared" si="12"/>
        <v>0</v>
      </c>
      <c r="T30" s="13">
        <f t="shared" ref="T30:AL30" si="13">T27*T23/1000000</f>
        <v>0</v>
      </c>
      <c r="U30" s="13">
        <f t="shared" si="13"/>
        <v>0</v>
      </c>
      <c r="V30" s="13">
        <f t="shared" si="13"/>
        <v>0</v>
      </c>
      <c r="W30" s="13">
        <f t="shared" si="13"/>
        <v>0</v>
      </c>
      <c r="X30" s="13">
        <f t="shared" si="13"/>
        <v>0</v>
      </c>
      <c r="Y30" s="13">
        <f t="shared" si="13"/>
        <v>0</v>
      </c>
      <c r="Z30" s="13">
        <f t="shared" si="13"/>
        <v>0</v>
      </c>
      <c r="AA30" s="13">
        <f t="shared" si="13"/>
        <v>0</v>
      </c>
      <c r="AB30" s="13">
        <f t="shared" si="13"/>
        <v>0</v>
      </c>
      <c r="AC30" s="13">
        <f t="shared" si="13"/>
        <v>0</v>
      </c>
      <c r="AD30" s="13">
        <f t="shared" si="13"/>
        <v>0</v>
      </c>
      <c r="AE30" s="13">
        <f t="shared" si="13"/>
        <v>0</v>
      </c>
      <c r="AF30" s="13">
        <f t="shared" si="13"/>
        <v>0</v>
      </c>
      <c r="AG30" s="13">
        <f t="shared" si="13"/>
        <v>0</v>
      </c>
      <c r="AH30" s="13">
        <f t="shared" si="13"/>
        <v>0</v>
      </c>
      <c r="AI30" s="13">
        <f t="shared" si="13"/>
        <v>0</v>
      </c>
      <c r="AJ30" s="13">
        <f t="shared" si="13"/>
        <v>0</v>
      </c>
      <c r="AK30" s="13">
        <f t="shared" si="13"/>
        <v>0</v>
      </c>
      <c r="AL30" s="13">
        <f t="shared" si="13"/>
        <v>0</v>
      </c>
      <c r="AM30" s="13">
        <f>AM27*AM23/1000000</f>
        <v>5.8243007444806079</v>
      </c>
    </row>
    <row r="31" spans="1:39" x14ac:dyDescent="0.25">
      <c r="A31" t="s">
        <v>112</v>
      </c>
      <c r="B31" s="13">
        <f t="shared" ref="B31:AM31" si="14">B30+B29</f>
        <v>0</v>
      </c>
      <c r="C31" s="13">
        <f t="shared" si="14"/>
        <v>0</v>
      </c>
      <c r="D31" s="13">
        <f t="shared" si="14"/>
        <v>0</v>
      </c>
      <c r="E31" s="13">
        <f t="shared" si="14"/>
        <v>0</v>
      </c>
      <c r="F31" s="13">
        <f t="shared" si="14"/>
        <v>0</v>
      </c>
      <c r="G31" s="13">
        <f t="shared" si="14"/>
        <v>0</v>
      </c>
      <c r="H31" s="13">
        <f t="shared" si="14"/>
        <v>0</v>
      </c>
      <c r="I31" s="13">
        <f t="shared" si="14"/>
        <v>0</v>
      </c>
      <c r="J31" s="13">
        <f t="shared" si="14"/>
        <v>0</v>
      </c>
      <c r="K31" s="13">
        <f t="shared" si="14"/>
        <v>0</v>
      </c>
      <c r="L31" s="13">
        <f t="shared" si="14"/>
        <v>0</v>
      </c>
      <c r="M31" s="13">
        <f t="shared" si="14"/>
        <v>0</v>
      </c>
      <c r="N31" s="13">
        <f t="shared" si="14"/>
        <v>0</v>
      </c>
      <c r="O31" s="13">
        <f t="shared" si="14"/>
        <v>0</v>
      </c>
      <c r="P31" s="13">
        <f t="shared" si="14"/>
        <v>0</v>
      </c>
      <c r="Q31" s="13">
        <f t="shared" si="14"/>
        <v>0</v>
      </c>
      <c r="R31" s="13">
        <f t="shared" si="14"/>
        <v>0</v>
      </c>
      <c r="S31" s="13">
        <f t="shared" si="14"/>
        <v>0</v>
      </c>
      <c r="T31" s="13">
        <f t="shared" si="14"/>
        <v>0</v>
      </c>
      <c r="U31" s="13">
        <f t="shared" si="14"/>
        <v>0</v>
      </c>
      <c r="V31" s="13">
        <f t="shared" si="14"/>
        <v>0</v>
      </c>
      <c r="W31" s="13">
        <f t="shared" si="14"/>
        <v>0</v>
      </c>
      <c r="X31" s="13">
        <f t="shared" si="14"/>
        <v>0</v>
      </c>
      <c r="Y31" s="13">
        <f t="shared" si="14"/>
        <v>0</v>
      </c>
      <c r="Z31" s="13">
        <f t="shared" si="14"/>
        <v>0</v>
      </c>
      <c r="AA31" s="13">
        <f t="shared" si="14"/>
        <v>0</v>
      </c>
      <c r="AB31" s="13">
        <f t="shared" si="14"/>
        <v>0</v>
      </c>
      <c r="AC31" s="13">
        <f t="shared" si="14"/>
        <v>0</v>
      </c>
      <c r="AD31" s="13">
        <f t="shared" si="14"/>
        <v>0</v>
      </c>
      <c r="AE31" s="13">
        <f t="shared" si="14"/>
        <v>0</v>
      </c>
      <c r="AF31" s="13">
        <f t="shared" si="14"/>
        <v>0</v>
      </c>
      <c r="AG31" s="13">
        <f t="shared" si="14"/>
        <v>0</v>
      </c>
      <c r="AH31" s="13">
        <f t="shared" si="14"/>
        <v>0</v>
      </c>
      <c r="AI31" s="13">
        <f t="shared" si="14"/>
        <v>0</v>
      </c>
      <c r="AJ31" s="13">
        <f t="shared" si="14"/>
        <v>0</v>
      </c>
      <c r="AK31" s="13">
        <f t="shared" si="14"/>
        <v>0</v>
      </c>
      <c r="AL31" s="13">
        <f t="shared" si="14"/>
        <v>0</v>
      </c>
      <c r="AM31" s="13">
        <f t="shared" si="14"/>
        <v>10.528543653484176</v>
      </c>
    </row>
    <row r="33" spans="1:58" outlineLevel="1" x14ac:dyDescent="0.25">
      <c r="A33" t="s">
        <v>108</v>
      </c>
    </row>
    <row r="34" spans="1:58" outlineLevel="1" x14ac:dyDescent="0.25">
      <c r="A34">
        <v>2042</v>
      </c>
      <c r="AE34" s="13">
        <f>$AE$24*$AE$26/1000000</f>
        <v>0</v>
      </c>
      <c r="AF34" s="13">
        <f t="shared" ref="AF34:AM34" si="15">$AE$24*$AE$26/1000000</f>
        <v>0</v>
      </c>
      <c r="AG34" s="13">
        <f t="shared" si="15"/>
        <v>0</v>
      </c>
      <c r="AH34" s="13">
        <f t="shared" si="15"/>
        <v>0</v>
      </c>
      <c r="AI34" s="13">
        <f t="shared" si="15"/>
        <v>0</v>
      </c>
      <c r="AJ34" s="13">
        <f t="shared" si="15"/>
        <v>0</v>
      </c>
      <c r="AK34" s="13">
        <f t="shared" si="15"/>
        <v>0</v>
      </c>
      <c r="AL34" s="13">
        <f t="shared" si="15"/>
        <v>0</v>
      </c>
      <c r="AM34" s="13">
        <f t="shared" si="15"/>
        <v>0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8" outlineLevel="1" x14ac:dyDescent="0.25">
      <c r="A35">
        <v>2043</v>
      </c>
      <c r="AF35" s="13">
        <f>$AF$24*$AF$26/1000000</f>
        <v>0</v>
      </c>
      <c r="AG35" s="13">
        <f t="shared" ref="AG35:AM35" si="16">$AF$24*$AF$26/1000000</f>
        <v>0</v>
      </c>
      <c r="AH35" s="13">
        <f t="shared" si="16"/>
        <v>0</v>
      </c>
      <c r="AI35" s="13">
        <f t="shared" si="16"/>
        <v>0</v>
      </c>
      <c r="AJ35" s="13">
        <f t="shared" si="16"/>
        <v>0</v>
      </c>
      <c r="AK35" s="13">
        <f t="shared" si="16"/>
        <v>0</v>
      </c>
      <c r="AL35" s="13">
        <f t="shared" si="16"/>
        <v>0</v>
      </c>
      <c r="AM35" s="13">
        <f t="shared" si="16"/>
        <v>0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</row>
    <row r="36" spans="1:58" outlineLevel="1" x14ac:dyDescent="0.25">
      <c r="A36">
        <v>2044</v>
      </c>
      <c r="AG36" s="13">
        <f>$AG$24*$AG$26/1000000</f>
        <v>0</v>
      </c>
      <c r="AH36" s="13">
        <f t="shared" ref="AH36:AM36" si="17">$AG$24*$AG$26/1000000</f>
        <v>0</v>
      </c>
      <c r="AI36" s="13">
        <f t="shared" si="17"/>
        <v>0</v>
      </c>
      <c r="AJ36" s="13">
        <f t="shared" si="17"/>
        <v>0</v>
      </c>
      <c r="AK36" s="13">
        <f t="shared" si="17"/>
        <v>0</v>
      </c>
      <c r="AL36" s="13">
        <f t="shared" si="17"/>
        <v>0</v>
      </c>
      <c r="AM36" s="13">
        <f t="shared" si="17"/>
        <v>0</v>
      </c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8" outlineLevel="1" x14ac:dyDescent="0.25">
      <c r="A37">
        <v>2045</v>
      </c>
      <c r="AH37" s="13">
        <f t="shared" ref="AH37:AM37" si="18">$AH$24*$AH$26/1000000</f>
        <v>0</v>
      </c>
      <c r="AI37" s="13">
        <f t="shared" si="18"/>
        <v>0</v>
      </c>
      <c r="AJ37" s="13">
        <f t="shared" si="18"/>
        <v>0</v>
      </c>
      <c r="AK37" s="13">
        <f t="shared" si="18"/>
        <v>0</v>
      </c>
      <c r="AL37" s="13">
        <f t="shared" si="18"/>
        <v>0</v>
      </c>
      <c r="AM37" s="13">
        <f t="shared" si="18"/>
        <v>0</v>
      </c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</row>
    <row r="38" spans="1:58" outlineLevel="1" x14ac:dyDescent="0.25">
      <c r="A38">
        <v>2046</v>
      </c>
      <c r="AI38" s="13">
        <f>$AI$24*$AI$26/1000000</f>
        <v>0</v>
      </c>
      <c r="AJ38" s="13">
        <f>$AI$24*$AI$26/1000000</f>
        <v>0</v>
      </c>
      <c r="AK38" s="13">
        <f>$AI$24*$AI$26/1000000</f>
        <v>0</v>
      </c>
      <c r="AL38" s="13">
        <f>$AI$24*$AI$26/1000000</f>
        <v>0</v>
      </c>
      <c r="AM38" s="13">
        <f>$AI$24*$AI$26/1000000</f>
        <v>0</v>
      </c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8" outlineLevel="1" x14ac:dyDescent="0.25">
      <c r="A39">
        <v>2047</v>
      </c>
      <c r="AJ39" s="13">
        <f>$AJ$24*$AJ$26/1000000</f>
        <v>0</v>
      </c>
      <c r="AK39" s="13">
        <f>$AJ$24*$AJ$26/1000000</f>
        <v>0</v>
      </c>
      <c r="AL39" s="13">
        <f>$AJ$24*$AJ$26/1000000</f>
        <v>0</v>
      </c>
      <c r="AM39" s="13">
        <f>$AJ$24*$AJ$26/1000000</f>
        <v>0</v>
      </c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8" outlineLevel="1" x14ac:dyDescent="0.25">
      <c r="A40">
        <v>2048</v>
      </c>
      <c r="AK40" s="13">
        <f>$AK$24*$AK$26/1000000</f>
        <v>0</v>
      </c>
      <c r="AL40" s="13">
        <f>$AK$24*$AK$26/1000000</f>
        <v>0</v>
      </c>
      <c r="AM40" s="13">
        <f>$AK$24*$AK$26/1000000</f>
        <v>0</v>
      </c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</row>
    <row r="41" spans="1:58" outlineLevel="1" x14ac:dyDescent="0.25">
      <c r="A41">
        <v>2049</v>
      </c>
      <c r="AL41" s="13">
        <f>$AL$24*$AL$26/1000000</f>
        <v>0</v>
      </c>
      <c r="AM41" s="13">
        <f>$AL$24*$AL$26/1000000</f>
        <v>0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1:58" outlineLevel="1" x14ac:dyDescent="0.25">
      <c r="A42">
        <v>2050</v>
      </c>
      <c r="AM42" s="13">
        <f>$AM$24*$AM$26/1000000</f>
        <v>4.7042429090035682</v>
      </c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5" spans="1:58" x14ac:dyDescent="0.25">
      <c r="A45" s="3" t="s">
        <v>59</v>
      </c>
      <c r="B45" s="47">
        <v>2013</v>
      </c>
      <c r="C45" s="47">
        <v>2014</v>
      </c>
      <c r="D45" s="47">
        <v>2015</v>
      </c>
      <c r="E45" s="47">
        <v>2016</v>
      </c>
      <c r="F45" s="47">
        <v>2017</v>
      </c>
      <c r="G45" s="47">
        <v>2018</v>
      </c>
      <c r="H45" s="47">
        <v>2019</v>
      </c>
      <c r="I45" s="47">
        <v>2020</v>
      </c>
      <c r="J45" s="47">
        <v>2021</v>
      </c>
      <c r="K45" s="47">
        <v>2022</v>
      </c>
      <c r="L45" s="47">
        <v>2023</v>
      </c>
      <c r="M45" s="47">
        <v>2024</v>
      </c>
      <c r="N45" s="47">
        <v>2025</v>
      </c>
      <c r="O45" s="47">
        <v>2026</v>
      </c>
      <c r="P45" s="47">
        <v>2027</v>
      </c>
      <c r="Q45" s="47">
        <v>2028</v>
      </c>
      <c r="R45" s="47">
        <v>2029</v>
      </c>
      <c r="S45" s="47">
        <v>2030</v>
      </c>
      <c r="T45" s="47">
        <v>2031</v>
      </c>
      <c r="U45" s="47">
        <v>2032</v>
      </c>
      <c r="V45" s="47">
        <v>2033</v>
      </c>
      <c r="W45" s="47">
        <v>2034</v>
      </c>
      <c r="X45" s="47">
        <v>2035</v>
      </c>
      <c r="Y45" s="47">
        <v>2036</v>
      </c>
      <c r="Z45" s="47">
        <v>2037</v>
      </c>
      <c r="AA45" s="47">
        <v>2038</v>
      </c>
      <c r="AB45" s="47">
        <v>2039</v>
      </c>
      <c r="AC45" s="47">
        <v>2040</v>
      </c>
      <c r="AD45" s="47">
        <v>2041</v>
      </c>
      <c r="AE45" s="47">
        <v>2042</v>
      </c>
      <c r="AF45" s="47">
        <v>2043</v>
      </c>
      <c r="AG45" s="47">
        <v>2044</v>
      </c>
      <c r="AH45" s="47">
        <v>2045</v>
      </c>
      <c r="AI45" s="47">
        <v>2046</v>
      </c>
      <c r="AJ45" s="47">
        <v>2047</v>
      </c>
      <c r="AK45" s="47">
        <v>2048</v>
      </c>
      <c r="AL45" s="47">
        <v>2049</v>
      </c>
      <c r="AM45" s="47">
        <v>2050</v>
      </c>
    </row>
    <row r="46" spans="1:58" x14ac:dyDescent="0.25">
      <c r="A46" t="s">
        <v>142</v>
      </c>
      <c r="B46" s="109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0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0"/>
      <c r="AF46" s="111"/>
      <c r="AG46" s="111"/>
      <c r="AH46" s="111"/>
      <c r="AI46" s="111"/>
      <c r="AJ46" s="111"/>
      <c r="AK46" s="110"/>
      <c r="AL46" s="110"/>
      <c r="AM46" s="110"/>
    </row>
    <row r="47" spans="1:58" x14ac:dyDescent="0.25">
      <c r="A47" s="51" t="s">
        <v>90</v>
      </c>
      <c r="B47" s="109">
        <v>4300</v>
      </c>
      <c r="C47" s="111">
        <v>4480.0000000000036</v>
      </c>
      <c r="D47" s="111">
        <v>4660.0000000000073</v>
      </c>
      <c r="E47" s="111">
        <v>4840.00000000001</v>
      </c>
      <c r="F47" s="111">
        <v>5020.0000000000127</v>
      </c>
      <c r="G47" s="111">
        <v>5200.0000000000146</v>
      </c>
      <c r="H47" s="111">
        <v>5380.0000000000155</v>
      </c>
      <c r="I47" s="111">
        <v>5560.0000000000164</v>
      </c>
      <c r="J47" s="111">
        <v>5740.0000000000164</v>
      </c>
      <c r="K47" s="111">
        <v>5920.0000000000155</v>
      </c>
      <c r="L47" s="111">
        <v>6100.0000000000146</v>
      </c>
      <c r="M47" s="111">
        <v>6280.0000000000127</v>
      </c>
      <c r="N47" s="111">
        <v>6460.00000000001</v>
      </c>
      <c r="O47" s="111">
        <v>6640.0000000000073</v>
      </c>
      <c r="P47" s="111">
        <v>6820.0000000000036</v>
      </c>
      <c r="Q47" s="110">
        <v>7000</v>
      </c>
      <c r="R47" s="110">
        <f t="shared" ref="R47:AK47" si="19">S47</f>
        <v>7000</v>
      </c>
      <c r="S47" s="110">
        <f t="shared" si="19"/>
        <v>7000</v>
      </c>
      <c r="T47" s="110">
        <f t="shared" si="19"/>
        <v>7000</v>
      </c>
      <c r="U47" s="110">
        <f t="shared" si="19"/>
        <v>7000</v>
      </c>
      <c r="V47" s="110">
        <f t="shared" si="19"/>
        <v>7000</v>
      </c>
      <c r="W47" s="110">
        <f t="shared" si="19"/>
        <v>7000</v>
      </c>
      <c r="X47" s="110">
        <f t="shared" si="19"/>
        <v>7000</v>
      </c>
      <c r="Y47" s="110">
        <f t="shared" si="19"/>
        <v>7000</v>
      </c>
      <c r="Z47" s="110">
        <f t="shared" si="19"/>
        <v>7000</v>
      </c>
      <c r="AA47" s="110">
        <f t="shared" si="19"/>
        <v>7000</v>
      </c>
      <c r="AB47" s="110">
        <f t="shared" si="19"/>
        <v>7000</v>
      </c>
      <c r="AC47" s="110">
        <f t="shared" si="19"/>
        <v>7000</v>
      </c>
      <c r="AD47" s="110">
        <f t="shared" si="19"/>
        <v>7000</v>
      </c>
      <c r="AE47" s="110">
        <f t="shared" si="19"/>
        <v>7000</v>
      </c>
      <c r="AF47" s="110">
        <f t="shared" si="19"/>
        <v>7000</v>
      </c>
      <c r="AG47" s="110">
        <f t="shared" si="19"/>
        <v>7000</v>
      </c>
      <c r="AH47" s="110">
        <f t="shared" si="19"/>
        <v>7000</v>
      </c>
      <c r="AI47" s="110">
        <f t="shared" si="19"/>
        <v>7000</v>
      </c>
      <c r="AJ47" s="110">
        <f t="shared" si="19"/>
        <v>7000</v>
      </c>
      <c r="AK47" s="110">
        <f t="shared" si="19"/>
        <v>7000</v>
      </c>
      <c r="AL47" s="110">
        <f>AM47</f>
        <v>7000</v>
      </c>
      <c r="AM47" s="110">
        <f>'Capacités installées'!B5</f>
        <v>7000</v>
      </c>
    </row>
    <row r="48" spans="1:58" x14ac:dyDescent="0.25">
      <c r="A48" t="s">
        <v>110</v>
      </c>
      <c r="B48" s="33"/>
      <c r="C48" s="42">
        <f t="shared" ref="C48:AM48" si="20">C47-B47</f>
        <v>180.00000000000364</v>
      </c>
      <c r="D48" s="42">
        <f t="shared" si="20"/>
        <v>180.00000000000364</v>
      </c>
      <c r="E48" s="42">
        <f t="shared" si="20"/>
        <v>180.00000000000273</v>
      </c>
      <c r="F48" s="42">
        <f t="shared" si="20"/>
        <v>180.00000000000273</v>
      </c>
      <c r="G48" s="42">
        <f t="shared" si="20"/>
        <v>180.00000000000182</v>
      </c>
      <c r="H48" s="42">
        <f t="shared" si="20"/>
        <v>180.00000000000091</v>
      </c>
      <c r="I48" s="42">
        <f t="shared" si="20"/>
        <v>180.00000000000091</v>
      </c>
      <c r="J48" s="42">
        <f t="shared" si="20"/>
        <v>180</v>
      </c>
      <c r="K48" s="42">
        <f t="shared" si="20"/>
        <v>179.99999999999909</v>
      </c>
      <c r="L48" s="42">
        <f t="shared" si="20"/>
        <v>179.99999999999909</v>
      </c>
      <c r="M48" s="42">
        <f t="shared" si="20"/>
        <v>179.99999999999818</v>
      </c>
      <c r="N48" s="42">
        <f t="shared" si="20"/>
        <v>179.99999999999727</v>
      </c>
      <c r="O48" s="42">
        <f t="shared" si="20"/>
        <v>179.99999999999727</v>
      </c>
      <c r="P48" s="42">
        <f t="shared" si="20"/>
        <v>179.99999999999636</v>
      </c>
      <c r="Q48" s="42">
        <f t="shared" si="20"/>
        <v>179.99999999999636</v>
      </c>
      <c r="R48" s="42">
        <f t="shared" si="20"/>
        <v>0</v>
      </c>
      <c r="S48" s="42">
        <f t="shared" si="20"/>
        <v>0</v>
      </c>
      <c r="T48" s="42">
        <f t="shared" si="20"/>
        <v>0</v>
      </c>
      <c r="U48" s="42">
        <f t="shared" si="20"/>
        <v>0</v>
      </c>
      <c r="V48" s="42">
        <f t="shared" si="20"/>
        <v>0</v>
      </c>
      <c r="W48" s="42">
        <f t="shared" si="20"/>
        <v>0</v>
      </c>
      <c r="X48" s="42">
        <f t="shared" si="20"/>
        <v>0</v>
      </c>
      <c r="Y48" s="42">
        <f t="shared" si="20"/>
        <v>0</v>
      </c>
      <c r="Z48" s="42">
        <f t="shared" si="20"/>
        <v>0</v>
      </c>
      <c r="AA48" s="42">
        <f t="shared" si="20"/>
        <v>0</v>
      </c>
      <c r="AB48" s="42">
        <f t="shared" si="20"/>
        <v>0</v>
      </c>
      <c r="AC48" s="42">
        <f t="shared" si="20"/>
        <v>0</v>
      </c>
      <c r="AD48" s="42">
        <f t="shared" si="20"/>
        <v>0</v>
      </c>
      <c r="AE48" s="42">
        <f t="shared" si="20"/>
        <v>0</v>
      </c>
      <c r="AF48" s="42">
        <f t="shared" si="20"/>
        <v>0</v>
      </c>
      <c r="AG48" s="42">
        <f t="shared" si="20"/>
        <v>0</v>
      </c>
      <c r="AH48" s="42">
        <f t="shared" si="20"/>
        <v>0</v>
      </c>
      <c r="AI48" s="42">
        <f t="shared" si="20"/>
        <v>0</v>
      </c>
      <c r="AJ48" s="42">
        <f t="shared" si="20"/>
        <v>0</v>
      </c>
      <c r="AK48" s="42">
        <f t="shared" si="20"/>
        <v>0</v>
      </c>
      <c r="AL48" s="42">
        <f t="shared" si="20"/>
        <v>0</v>
      </c>
      <c r="AM48" s="42">
        <f t="shared" si="20"/>
        <v>0</v>
      </c>
    </row>
    <row r="49" spans="1:43" x14ac:dyDescent="0.25">
      <c r="A49" t="s">
        <v>196</v>
      </c>
      <c r="AM49" s="69">
        <f>AM50/AM52</f>
        <v>0.17986111111111111</v>
      </c>
    </row>
    <row r="50" spans="1:43" x14ac:dyDescent="0.25">
      <c r="A50" t="s">
        <v>107</v>
      </c>
      <c r="B50" s="13">
        <f>$AM$49*B52</f>
        <v>63.64</v>
      </c>
      <c r="C50" s="13">
        <f t="shared" ref="C50:AK50" si="21">$AM$49*C52</f>
        <v>66.304000000000045</v>
      </c>
      <c r="D50" s="13">
        <f t="shared" si="21"/>
        <v>68.968000000000103</v>
      </c>
      <c r="E50" s="13">
        <f t="shared" si="21"/>
        <v>71.632000000000147</v>
      </c>
      <c r="F50" s="13">
        <f t="shared" si="21"/>
        <v>74.296000000000191</v>
      </c>
      <c r="G50" s="13">
        <f t="shared" si="21"/>
        <v>76.960000000000207</v>
      </c>
      <c r="H50" s="13">
        <f t="shared" si="21"/>
        <v>79.624000000000223</v>
      </c>
      <c r="I50" s="13">
        <f t="shared" si="21"/>
        <v>82.288000000000238</v>
      </c>
      <c r="J50" s="13">
        <f t="shared" si="21"/>
        <v>84.95200000000024</v>
      </c>
      <c r="K50" s="13">
        <f t="shared" si="21"/>
        <v>87.616000000000227</v>
      </c>
      <c r="L50" s="13">
        <f t="shared" si="21"/>
        <v>90.280000000000214</v>
      </c>
      <c r="M50" s="13">
        <f t="shared" si="21"/>
        <v>92.944000000000187</v>
      </c>
      <c r="N50" s="13">
        <f t="shared" si="21"/>
        <v>95.608000000000146</v>
      </c>
      <c r="O50" s="13">
        <f t="shared" si="21"/>
        <v>98.272000000000105</v>
      </c>
      <c r="P50" s="13">
        <f t="shared" si="21"/>
        <v>100.93600000000004</v>
      </c>
      <c r="Q50" s="13">
        <f t="shared" si="21"/>
        <v>103.6</v>
      </c>
      <c r="R50" s="13">
        <f t="shared" si="21"/>
        <v>103.6</v>
      </c>
      <c r="S50" s="13">
        <f t="shared" si="21"/>
        <v>103.6</v>
      </c>
      <c r="T50" s="13">
        <f t="shared" si="21"/>
        <v>103.6</v>
      </c>
      <c r="U50" s="13">
        <f t="shared" si="21"/>
        <v>103.6</v>
      </c>
      <c r="V50" s="13">
        <f t="shared" si="21"/>
        <v>103.6</v>
      </c>
      <c r="W50" s="13">
        <f t="shared" si="21"/>
        <v>103.6</v>
      </c>
      <c r="X50" s="13">
        <f t="shared" si="21"/>
        <v>103.6</v>
      </c>
      <c r="Y50" s="13">
        <f t="shared" si="21"/>
        <v>103.6</v>
      </c>
      <c r="Z50" s="13">
        <f t="shared" si="21"/>
        <v>103.6</v>
      </c>
      <c r="AA50" s="13">
        <f t="shared" si="21"/>
        <v>103.6</v>
      </c>
      <c r="AB50" s="13">
        <f t="shared" si="21"/>
        <v>103.6</v>
      </c>
      <c r="AC50" s="13">
        <f t="shared" si="21"/>
        <v>103.6</v>
      </c>
      <c r="AD50" s="13">
        <f t="shared" si="21"/>
        <v>103.6</v>
      </c>
      <c r="AE50" s="13">
        <f t="shared" si="21"/>
        <v>103.6</v>
      </c>
      <c r="AF50" s="13">
        <f t="shared" si="21"/>
        <v>103.6</v>
      </c>
      <c r="AG50" s="13">
        <f t="shared" si="21"/>
        <v>103.6</v>
      </c>
      <c r="AH50" s="13">
        <f t="shared" si="21"/>
        <v>103.6</v>
      </c>
      <c r="AI50" s="13">
        <f t="shared" si="21"/>
        <v>103.6</v>
      </c>
      <c r="AJ50" s="13">
        <f t="shared" si="21"/>
        <v>103.6</v>
      </c>
      <c r="AK50" s="13">
        <f t="shared" si="21"/>
        <v>103.6</v>
      </c>
      <c r="AL50" s="13">
        <f>$AM$49*AL52</f>
        <v>103.6</v>
      </c>
      <c r="AM50" s="13">
        <f>LCOE!AS25*1000*'Capacités installées'!B5/1000000</f>
        <v>103.6</v>
      </c>
    </row>
    <row r="51" spans="1:43" x14ac:dyDescent="0.25">
      <c r="A51" t="s">
        <v>111</v>
      </c>
      <c r="B51" s="13">
        <f>B52-B50</f>
        <v>290.18857142857144</v>
      </c>
      <c r="C51" s="13">
        <f t="shared" ref="C51:AM51" si="22">C52-C50</f>
        <v>302.33600000000024</v>
      </c>
      <c r="D51" s="13">
        <f t="shared" si="22"/>
        <v>314.48342857142904</v>
      </c>
      <c r="E51" s="13">
        <f t="shared" si="22"/>
        <v>326.63085714285785</v>
      </c>
      <c r="F51" s="13">
        <f t="shared" si="22"/>
        <v>338.77828571428654</v>
      </c>
      <c r="G51" s="13">
        <f t="shared" si="22"/>
        <v>350.92571428571523</v>
      </c>
      <c r="H51" s="13">
        <f t="shared" si="22"/>
        <v>363.07314285714392</v>
      </c>
      <c r="I51" s="13">
        <f t="shared" si="22"/>
        <v>375.2205714285725</v>
      </c>
      <c r="J51" s="13">
        <f t="shared" si="22"/>
        <v>387.36800000000108</v>
      </c>
      <c r="K51" s="13">
        <f t="shared" si="22"/>
        <v>399.5154285714296</v>
      </c>
      <c r="L51" s="13">
        <f t="shared" si="22"/>
        <v>411.66285714285812</v>
      </c>
      <c r="M51" s="13">
        <f t="shared" si="22"/>
        <v>423.81028571428658</v>
      </c>
      <c r="N51" s="13">
        <f t="shared" si="22"/>
        <v>435.95771428571493</v>
      </c>
      <c r="O51" s="13">
        <f t="shared" si="22"/>
        <v>448.10514285714333</v>
      </c>
      <c r="P51" s="13">
        <f t="shared" si="22"/>
        <v>460.25257142857163</v>
      </c>
      <c r="Q51" s="13">
        <f t="shared" si="22"/>
        <v>472.4</v>
      </c>
      <c r="R51" s="13">
        <f t="shared" si="22"/>
        <v>472.4</v>
      </c>
      <c r="S51" s="13">
        <f t="shared" si="22"/>
        <v>472.4</v>
      </c>
      <c r="T51" s="13">
        <f t="shared" si="22"/>
        <v>472.4</v>
      </c>
      <c r="U51" s="13">
        <f t="shared" si="22"/>
        <v>472.4</v>
      </c>
      <c r="V51" s="13">
        <f t="shared" si="22"/>
        <v>472.4</v>
      </c>
      <c r="W51" s="13">
        <f t="shared" si="22"/>
        <v>472.4</v>
      </c>
      <c r="X51" s="13">
        <f t="shared" si="22"/>
        <v>472.4</v>
      </c>
      <c r="Y51" s="13">
        <f t="shared" si="22"/>
        <v>472.4</v>
      </c>
      <c r="Z51" s="13">
        <f t="shared" si="22"/>
        <v>472.4</v>
      </c>
      <c r="AA51" s="13">
        <f t="shared" si="22"/>
        <v>472.4</v>
      </c>
      <c r="AB51" s="13">
        <f t="shared" si="22"/>
        <v>472.4</v>
      </c>
      <c r="AC51" s="13">
        <f t="shared" si="22"/>
        <v>472.4</v>
      </c>
      <c r="AD51" s="13">
        <f t="shared" si="22"/>
        <v>472.4</v>
      </c>
      <c r="AE51" s="13">
        <f t="shared" si="22"/>
        <v>472.4</v>
      </c>
      <c r="AF51" s="13">
        <f t="shared" si="22"/>
        <v>472.4</v>
      </c>
      <c r="AG51" s="13">
        <f t="shared" si="22"/>
        <v>472.4</v>
      </c>
      <c r="AH51" s="13">
        <f t="shared" si="22"/>
        <v>472.4</v>
      </c>
      <c r="AI51" s="13">
        <f t="shared" si="22"/>
        <v>472.4</v>
      </c>
      <c r="AJ51" s="13">
        <f t="shared" si="22"/>
        <v>472.4</v>
      </c>
      <c r="AK51" s="13">
        <f t="shared" si="22"/>
        <v>472.4</v>
      </c>
      <c r="AL51" s="13">
        <f t="shared" si="22"/>
        <v>472.4</v>
      </c>
      <c r="AM51" s="13">
        <f t="shared" si="22"/>
        <v>472.4</v>
      </c>
    </row>
    <row r="52" spans="1:43" x14ac:dyDescent="0.25">
      <c r="A52" t="s">
        <v>112</v>
      </c>
      <c r="B52" s="13">
        <f t="shared" ref="B52:AL52" si="23">C52/C47*B47</f>
        <v>353.82857142857142</v>
      </c>
      <c r="C52" s="13">
        <f t="shared" si="23"/>
        <v>368.64000000000027</v>
      </c>
      <c r="D52" s="13">
        <f t="shared" si="23"/>
        <v>383.45142857142918</v>
      </c>
      <c r="E52" s="13">
        <f t="shared" si="23"/>
        <v>398.26285714285797</v>
      </c>
      <c r="F52" s="13">
        <f t="shared" si="23"/>
        <v>413.07428571428676</v>
      </c>
      <c r="G52" s="13">
        <f t="shared" si="23"/>
        <v>427.88571428571544</v>
      </c>
      <c r="H52" s="13">
        <f t="shared" si="23"/>
        <v>442.69714285714412</v>
      </c>
      <c r="I52" s="13">
        <f t="shared" si="23"/>
        <v>457.50857142857274</v>
      </c>
      <c r="J52" s="13">
        <f t="shared" si="23"/>
        <v>472.3200000000013</v>
      </c>
      <c r="K52" s="13">
        <f t="shared" si="23"/>
        <v>487.13142857142981</v>
      </c>
      <c r="L52" s="13">
        <f t="shared" si="23"/>
        <v>501.94285714285832</v>
      </c>
      <c r="M52" s="13">
        <f t="shared" si="23"/>
        <v>516.75428571428677</v>
      </c>
      <c r="N52" s="13">
        <f t="shared" si="23"/>
        <v>531.5657142857151</v>
      </c>
      <c r="O52" s="13">
        <f t="shared" si="23"/>
        <v>546.37714285714344</v>
      </c>
      <c r="P52" s="13">
        <f t="shared" si="23"/>
        <v>561.18857142857166</v>
      </c>
      <c r="Q52" s="13">
        <f t="shared" si="23"/>
        <v>576</v>
      </c>
      <c r="R52" s="13">
        <f t="shared" si="23"/>
        <v>576</v>
      </c>
      <c r="S52" s="13">
        <f t="shared" si="23"/>
        <v>576</v>
      </c>
      <c r="T52" s="13">
        <f t="shared" si="23"/>
        <v>576</v>
      </c>
      <c r="U52" s="13">
        <f t="shared" si="23"/>
        <v>576</v>
      </c>
      <c r="V52" s="13">
        <f t="shared" si="23"/>
        <v>576</v>
      </c>
      <c r="W52" s="13">
        <f t="shared" si="23"/>
        <v>576</v>
      </c>
      <c r="X52" s="13">
        <f t="shared" si="23"/>
        <v>576</v>
      </c>
      <c r="Y52" s="13">
        <f t="shared" si="23"/>
        <v>576</v>
      </c>
      <c r="Z52" s="13">
        <f t="shared" si="23"/>
        <v>576</v>
      </c>
      <c r="AA52" s="13">
        <f t="shared" si="23"/>
        <v>576</v>
      </c>
      <c r="AB52" s="13">
        <f t="shared" si="23"/>
        <v>576</v>
      </c>
      <c r="AC52" s="13">
        <f t="shared" si="23"/>
        <v>576</v>
      </c>
      <c r="AD52" s="13">
        <f t="shared" si="23"/>
        <v>576</v>
      </c>
      <c r="AE52" s="13">
        <f t="shared" si="23"/>
        <v>576</v>
      </c>
      <c r="AF52" s="13">
        <f t="shared" si="23"/>
        <v>576</v>
      </c>
      <c r="AG52" s="13">
        <f t="shared" si="23"/>
        <v>576</v>
      </c>
      <c r="AH52" s="13">
        <f t="shared" si="23"/>
        <v>576</v>
      </c>
      <c r="AI52" s="13">
        <f t="shared" si="23"/>
        <v>576</v>
      </c>
      <c r="AJ52" s="13">
        <f t="shared" si="23"/>
        <v>576</v>
      </c>
      <c r="AK52" s="13">
        <f t="shared" si="23"/>
        <v>576</v>
      </c>
      <c r="AL52" s="13">
        <f t="shared" si="23"/>
        <v>576</v>
      </c>
      <c r="AM52" s="111">
        <v>576</v>
      </c>
    </row>
    <row r="54" spans="1:43" x14ac:dyDescent="0.25"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43" x14ac:dyDescent="0.25">
      <c r="A55" s="3" t="s">
        <v>194</v>
      </c>
      <c r="B55" s="47">
        <v>2013</v>
      </c>
      <c r="C55" s="47">
        <v>2014</v>
      </c>
      <c r="D55" s="47">
        <v>2015</v>
      </c>
      <c r="E55" s="47">
        <v>2016</v>
      </c>
      <c r="F55" s="47">
        <v>2017</v>
      </c>
      <c r="G55" s="47">
        <v>2018</v>
      </c>
      <c r="H55" s="47">
        <v>2019</v>
      </c>
      <c r="I55" s="47">
        <v>2020</v>
      </c>
      <c r="J55" s="47">
        <v>2021</v>
      </c>
      <c r="K55" s="47">
        <v>2022</v>
      </c>
      <c r="L55" s="47">
        <v>2023</v>
      </c>
      <c r="M55" s="47">
        <v>2024</v>
      </c>
      <c r="N55" s="47">
        <v>2025</v>
      </c>
      <c r="O55" s="47">
        <v>2026</v>
      </c>
      <c r="P55" s="47">
        <v>2027</v>
      </c>
      <c r="Q55" s="47">
        <v>2028</v>
      </c>
      <c r="R55" s="47">
        <v>2029</v>
      </c>
      <c r="S55" s="47">
        <v>2030</v>
      </c>
      <c r="T55" s="47">
        <v>2031</v>
      </c>
      <c r="U55" s="47">
        <v>2032</v>
      </c>
      <c r="V55" s="47">
        <v>2033</v>
      </c>
      <c r="W55" s="47">
        <v>2034</v>
      </c>
      <c r="X55" s="47">
        <v>2035</v>
      </c>
      <c r="Y55" s="47">
        <v>2036</v>
      </c>
      <c r="Z55" s="47">
        <v>2037</v>
      </c>
      <c r="AA55" s="47">
        <v>2038</v>
      </c>
      <c r="AB55" s="47">
        <v>2039</v>
      </c>
      <c r="AC55" s="47">
        <v>2040</v>
      </c>
      <c r="AD55" s="47">
        <v>2041</v>
      </c>
      <c r="AE55" s="47">
        <v>2042</v>
      </c>
      <c r="AF55" s="47">
        <v>2043</v>
      </c>
      <c r="AG55" s="47">
        <v>2044</v>
      </c>
      <c r="AH55" s="47">
        <v>2045</v>
      </c>
      <c r="AI55" s="47">
        <v>2046</v>
      </c>
      <c r="AJ55" s="47">
        <v>2047</v>
      </c>
      <c r="AK55" s="47">
        <v>2048</v>
      </c>
      <c r="AL55" s="47">
        <v>2049</v>
      </c>
      <c r="AM55" s="47">
        <v>2050</v>
      </c>
    </row>
    <row r="56" spans="1:43" outlineLevel="1" x14ac:dyDescent="0.25">
      <c r="A56" t="s">
        <v>170</v>
      </c>
      <c r="B56" s="109">
        <v>0</v>
      </c>
      <c r="C56" s="111">
        <v>0</v>
      </c>
      <c r="D56" s="111">
        <v>0</v>
      </c>
      <c r="E56" s="111">
        <v>0</v>
      </c>
      <c r="F56" s="111">
        <v>0</v>
      </c>
      <c r="G56" s="111">
        <v>0</v>
      </c>
      <c r="H56" s="111">
        <v>0</v>
      </c>
      <c r="I56" s="111">
        <v>0</v>
      </c>
      <c r="J56" s="111">
        <v>0</v>
      </c>
      <c r="K56" s="111">
        <v>0</v>
      </c>
      <c r="L56" s="111">
        <v>0</v>
      </c>
      <c r="M56" s="111">
        <v>0</v>
      </c>
      <c r="N56" s="111">
        <v>0</v>
      </c>
      <c r="O56" s="111">
        <v>0</v>
      </c>
      <c r="P56" s="111">
        <v>0</v>
      </c>
      <c r="Q56" s="111">
        <v>0</v>
      </c>
      <c r="R56" s="111">
        <v>0</v>
      </c>
      <c r="S56" s="111">
        <v>0</v>
      </c>
      <c r="T56" s="111">
        <v>0</v>
      </c>
      <c r="U56" s="111">
        <v>0</v>
      </c>
      <c r="V56" s="111">
        <v>0</v>
      </c>
      <c r="W56" s="111">
        <v>0</v>
      </c>
      <c r="X56" s="111">
        <v>0</v>
      </c>
      <c r="Y56" s="111">
        <v>0</v>
      </c>
      <c r="Z56" s="111">
        <v>0</v>
      </c>
      <c r="AA56" s="111">
        <v>0</v>
      </c>
      <c r="AB56" s="111">
        <v>0</v>
      </c>
      <c r="AC56" s="111">
        <v>0</v>
      </c>
      <c r="AD56" s="111">
        <v>0</v>
      </c>
      <c r="AE56" s="111">
        <v>0</v>
      </c>
      <c r="AF56" s="111">
        <v>0</v>
      </c>
      <c r="AG56" s="111">
        <v>0</v>
      </c>
      <c r="AH56" s="111">
        <v>0</v>
      </c>
      <c r="AI56" s="111">
        <v>0</v>
      </c>
      <c r="AJ56" s="111">
        <v>0</v>
      </c>
      <c r="AK56" s="111">
        <v>0</v>
      </c>
      <c r="AL56" s="111">
        <v>0</v>
      </c>
      <c r="AM56" s="110">
        <f>Production!$B$4</f>
        <v>0.74300000000000899</v>
      </c>
    </row>
    <row r="57" spans="1:43" outlineLevel="1" x14ac:dyDescent="0.25">
      <c r="A57" t="s">
        <v>184</v>
      </c>
      <c r="B57" s="109">
        <f>LCOE!B22</f>
        <v>206.55737704918033</v>
      </c>
      <c r="C57" s="111">
        <f>LCOE!C22</f>
        <v>204.99517839922854</v>
      </c>
      <c r="D57" s="111">
        <f>LCOE!D22</f>
        <v>203.43297974927674</v>
      </c>
      <c r="E57" s="111">
        <f>LCOE!E22</f>
        <v>201.87078109932494</v>
      </c>
      <c r="F57" s="111">
        <f>LCOE!F22</f>
        <v>200.30858244937315</v>
      </c>
      <c r="G57" s="111">
        <f>LCOE!G22</f>
        <v>198.74638379942135</v>
      </c>
      <c r="H57" s="111">
        <f>LCOE!H22</f>
        <v>197.18418514946956</v>
      </c>
      <c r="I57" s="111">
        <f>LCOE!I22</f>
        <v>195.62198649951776</v>
      </c>
      <c r="J57" s="111">
        <f>LCOE!J22</f>
        <v>194.05978784956596</v>
      </c>
      <c r="K57" s="111">
        <f>LCOE!K22</f>
        <v>192.49758919961417</v>
      </c>
      <c r="L57" s="111">
        <f>LCOE!L22</f>
        <v>190.93539054966237</v>
      </c>
      <c r="M57" s="110">
        <f>LCOE!M22</f>
        <v>189.37319189971058</v>
      </c>
      <c r="N57" s="111">
        <f>LCOE!N22</f>
        <v>187.81099324975878</v>
      </c>
      <c r="O57" s="111">
        <f>LCOE!O22</f>
        <v>186.24879459980698</v>
      </c>
      <c r="P57" s="111">
        <f>LCOE!P22</f>
        <v>184.68659594985519</v>
      </c>
      <c r="Q57" s="111">
        <f>LCOE!Q22</f>
        <v>183.12439729990339</v>
      </c>
      <c r="R57" s="111">
        <f>LCOE!R22</f>
        <v>181.5621986499516</v>
      </c>
      <c r="S57" s="111">
        <f>LCOE!S22</f>
        <v>180</v>
      </c>
      <c r="T57" s="111">
        <f>LCOE!T22</f>
        <v>180</v>
      </c>
      <c r="U57" s="111">
        <f>LCOE!U22</f>
        <v>180</v>
      </c>
      <c r="V57" s="111">
        <f>LCOE!V22</f>
        <v>180</v>
      </c>
      <c r="W57" s="111">
        <f>LCOE!W22</f>
        <v>180</v>
      </c>
      <c r="X57" s="111">
        <f>LCOE!X22</f>
        <v>180</v>
      </c>
      <c r="Y57" s="111">
        <f>LCOE!Y22</f>
        <v>180</v>
      </c>
      <c r="Z57" s="111">
        <f>LCOE!Z22</f>
        <v>180</v>
      </c>
      <c r="AA57" s="111">
        <f>LCOE!AA22</f>
        <v>180</v>
      </c>
      <c r="AB57" s="111">
        <f>LCOE!AB22</f>
        <v>180</v>
      </c>
      <c r="AC57" s="111">
        <f>LCOE!AC22</f>
        <v>180</v>
      </c>
      <c r="AD57" s="111">
        <f>LCOE!AD22</f>
        <v>180</v>
      </c>
      <c r="AE57" s="110">
        <f>LCOE!AE22</f>
        <v>180</v>
      </c>
      <c r="AF57" s="111">
        <f>LCOE!AF22</f>
        <v>180</v>
      </c>
      <c r="AG57" s="111">
        <f>LCOE!AG22</f>
        <v>180</v>
      </c>
      <c r="AH57" s="111">
        <f>LCOE!AH22</f>
        <v>180</v>
      </c>
      <c r="AI57" s="111">
        <f>LCOE!AI22</f>
        <v>180</v>
      </c>
      <c r="AJ57" s="111">
        <f>LCOE!AJ22</f>
        <v>180</v>
      </c>
      <c r="AK57" s="110">
        <f>LCOE!AK22</f>
        <v>180</v>
      </c>
      <c r="AL57" s="110">
        <f>LCOE!AL22</f>
        <v>180</v>
      </c>
      <c r="AM57" s="110">
        <f>LCOE!AM22</f>
        <v>180</v>
      </c>
    </row>
    <row r="58" spans="1:43" x14ac:dyDescent="0.25">
      <c r="A58" s="51" t="s">
        <v>90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49">
        <f>AD58+($AM58-$AD58)/(2050-2041)</f>
        <v>1.120138555555511E-4</v>
      </c>
      <c r="AF58" s="49">
        <f t="shared" ref="AF58:AL58" si="24">AE58+($AM58-$AD58)/(2050-2041)</f>
        <v>2.240277111111022E-4</v>
      </c>
      <c r="AG58" s="49">
        <f t="shared" si="24"/>
        <v>3.360415666666533E-4</v>
      </c>
      <c r="AH58" s="49">
        <f t="shared" si="24"/>
        <v>4.480554222222044E-4</v>
      </c>
      <c r="AI58" s="49">
        <f t="shared" si="24"/>
        <v>5.600692777777555E-4</v>
      </c>
      <c r="AJ58" s="49">
        <f t="shared" si="24"/>
        <v>6.720831333333066E-4</v>
      </c>
      <c r="AK58" s="49">
        <f t="shared" si="24"/>
        <v>7.840969888888577E-4</v>
      </c>
      <c r="AL58" s="49">
        <f t="shared" si="24"/>
        <v>8.9611084444440881E-4</v>
      </c>
      <c r="AM58" s="43">
        <f>'Capacités installées'!B3</f>
        <v>1.0081246999999599E-3</v>
      </c>
    </row>
    <row r="59" spans="1:43" x14ac:dyDescent="0.25">
      <c r="A59" t="s">
        <v>110</v>
      </c>
      <c r="B59" s="33"/>
      <c r="C59" s="42">
        <f t="shared" ref="C59:AM59" si="25">C58-B58</f>
        <v>0</v>
      </c>
      <c r="D59" s="42">
        <f t="shared" si="25"/>
        <v>0</v>
      </c>
      <c r="E59" s="42">
        <f t="shared" si="25"/>
        <v>0</v>
      </c>
      <c r="F59" s="42">
        <f t="shared" si="25"/>
        <v>0</v>
      </c>
      <c r="G59" s="42">
        <f t="shared" si="25"/>
        <v>0</v>
      </c>
      <c r="H59" s="42">
        <f t="shared" si="25"/>
        <v>0</v>
      </c>
      <c r="I59" s="42">
        <f t="shared" si="25"/>
        <v>0</v>
      </c>
      <c r="J59" s="42">
        <f t="shared" si="25"/>
        <v>0</v>
      </c>
      <c r="K59" s="42">
        <f t="shared" si="25"/>
        <v>0</v>
      </c>
      <c r="L59" s="42">
        <f t="shared" si="25"/>
        <v>0</v>
      </c>
      <c r="M59" s="42">
        <f t="shared" si="25"/>
        <v>0</v>
      </c>
      <c r="N59" s="42">
        <f t="shared" si="25"/>
        <v>0</v>
      </c>
      <c r="O59" s="42">
        <f t="shared" si="25"/>
        <v>0</v>
      </c>
      <c r="P59" s="42">
        <f t="shared" si="25"/>
        <v>0</v>
      </c>
      <c r="Q59" s="42">
        <f t="shared" si="25"/>
        <v>0</v>
      </c>
      <c r="R59" s="42">
        <f t="shared" si="25"/>
        <v>0</v>
      </c>
      <c r="S59" s="42">
        <f t="shared" si="25"/>
        <v>0</v>
      </c>
      <c r="T59" s="42">
        <f t="shared" si="25"/>
        <v>0</v>
      </c>
      <c r="U59" s="42">
        <f t="shared" si="25"/>
        <v>0</v>
      </c>
      <c r="V59" s="42">
        <f t="shared" si="25"/>
        <v>0</v>
      </c>
      <c r="W59" s="42">
        <f t="shared" si="25"/>
        <v>0</v>
      </c>
      <c r="X59" s="42">
        <f t="shared" si="25"/>
        <v>0</v>
      </c>
      <c r="Y59" s="42">
        <f t="shared" si="25"/>
        <v>0</v>
      </c>
      <c r="Z59" s="42">
        <f t="shared" si="25"/>
        <v>0</v>
      </c>
      <c r="AA59" s="42">
        <f t="shared" si="25"/>
        <v>0</v>
      </c>
      <c r="AB59" s="42">
        <f t="shared" si="25"/>
        <v>0</v>
      </c>
      <c r="AC59" s="42">
        <f t="shared" si="25"/>
        <v>0</v>
      </c>
      <c r="AD59" s="42">
        <f t="shared" si="25"/>
        <v>0</v>
      </c>
      <c r="AE59" s="42">
        <f t="shared" si="25"/>
        <v>1.120138555555511E-4</v>
      </c>
      <c r="AF59" s="42">
        <f t="shared" si="25"/>
        <v>1.120138555555511E-4</v>
      </c>
      <c r="AG59" s="42">
        <f t="shared" si="25"/>
        <v>1.120138555555511E-4</v>
      </c>
      <c r="AH59" s="42">
        <f t="shared" si="25"/>
        <v>1.120138555555511E-4</v>
      </c>
      <c r="AI59" s="42">
        <f t="shared" si="25"/>
        <v>1.120138555555511E-4</v>
      </c>
      <c r="AJ59" s="42">
        <f t="shared" si="25"/>
        <v>1.120138555555511E-4</v>
      </c>
      <c r="AK59" s="42">
        <f t="shared" si="25"/>
        <v>1.120138555555511E-4</v>
      </c>
      <c r="AL59" s="42">
        <f t="shared" si="25"/>
        <v>1.120138555555511E-4</v>
      </c>
      <c r="AM59" s="42">
        <f t="shared" si="25"/>
        <v>1.120138555555511E-4</v>
      </c>
    </row>
    <row r="60" spans="1:43" x14ac:dyDescent="0.25">
      <c r="A60" t="s">
        <v>143</v>
      </c>
      <c r="B60" s="42">
        <f>LCOE!$AT$22*10</f>
        <v>150</v>
      </c>
      <c r="C60" s="42">
        <f>LCOE!$AT$22*10</f>
        <v>150</v>
      </c>
      <c r="D60" s="42">
        <f>LCOE!$AT$22*10</f>
        <v>150</v>
      </c>
      <c r="E60" s="42">
        <f>LCOE!$AT$22*10</f>
        <v>150</v>
      </c>
      <c r="F60" s="42">
        <f>LCOE!$AT$22*10</f>
        <v>150</v>
      </c>
      <c r="G60" s="42">
        <f>LCOE!$AT$22*10</f>
        <v>150</v>
      </c>
      <c r="H60" s="42">
        <f>LCOE!$AT$22*10</f>
        <v>150</v>
      </c>
      <c r="I60" s="42">
        <f>LCOE!$AT$22*10</f>
        <v>150</v>
      </c>
      <c r="J60" s="42">
        <f>LCOE!$AT$22*10</f>
        <v>150</v>
      </c>
      <c r="K60" s="42">
        <f>LCOE!$AT$22*10</f>
        <v>150</v>
      </c>
      <c r="L60" s="42">
        <f>LCOE!$AT$22*10</f>
        <v>150</v>
      </c>
      <c r="M60" s="42">
        <f>LCOE!$AT$22*10</f>
        <v>150</v>
      </c>
      <c r="N60" s="42">
        <f>LCOE!$AT$22*10</f>
        <v>150</v>
      </c>
      <c r="O60" s="42">
        <f>LCOE!$AT$22*10</f>
        <v>150</v>
      </c>
      <c r="P60" s="42">
        <f>LCOE!$AT$22*10</f>
        <v>150</v>
      </c>
      <c r="Q60" s="42">
        <f>LCOE!$AT$22*10</f>
        <v>150</v>
      </c>
      <c r="R60" s="42">
        <f>LCOE!$AT$22*10</f>
        <v>150</v>
      </c>
      <c r="S60" s="42">
        <f>LCOE!$AT$22*10</f>
        <v>150</v>
      </c>
      <c r="T60" s="42">
        <f>LCOE!$AT$22*10</f>
        <v>150</v>
      </c>
      <c r="U60" s="42">
        <f>LCOE!$AT$22*10</f>
        <v>150</v>
      </c>
      <c r="V60" s="42">
        <f>LCOE!$AT$22*10</f>
        <v>150</v>
      </c>
      <c r="W60" s="42">
        <f>LCOE!$AT$22*10</f>
        <v>150</v>
      </c>
      <c r="X60" s="42">
        <f>LCOE!$AT$22*10</f>
        <v>150</v>
      </c>
      <c r="Y60" s="42">
        <f>LCOE!$AT$22*10</f>
        <v>150</v>
      </c>
      <c r="Z60" s="42">
        <f>LCOE!$AT$22*10</f>
        <v>150</v>
      </c>
      <c r="AA60" s="42">
        <f>LCOE!$AT$22*10</f>
        <v>150</v>
      </c>
      <c r="AB60" s="42">
        <f>LCOE!$AT$22*10</f>
        <v>150</v>
      </c>
      <c r="AC60" s="42">
        <f>LCOE!$AT$22*10</f>
        <v>150</v>
      </c>
      <c r="AD60" s="42">
        <f>LCOE!$AT$22*10</f>
        <v>150</v>
      </c>
      <c r="AE60" s="42">
        <f>LCOE!$AT$22*10</f>
        <v>150</v>
      </c>
      <c r="AF60" s="42">
        <f>LCOE!$AT$22*10</f>
        <v>150</v>
      </c>
      <c r="AG60" s="42">
        <f>LCOE!$AT$22*10</f>
        <v>150</v>
      </c>
      <c r="AH60" s="42">
        <f>LCOE!$AT$22*10</f>
        <v>150</v>
      </c>
      <c r="AI60" s="42">
        <f>LCOE!$AT$22*10</f>
        <v>150</v>
      </c>
      <c r="AJ60" s="42">
        <f>LCOE!$AT$22*10</f>
        <v>150</v>
      </c>
      <c r="AK60" s="42">
        <f>LCOE!$AT$22*10</f>
        <v>150</v>
      </c>
      <c r="AL60" s="42">
        <f>LCOE!$AT$22*10</f>
        <v>150</v>
      </c>
      <c r="AM60" s="42">
        <f>LCOE!$AT$22*10</f>
        <v>150</v>
      </c>
    </row>
    <row r="61" spans="1:43" x14ac:dyDescent="0.25">
      <c r="A61" t="s">
        <v>196</v>
      </c>
      <c r="B61" s="55"/>
      <c r="C61" s="42"/>
      <c r="D61" s="43"/>
      <c r="E61" s="42"/>
      <c r="F61" s="42"/>
      <c r="G61" s="42"/>
      <c r="H61" s="42"/>
      <c r="I61" s="42"/>
      <c r="J61" s="42"/>
      <c r="K61" s="42"/>
      <c r="L61" s="42"/>
      <c r="M61" s="49"/>
      <c r="N61" s="43"/>
      <c r="O61" s="42"/>
      <c r="P61" s="42"/>
      <c r="Q61" s="42"/>
      <c r="R61" s="42"/>
      <c r="S61" s="57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9"/>
      <c r="AF61" s="42"/>
      <c r="AG61" s="42"/>
      <c r="AH61" s="42"/>
      <c r="AI61" s="42"/>
      <c r="AJ61" s="42"/>
      <c r="AK61" s="49"/>
      <c r="AL61" s="42"/>
      <c r="AM61" s="112">
        <f>AM63/AM66</f>
        <v>0.16583477942275196</v>
      </c>
    </row>
    <row r="62" spans="1:43" x14ac:dyDescent="0.25">
      <c r="A62" t="s">
        <v>30</v>
      </c>
      <c r="B62" s="113">
        <f>LCOE!AQ22</f>
        <v>30</v>
      </c>
      <c r="AN62" s="13"/>
      <c r="AO62" s="13"/>
    </row>
    <row r="63" spans="1:43" x14ac:dyDescent="0.25">
      <c r="A63" t="s">
        <v>197</v>
      </c>
      <c r="B63" s="13">
        <f t="shared" ref="B63:AK63" si="26">$AM$61*B66</f>
        <v>0</v>
      </c>
      <c r="C63" s="13">
        <f t="shared" si="26"/>
        <v>0</v>
      </c>
      <c r="D63" s="13">
        <f t="shared" si="26"/>
        <v>0</v>
      </c>
      <c r="E63" s="13">
        <f t="shared" si="26"/>
        <v>0</v>
      </c>
      <c r="F63" s="13">
        <f t="shared" si="26"/>
        <v>0</v>
      </c>
      <c r="G63" s="13">
        <f t="shared" si="26"/>
        <v>0</v>
      </c>
      <c r="H63" s="13">
        <f t="shared" si="26"/>
        <v>0</v>
      </c>
      <c r="I63" s="13">
        <f t="shared" si="26"/>
        <v>0</v>
      </c>
      <c r="J63" s="13">
        <f t="shared" si="26"/>
        <v>0</v>
      </c>
      <c r="K63" s="13">
        <f t="shared" si="26"/>
        <v>0</v>
      </c>
      <c r="L63" s="13">
        <f t="shared" si="26"/>
        <v>0</v>
      </c>
      <c r="M63" s="13">
        <f t="shared" si="26"/>
        <v>0</v>
      </c>
      <c r="N63" s="13">
        <f t="shared" si="26"/>
        <v>0</v>
      </c>
      <c r="O63" s="13">
        <f t="shared" si="26"/>
        <v>0</v>
      </c>
      <c r="P63" s="13">
        <f t="shared" si="26"/>
        <v>0</v>
      </c>
      <c r="Q63" s="13">
        <f t="shared" si="26"/>
        <v>0</v>
      </c>
      <c r="R63" s="13">
        <f t="shared" si="26"/>
        <v>0</v>
      </c>
      <c r="S63" s="13">
        <f t="shared" si="26"/>
        <v>0</v>
      </c>
      <c r="T63" s="13">
        <f t="shared" si="26"/>
        <v>0</v>
      </c>
      <c r="U63" s="13">
        <f t="shared" si="26"/>
        <v>0</v>
      </c>
      <c r="V63" s="13">
        <f t="shared" si="26"/>
        <v>0</v>
      </c>
      <c r="W63" s="13">
        <f t="shared" si="26"/>
        <v>0</v>
      </c>
      <c r="X63" s="13">
        <f t="shared" si="26"/>
        <v>0</v>
      </c>
      <c r="Y63" s="13">
        <f t="shared" si="26"/>
        <v>0</v>
      </c>
      <c r="Z63" s="13">
        <f t="shared" si="26"/>
        <v>0</v>
      </c>
      <c r="AA63" s="13">
        <f t="shared" si="26"/>
        <v>0</v>
      </c>
      <c r="AB63" s="13">
        <f t="shared" si="26"/>
        <v>0</v>
      </c>
      <c r="AC63" s="13">
        <f t="shared" si="26"/>
        <v>0</v>
      </c>
      <c r="AD63" s="13">
        <f t="shared" si="26"/>
        <v>0</v>
      </c>
      <c r="AE63" s="13">
        <f t="shared" si="26"/>
        <v>0</v>
      </c>
      <c r="AF63" s="13">
        <f t="shared" si="26"/>
        <v>0</v>
      </c>
      <c r="AG63" s="13">
        <f t="shared" si="26"/>
        <v>0</v>
      </c>
      <c r="AH63" s="13">
        <f t="shared" si="26"/>
        <v>0</v>
      </c>
      <c r="AI63" s="13">
        <f t="shared" si="26"/>
        <v>0</v>
      </c>
      <c r="AJ63" s="13">
        <f t="shared" si="26"/>
        <v>0</v>
      </c>
      <c r="AK63" s="13">
        <f t="shared" si="26"/>
        <v>0</v>
      </c>
      <c r="AL63" s="13">
        <f>$AM$61*AL66</f>
        <v>0</v>
      </c>
      <c r="AM63" s="13">
        <f>LCOE!AS22*1000*'Capacités installées'!B3/1000000</f>
        <v>2.2178743399999118E-5</v>
      </c>
      <c r="AN63" s="13"/>
      <c r="AO63" s="13"/>
      <c r="AP63" s="13"/>
      <c r="AQ63" s="13"/>
    </row>
    <row r="64" spans="1:43" x14ac:dyDescent="0.25">
      <c r="A64" t="s">
        <v>198</v>
      </c>
      <c r="B64" s="13">
        <f>B60*B56/1000000</f>
        <v>0</v>
      </c>
      <c r="C64" s="13">
        <f t="shared" ref="C64:AM64" si="27">C60*C56/1000000</f>
        <v>0</v>
      </c>
      <c r="D64" s="13">
        <f t="shared" si="27"/>
        <v>0</v>
      </c>
      <c r="E64" s="13">
        <f t="shared" si="27"/>
        <v>0</v>
      </c>
      <c r="F64" s="13">
        <f t="shared" si="27"/>
        <v>0</v>
      </c>
      <c r="G64" s="13">
        <f t="shared" si="27"/>
        <v>0</v>
      </c>
      <c r="H64" s="13">
        <f t="shared" si="27"/>
        <v>0</v>
      </c>
      <c r="I64" s="13">
        <f t="shared" si="27"/>
        <v>0</v>
      </c>
      <c r="J64" s="13">
        <f t="shared" si="27"/>
        <v>0</v>
      </c>
      <c r="K64" s="13">
        <f t="shared" si="27"/>
        <v>0</v>
      </c>
      <c r="L64" s="13">
        <f t="shared" si="27"/>
        <v>0</v>
      </c>
      <c r="M64" s="13">
        <f t="shared" si="27"/>
        <v>0</v>
      </c>
      <c r="N64" s="13">
        <f t="shared" si="27"/>
        <v>0</v>
      </c>
      <c r="O64" s="13">
        <f t="shared" si="27"/>
        <v>0</v>
      </c>
      <c r="P64" s="13">
        <f t="shared" si="27"/>
        <v>0</v>
      </c>
      <c r="Q64" s="13">
        <f t="shared" si="27"/>
        <v>0</v>
      </c>
      <c r="R64" s="13">
        <f t="shared" si="27"/>
        <v>0</v>
      </c>
      <c r="S64" s="13">
        <f t="shared" si="27"/>
        <v>0</v>
      </c>
      <c r="T64" s="13">
        <f t="shared" si="27"/>
        <v>0</v>
      </c>
      <c r="U64" s="13">
        <f t="shared" si="27"/>
        <v>0</v>
      </c>
      <c r="V64" s="13">
        <f t="shared" si="27"/>
        <v>0</v>
      </c>
      <c r="W64" s="13">
        <f t="shared" si="27"/>
        <v>0</v>
      </c>
      <c r="X64" s="13">
        <f t="shared" si="27"/>
        <v>0</v>
      </c>
      <c r="Y64" s="13">
        <f t="shared" si="27"/>
        <v>0</v>
      </c>
      <c r="Z64" s="13">
        <f t="shared" si="27"/>
        <v>0</v>
      </c>
      <c r="AA64" s="13">
        <f t="shared" si="27"/>
        <v>0</v>
      </c>
      <c r="AB64" s="13">
        <f t="shared" si="27"/>
        <v>0</v>
      </c>
      <c r="AC64" s="13">
        <f t="shared" si="27"/>
        <v>0</v>
      </c>
      <c r="AD64" s="13">
        <f t="shared" si="27"/>
        <v>0</v>
      </c>
      <c r="AE64" s="13">
        <f t="shared" si="27"/>
        <v>0</v>
      </c>
      <c r="AF64" s="13">
        <f t="shared" si="27"/>
        <v>0</v>
      </c>
      <c r="AG64" s="13">
        <f t="shared" si="27"/>
        <v>0</v>
      </c>
      <c r="AH64" s="13">
        <f t="shared" si="27"/>
        <v>0</v>
      </c>
      <c r="AI64" s="13">
        <f t="shared" si="27"/>
        <v>0</v>
      </c>
      <c r="AJ64" s="13">
        <f t="shared" si="27"/>
        <v>0</v>
      </c>
      <c r="AK64" s="13">
        <f t="shared" si="27"/>
        <v>0</v>
      </c>
      <c r="AL64" s="13">
        <f t="shared" si="27"/>
        <v>0</v>
      </c>
      <c r="AM64" s="13">
        <f t="shared" si="27"/>
        <v>1.1145000000000135E-4</v>
      </c>
      <c r="AN64" s="13"/>
      <c r="AO64" s="13"/>
      <c r="AP64" s="13"/>
      <c r="AQ64" s="13"/>
    </row>
    <row r="65" spans="1:45" x14ac:dyDescent="0.25">
      <c r="A65" t="s">
        <v>111</v>
      </c>
      <c r="B65" s="13">
        <f>B66-B63-B64</f>
        <v>0</v>
      </c>
      <c r="C65" s="13">
        <f t="shared" ref="C65:AM65" si="28">C66-C63-C64</f>
        <v>0</v>
      </c>
      <c r="D65" s="13">
        <f t="shared" si="28"/>
        <v>0</v>
      </c>
      <c r="E65" s="13">
        <f t="shared" si="28"/>
        <v>0</v>
      </c>
      <c r="F65" s="13">
        <f t="shared" si="28"/>
        <v>0</v>
      </c>
      <c r="G65" s="13">
        <f t="shared" si="28"/>
        <v>0</v>
      </c>
      <c r="H65" s="13">
        <f t="shared" si="28"/>
        <v>0</v>
      </c>
      <c r="I65" s="13">
        <f t="shared" si="28"/>
        <v>0</v>
      </c>
      <c r="J65" s="13">
        <f t="shared" si="28"/>
        <v>0</v>
      </c>
      <c r="K65" s="13">
        <f t="shared" si="28"/>
        <v>0</v>
      </c>
      <c r="L65" s="13">
        <f t="shared" si="28"/>
        <v>0</v>
      </c>
      <c r="M65" s="13">
        <f t="shared" si="28"/>
        <v>0</v>
      </c>
      <c r="N65" s="13">
        <f t="shared" si="28"/>
        <v>0</v>
      </c>
      <c r="O65" s="13">
        <f t="shared" si="28"/>
        <v>0</v>
      </c>
      <c r="P65" s="13">
        <f t="shared" si="28"/>
        <v>0</v>
      </c>
      <c r="Q65" s="13">
        <f t="shared" si="28"/>
        <v>0</v>
      </c>
      <c r="R65" s="13">
        <f t="shared" si="28"/>
        <v>0</v>
      </c>
      <c r="S65" s="13">
        <f t="shared" si="28"/>
        <v>0</v>
      </c>
      <c r="T65" s="13">
        <f t="shared" si="28"/>
        <v>0</v>
      </c>
      <c r="U65" s="13">
        <f t="shared" si="28"/>
        <v>0</v>
      </c>
      <c r="V65" s="13">
        <f t="shared" si="28"/>
        <v>0</v>
      </c>
      <c r="W65" s="13">
        <f t="shared" si="28"/>
        <v>0</v>
      </c>
      <c r="X65" s="13">
        <f t="shared" si="28"/>
        <v>0</v>
      </c>
      <c r="Y65" s="13">
        <f t="shared" si="28"/>
        <v>0</v>
      </c>
      <c r="Z65" s="13">
        <f t="shared" si="28"/>
        <v>0</v>
      </c>
      <c r="AA65" s="13">
        <f t="shared" si="28"/>
        <v>0</v>
      </c>
      <c r="AB65" s="13">
        <f t="shared" si="28"/>
        <v>0</v>
      </c>
      <c r="AC65" s="13">
        <f t="shared" si="28"/>
        <v>0</v>
      </c>
      <c r="AD65" s="13">
        <f t="shared" si="28"/>
        <v>0</v>
      </c>
      <c r="AE65" s="13">
        <f t="shared" si="28"/>
        <v>0</v>
      </c>
      <c r="AF65" s="13">
        <f t="shared" si="28"/>
        <v>0</v>
      </c>
      <c r="AG65" s="13">
        <f t="shared" si="28"/>
        <v>0</v>
      </c>
      <c r="AH65" s="13">
        <f t="shared" si="28"/>
        <v>0</v>
      </c>
      <c r="AI65" s="13">
        <f t="shared" si="28"/>
        <v>0</v>
      </c>
      <c r="AJ65" s="13">
        <f t="shared" si="28"/>
        <v>0</v>
      </c>
      <c r="AK65" s="13">
        <f t="shared" si="28"/>
        <v>0</v>
      </c>
      <c r="AL65" s="13">
        <f t="shared" si="28"/>
        <v>0</v>
      </c>
      <c r="AM65" s="13">
        <f t="shared" si="28"/>
        <v>1.112566000011615E-7</v>
      </c>
      <c r="AN65" s="13"/>
      <c r="AO65" s="13"/>
      <c r="AP65" s="13"/>
    </row>
    <row r="66" spans="1:45" x14ac:dyDescent="0.25">
      <c r="A66" t="s">
        <v>112</v>
      </c>
      <c r="B66" s="13">
        <f t="shared" ref="B66:AL66" si="29">B56*B57/1000000</f>
        <v>0</v>
      </c>
      <c r="C66" s="13">
        <f t="shared" si="29"/>
        <v>0</v>
      </c>
      <c r="D66" s="13">
        <f t="shared" si="29"/>
        <v>0</v>
      </c>
      <c r="E66" s="13">
        <f t="shared" si="29"/>
        <v>0</v>
      </c>
      <c r="F66" s="13">
        <f t="shared" si="29"/>
        <v>0</v>
      </c>
      <c r="G66" s="13">
        <f t="shared" si="29"/>
        <v>0</v>
      </c>
      <c r="H66" s="13">
        <f t="shared" si="29"/>
        <v>0</v>
      </c>
      <c r="I66" s="13">
        <f t="shared" si="29"/>
        <v>0</v>
      </c>
      <c r="J66" s="13">
        <f t="shared" si="29"/>
        <v>0</v>
      </c>
      <c r="K66" s="13">
        <f t="shared" si="29"/>
        <v>0</v>
      </c>
      <c r="L66" s="13">
        <f t="shared" si="29"/>
        <v>0</v>
      </c>
      <c r="M66" s="13">
        <f t="shared" si="29"/>
        <v>0</v>
      </c>
      <c r="N66" s="13">
        <f t="shared" si="29"/>
        <v>0</v>
      </c>
      <c r="O66" s="13">
        <f t="shared" si="29"/>
        <v>0</v>
      </c>
      <c r="P66" s="13">
        <f t="shared" si="29"/>
        <v>0</v>
      </c>
      <c r="Q66" s="13">
        <f t="shared" si="29"/>
        <v>0</v>
      </c>
      <c r="R66" s="13">
        <f t="shared" si="29"/>
        <v>0</v>
      </c>
      <c r="S66" s="13">
        <f t="shared" si="29"/>
        <v>0</v>
      </c>
      <c r="T66" s="13">
        <f t="shared" si="29"/>
        <v>0</v>
      </c>
      <c r="U66" s="13">
        <f t="shared" si="29"/>
        <v>0</v>
      </c>
      <c r="V66" s="13">
        <f t="shared" si="29"/>
        <v>0</v>
      </c>
      <c r="W66" s="13">
        <f t="shared" si="29"/>
        <v>0</v>
      </c>
      <c r="X66" s="13">
        <f t="shared" si="29"/>
        <v>0</v>
      </c>
      <c r="Y66" s="13">
        <f t="shared" si="29"/>
        <v>0</v>
      </c>
      <c r="Z66" s="13">
        <f t="shared" si="29"/>
        <v>0</v>
      </c>
      <c r="AA66" s="13">
        <f t="shared" si="29"/>
        <v>0</v>
      </c>
      <c r="AB66" s="13">
        <f t="shared" si="29"/>
        <v>0</v>
      </c>
      <c r="AC66" s="13">
        <f t="shared" si="29"/>
        <v>0</v>
      </c>
      <c r="AD66" s="13">
        <f t="shared" si="29"/>
        <v>0</v>
      </c>
      <c r="AE66" s="13">
        <f t="shared" si="29"/>
        <v>0</v>
      </c>
      <c r="AF66" s="13">
        <f t="shared" si="29"/>
        <v>0</v>
      </c>
      <c r="AG66" s="13">
        <f t="shared" si="29"/>
        <v>0</v>
      </c>
      <c r="AH66" s="13">
        <f t="shared" si="29"/>
        <v>0</v>
      </c>
      <c r="AI66" s="13">
        <f t="shared" si="29"/>
        <v>0</v>
      </c>
      <c r="AJ66" s="13">
        <f t="shared" si="29"/>
        <v>0</v>
      </c>
      <c r="AK66" s="13">
        <f t="shared" si="29"/>
        <v>0</v>
      </c>
      <c r="AL66" s="13">
        <f t="shared" si="29"/>
        <v>0</v>
      </c>
      <c r="AM66" s="13">
        <f>AM56*AM57/1000000</f>
        <v>1.3374000000000163E-4</v>
      </c>
      <c r="AN66" s="13"/>
      <c r="AO66" s="13"/>
      <c r="AP66" s="13"/>
      <c r="AQ66" s="13"/>
      <c r="AR66" s="13"/>
    </row>
    <row r="67" spans="1:45" x14ac:dyDescent="0.25"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 hidden="1" outlineLevel="1" x14ac:dyDescent="0.25">
      <c r="A68" t="s">
        <v>108</v>
      </c>
    </row>
    <row r="69" spans="1:45" hidden="1" outlineLevel="1" x14ac:dyDescent="0.25">
      <c r="A69">
        <v>2021</v>
      </c>
      <c r="J69" s="13" t="e">
        <f>$J$59*#REF!/1000000</f>
        <v>#REF!</v>
      </c>
      <c r="K69" s="13" t="e">
        <f>$J$59*#REF!/1000000</f>
        <v>#REF!</v>
      </c>
      <c r="L69" s="13" t="e">
        <f>$J$59*#REF!/1000000</f>
        <v>#REF!</v>
      </c>
      <c r="M69" s="13" t="e">
        <f>$J$59*#REF!/1000000</f>
        <v>#REF!</v>
      </c>
      <c r="N69" s="13" t="e">
        <f>$J$59*#REF!/1000000</f>
        <v>#REF!</v>
      </c>
      <c r="O69" s="13" t="e">
        <f>$J$59*#REF!/1000000</f>
        <v>#REF!</v>
      </c>
      <c r="P69" s="13" t="e">
        <f>$J$59*#REF!/1000000</f>
        <v>#REF!</v>
      </c>
      <c r="Q69" s="13" t="e">
        <f>$J$59*#REF!/1000000</f>
        <v>#REF!</v>
      </c>
      <c r="R69" s="13" t="e">
        <f>$J$59*#REF!/1000000</f>
        <v>#REF!</v>
      </c>
      <c r="S69" s="13" t="e">
        <f>$J$59*#REF!/1000000</f>
        <v>#REF!</v>
      </c>
      <c r="T69" s="13" t="e">
        <f>$J$59*#REF!/1000000</f>
        <v>#REF!</v>
      </c>
      <c r="U69" s="13" t="e">
        <f>$J$59*#REF!/1000000</f>
        <v>#REF!</v>
      </c>
      <c r="V69" s="13" t="e">
        <f>$J$59*#REF!/1000000</f>
        <v>#REF!</v>
      </c>
      <c r="W69" s="13" t="e">
        <f>$J$59*#REF!/1000000</f>
        <v>#REF!</v>
      </c>
      <c r="X69" s="13" t="e">
        <f>$J$59*#REF!/1000000</f>
        <v>#REF!</v>
      </c>
      <c r="Y69" s="13" t="e">
        <f>$J$59*#REF!/1000000</f>
        <v>#REF!</v>
      </c>
      <c r="Z69" s="13" t="e">
        <f>$J$59*#REF!/1000000</f>
        <v>#REF!</v>
      </c>
      <c r="AA69" s="13" t="e">
        <f>$J$59*#REF!/1000000</f>
        <v>#REF!</v>
      </c>
      <c r="AB69" s="13" t="e">
        <f>$J$59*#REF!/1000000</f>
        <v>#REF!</v>
      </c>
      <c r="AC69" s="13" t="e">
        <f>$J$59*#REF!/1000000</f>
        <v>#REF!</v>
      </c>
      <c r="AD69" s="13" t="e">
        <f>$J$59*#REF!/1000000</f>
        <v>#REF!</v>
      </c>
      <c r="AE69" s="13" t="e">
        <f>$J$59*#REF!/1000000</f>
        <v>#REF!</v>
      </c>
      <c r="AF69" s="13" t="e">
        <f>$J$59*#REF!/1000000</f>
        <v>#REF!</v>
      </c>
      <c r="AG69" s="13" t="e">
        <f>$J$59*#REF!/1000000</f>
        <v>#REF!</v>
      </c>
      <c r="AH69" s="13" t="e">
        <f>$J$59*#REF!/1000000</f>
        <v>#REF!</v>
      </c>
      <c r="AI69" s="13" t="e">
        <f>$J$59*#REF!/1000000</f>
        <v>#REF!</v>
      </c>
      <c r="AJ69" s="13" t="e">
        <f>$J$59*#REF!/1000000</f>
        <v>#REF!</v>
      </c>
      <c r="AK69" s="13" t="e">
        <f>$J$59*#REF!/1000000</f>
        <v>#REF!</v>
      </c>
      <c r="AL69" s="13" t="e">
        <f>$J$59*#REF!/1000000</f>
        <v>#REF!</v>
      </c>
      <c r="AM69" s="13" t="e">
        <f>$J$59*#REF!/1000000</f>
        <v>#REF!</v>
      </c>
    </row>
    <row r="70" spans="1:45" hidden="1" outlineLevel="1" x14ac:dyDescent="0.25">
      <c r="A70">
        <v>2022</v>
      </c>
      <c r="K70" s="13" t="e">
        <f>$K$59*#REF!/1000000</f>
        <v>#REF!</v>
      </c>
      <c r="L70" s="13" t="e">
        <f>$K$59*#REF!/1000000</f>
        <v>#REF!</v>
      </c>
      <c r="M70" s="13" t="e">
        <f>$K$59*#REF!/1000000</f>
        <v>#REF!</v>
      </c>
      <c r="N70" s="13" t="e">
        <f>$K$59*#REF!/1000000</f>
        <v>#REF!</v>
      </c>
      <c r="O70" s="13" t="e">
        <f>$K$59*#REF!/1000000</f>
        <v>#REF!</v>
      </c>
      <c r="P70" s="13" t="e">
        <f>$K$59*#REF!/1000000</f>
        <v>#REF!</v>
      </c>
      <c r="Q70" s="13" t="e">
        <f>$K$59*#REF!/1000000</f>
        <v>#REF!</v>
      </c>
      <c r="R70" s="13" t="e">
        <f>$K$59*#REF!/1000000</f>
        <v>#REF!</v>
      </c>
      <c r="S70" s="13" t="e">
        <f>$K$59*#REF!/1000000</f>
        <v>#REF!</v>
      </c>
      <c r="T70" s="13" t="e">
        <f>$K$59*#REF!/1000000</f>
        <v>#REF!</v>
      </c>
      <c r="U70" s="13" t="e">
        <f>$K$59*#REF!/1000000</f>
        <v>#REF!</v>
      </c>
      <c r="V70" s="13" t="e">
        <f>$K$59*#REF!/1000000</f>
        <v>#REF!</v>
      </c>
      <c r="W70" s="13" t="e">
        <f>$K$59*#REF!/1000000</f>
        <v>#REF!</v>
      </c>
      <c r="X70" s="13" t="e">
        <f>$K$59*#REF!/1000000</f>
        <v>#REF!</v>
      </c>
      <c r="Y70" s="13" t="e">
        <f>$K$59*#REF!/1000000</f>
        <v>#REF!</v>
      </c>
      <c r="Z70" s="13" t="e">
        <f>$K$59*#REF!/1000000</f>
        <v>#REF!</v>
      </c>
      <c r="AA70" s="13" t="e">
        <f>$K$59*#REF!/1000000</f>
        <v>#REF!</v>
      </c>
      <c r="AB70" s="13" t="e">
        <f>$K$59*#REF!/1000000</f>
        <v>#REF!</v>
      </c>
      <c r="AC70" s="13" t="e">
        <f>$K$59*#REF!/1000000</f>
        <v>#REF!</v>
      </c>
      <c r="AD70" s="13" t="e">
        <f>$K$59*#REF!/1000000</f>
        <v>#REF!</v>
      </c>
      <c r="AE70" s="13" t="e">
        <f>$K$59*#REF!/1000000</f>
        <v>#REF!</v>
      </c>
      <c r="AF70" s="13" t="e">
        <f>$K$59*#REF!/1000000</f>
        <v>#REF!</v>
      </c>
      <c r="AG70" s="13" t="e">
        <f>$K$59*#REF!/1000000</f>
        <v>#REF!</v>
      </c>
      <c r="AH70" s="13" t="e">
        <f>$K$59*#REF!/1000000</f>
        <v>#REF!</v>
      </c>
      <c r="AI70" s="13" t="e">
        <f>$K$59*#REF!/1000000</f>
        <v>#REF!</v>
      </c>
      <c r="AJ70" s="13" t="e">
        <f>$K$59*#REF!/1000000</f>
        <v>#REF!</v>
      </c>
      <c r="AK70" s="13" t="e">
        <f>$K$59*#REF!/1000000</f>
        <v>#REF!</v>
      </c>
      <c r="AL70" s="13" t="e">
        <f>$K$59*#REF!/1000000</f>
        <v>#REF!</v>
      </c>
      <c r="AM70" s="13" t="e">
        <f>$K$59*#REF!/1000000</f>
        <v>#REF!</v>
      </c>
    </row>
    <row r="71" spans="1:45" hidden="1" outlineLevel="1" x14ac:dyDescent="0.25">
      <c r="A71">
        <v>2023</v>
      </c>
      <c r="L71" s="13" t="e">
        <f>$L$59*#REF!/1000000</f>
        <v>#REF!</v>
      </c>
      <c r="M71" s="13" t="e">
        <f>$L$59*#REF!/1000000</f>
        <v>#REF!</v>
      </c>
      <c r="N71" s="13" t="e">
        <f>$L$59*#REF!/1000000</f>
        <v>#REF!</v>
      </c>
      <c r="O71" s="13" t="e">
        <f>$L$59*#REF!/1000000</f>
        <v>#REF!</v>
      </c>
      <c r="P71" s="13" t="e">
        <f>$L$59*#REF!/1000000</f>
        <v>#REF!</v>
      </c>
      <c r="Q71" s="13" t="e">
        <f>$L$59*#REF!/1000000</f>
        <v>#REF!</v>
      </c>
      <c r="R71" s="13" t="e">
        <f>$L$59*#REF!/1000000</f>
        <v>#REF!</v>
      </c>
      <c r="S71" s="13" t="e">
        <f>$L$59*#REF!/1000000</f>
        <v>#REF!</v>
      </c>
      <c r="T71" s="13" t="e">
        <f>$L$59*#REF!/1000000</f>
        <v>#REF!</v>
      </c>
      <c r="U71" s="13" t="e">
        <f>$L$59*#REF!/1000000</f>
        <v>#REF!</v>
      </c>
      <c r="V71" s="13" t="e">
        <f>$L$59*#REF!/1000000</f>
        <v>#REF!</v>
      </c>
      <c r="W71" s="13" t="e">
        <f>$L$59*#REF!/1000000</f>
        <v>#REF!</v>
      </c>
      <c r="X71" s="13" t="e">
        <f>$L$59*#REF!/1000000</f>
        <v>#REF!</v>
      </c>
      <c r="Y71" s="13" t="e">
        <f>$L$59*#REF!/1000000</f>
        <v>#REF!</v>
      </c>
      <c r="Z71" s="13" t="e">
        <f>$L$59*#REF!/1000000</f>
        <v>#REF!</v>
      </c>
      <c r="AA71" s="13" t="e">
        <f>$L$59*#REF!/1000000</f>
        <v>#REF!</v>
      </c>
      <c r="AB71" s="13" t="e">
        <f>$L$59*#REF!/1000000</f>
        <v>#REF!</v>
      </c>
      <c r="AC71" s="13" t="e">
        <f>$L$59*#REF!/1000000</f>
        <v>#REF!</v>
      </c>
      <c r="AD71" s="13" t="e">
        <f>$L$59*#REF!/1000000</f>
        <v>#REF!</v>
      </c>
      <c r="AE71" s="13" t="e">
        <f>$L$59*#REF!/1000000</f>
        <v>#REF!</v>
      </c>
      <c r="AF71" s="13" t="e">
        <f>$L$59*#REF!/1000000</f>
        <v>#REF!</v>
      </c>
      <c r="AG71" s="13" t="e">
        <f>$L$59*#REF!/1000000</f>
        <v>#REF!</v>
      </c>
      <c r="AH71" s="13" t="e">
        <f>$L$59*#REF!/1000000</f>
        <v>#REF!</v>
      </c>
      <c r="AI71" s="13" t="e">
        <f>$L$59*#REF!/1000000</f>
        <v>#REF!</v>
      </c>
      <c r="AJ71" s="13" t="e">
        <f>$L$59*#REF!/1000000</f>
        <v>#REF!</v>
      </c>
      <c r="AK71" s="13" t="e">
        <f>$L$59*#REF!/1000000</f>
        <v>#REF!</v>
      </c>
      <c r="AL71" s="13" t="e">
        <f>$L$59*#REF!/1000000</f>
        <v>#REF!</v>
      </c>
      <c r="AM71" s="13" t="e">
        <f>$L$59*#REF!/1000000</f>
        <v>#REF!</v>
      </c>
    </row>
    <row r="72" spans="1:45" hidden="1" outlineLevel="1" x14ac:dyDescent="0.25">
      <c r="A72">
        <v>2024</v>
      </c>
      <c r="M72" s="13" t="e">
        <f>$M$59*#REF!/1000000</f>
        <v>#REF!</v>
      </c>
      <c r="N72" s="13" t="e">
        <f>$M$59*#REF!/1000000</f>
        <v>#REF!</v>
      </c>
      <c r="O72" s="13" t="e">
        <f>$M$59*#REF!/1000000</f>
        <v>#REF!</v>
      </c>
      <c r="P72" s="13" t="e">
        <f>$M$59*#REF!/1000000</f>
        <v>#REF!</v>
      </c>
      <c r="Q72" s="13" t="e">
        <f>$M$59*#REF!/1000000</f>
        <v>#REF!</v>
      </c>
      <c r="R72" s="13" t="e">
        <f>$M$59*#REF!/1000000</f>
        <v>#REF!</v>
      </c>
      <c r="S72" s="13" t="e">
        <f>$M$59*#REF!/1000000</f>
        <v>#REF!</v>
      </c>
      <c r="T72" s="13" t="e">
        <f>$M$59*#REF!/1000000</f>
        <v>#REF!</v>
      </c>
      <c r="U72" s="13" t="e">
        <f>$M$59*#REF!/1000000</f>
        <v>#REF!</v>
      </c>
      <c r="V72" s="13" t="e">
        <f>$M$59*#REF!/1000000</f>
        <v>#REF!</v>
      </c>
      <c r="W72" s="13" t="e">
        <f>$M$59*#REF!/1000000</f>
        <v>#REF!</v>
      </c>
      <c r="X72" s="13" t="e">
        <f>$M$59*#REF!/1000000</f>
        <v>#REF!</v>
      </c>
      <c r="Y72" s="13" t="e">
        <f>$M$59*#REF!/1000000</f>
        <v>#REF!</v>
      </c>
      <c r="Z72" s="13" t="e">
        <f>$M$59*#REF!/1000000</f>
        <v>#REF!</v>
      </c>
      <c r="AA72" s="13" t="e">
        <f>$M$59*#REF!/1000000</f>
        <v>#REF!</v>
      </c>
      <c r="AB72" s="13" t="e">
        <f>$M$59*#REF!/1000000</f>
        <v>#REF!</v>
      </c>
      <c r="AC72" s="13" t="e">
        <f>$M$59*#REF!/1000000</f>
        <v>#REF!</v>
      </c>
      <c r="AD72" s="13" t="e">
        <f>$M$59*#REF!/1000000</f>
        <v>#REF!</v>
      </c>
      <c r="AE72" s="13" t="e">
        <f>$M$59*#REF!/1000000</f>
        <v>#REF!</v>
      </c>
      <c r="AF72" s="13" t="e">
        <f>$M$59*#REF!/1000000</f>
        <v>#REF!</v>
      </c>
      <c r="AG72" s="13" t="e">
        <f>$M$59*#REF!/1000000</f>
        <v>#REF!</v>
      </c>
      <c r="AH72" s="13" t="e">
        <f>$M$59*#REF!/1000000</f>
        <v>#REF!</v>
      </c>
      <c r="AI72" s="13" t="e">
        <f>$M$59*#REF!/1000000</f>
        <v>#REF!</v>
      </c>
      <c r="AJ72" s="13" t="e">
        <f>$M$59*#REF!/1000000</f>
        <v>#REF!</v>
      </c>
      <c r="AK72" s="13" t="e">
        <f>$M$59*#REF!/1000000</f>
        <v>#REF!</v>
      </c>
      <c r="AL72" s="13" t="e">
        <f>$M$59*#REF!/1000000</f>
        <v>#REF!</v>
      </c>
      <c r="AM72" s="13" t="e">
        <f>$M$59*#REF!/1000000</f>
        <v>#REF!</v>
      </c>
    </row>
    <row r="73" spans="1:45" hidden="1" outlineLevel="1" x14ac:dyDescent="0.25">
      <c r="A73">
        <v>2025</v>
      </c>
      <c r="N73" s="13" t="e">
        <f>$N$59*#REF!/1000000</f>
        <v>#REF!</v>
      </c>
      <c r="O73" s="13" t="e">
        <f>$N$59*#REF!/1000000</f>
        <v>#REF!</v>
      </c>
      <c r="P73" s="13" t="e">
        <f>$N$59*#REF!/1000000</f>
        <v>#REF!</v>
      </c>
      <c r="Q73" s="13" t="e">
        <f>$N$59*#REF!/1000000</f>
        <v>#REF!</v>
      </c>
      <c r="R73" s="13" t="e">
        <f>$N$59*#REF!/1000000</f>
        <v>#REF!</v>
      </c>
      <c r="S73" s="13" t="e">
        <f>$N$59*#REF!/1000000</f>
        <v>#REF!</v>
      </c>
      <c r="T73" s="13" t="e">
        <f>$N$59*#REF!/1000000</f>
        <v>#REF!</v>
      </c>
      <c r="U73" s="13" t="e">
        <f>$N$59*#REF!/1000000</f>
        <v>#REF!</v>
      </c>
      <c r="V73" s="13" t="e">
        <f>$N$59*#REF!/1000000</f>
        <v>#REF!</v>
      </c>
      <c r="W73" s="13" t="e">
        <f>$N$59*#REF!/1000000</f>
        <v>#REF!</v>
      </c>
      <c r="X73" s="13" t="e">
        <f>$N$59*#REF!/1000000</f>
        <v>#REF!</v>
      </c>
      <c r="Y73" s="13" t="e">
        <f>$N$59*#REF!/1000000</f>
        <v>#REF!</v>
      </c>
      <c r="Z73" s="13" t="e">
        <f>$N$59*#REF!/1000000</f>
        <v>#REF!</v>
      </c>
      <c r="AA73" s="13" t="e">
        <f>$N$59*#REF!/1000000</f>
        <v>#REF!</v>
      </c>
      <c r="AB73" s="13" t="e">
        <f>$N$59*#REF!/1000000</f>
        <v>#REF!</v>
      </c>
      <c r="AC73" s="13" t="e">
        <f>$N$59*#REF!/1000000</f>
        <v>#REF!</v>
      </c>
      <c r="AD73" s="13" t="e">
        <f>$N$59*#REF!/1000000</f>
        <v>#REF!</v>
      </c>
      <c r="AE73" s="13" t="e">
        <f>$N$59*#REF!/1000000</f>
        <v>#REF!</v>
      </c>
      <c r="AF73" s="13" t="e">
        <f>$N$59*#REF!/1000000</f>
        <v>#REF!</v>
      </c>
      <c r="AG73" s="13" t="e">
        <f>$N$59*#REF!/1000000</f>
        <v>#REF!</v>
      </c>
      <c r="AH73" s="13" t="e">
        <f>$N$59*#REF!/1000000</f>
        <v>#REF!</v>
      </c>
      <c r="AI73" s="13" t="e">
        <f>$N$59*#REF!/1000000</f>
        <v>#REF!</v>
      </c>
      <c r="AJ73" s="13" t="e">
        <f>$N$59*#REF!/1000000</f>
        <v>#REF!</v>
      </c>
      <c r="AK73" s="13" t="e">
        <f>$N$59*#REF!/1000000</f>
        <v>#REF!</v>
      </c>
      <c r="AL73" s="13" t="e">
        <f>$N$59*#REF!/1000000</f>
        <v>#REF!</v>
      </c>
      <c r="AM73" s="13" t="e">
        <f>$N$59*#REF!/1000000</f>
        <v>#REF!</v>
      </c>
    </row>
    <row r="74" spans="1:45" hidden="1" outlineLevel="1" x14ac:dyDescent="0.25">
      <c r="A74">
        <v>2026</v>
      </c>
      <c r="O74" s="13" t="e">
        <f>$O$59*#REF!/1000000</f>
        <v>#REF!</v>
      </c>
      <c r="P74" s="13" t="e">
        <f>$O$59*#REF!/1000000</f>
        <v>#REF!</v>
      </c>
      <c r="Q74" s="13" t="e">
        <f>$O$59*#REF!/1000000</f>
        <v>#REF!</v>
      </c>
      <c r="R74" s="13" t="e">
        <f>$O$59*#REF!/1000000</f>
        <v>#REF!</v>
      </c>
      <c r="S74" s="13" t="e">
        <f>$O$59*#REF!/1000000</f>
        <v>#REF!</v>
      </c>
      <c r="T74" s="13" t="e">
        <f>$O$59*#REF!/1000000</f>
        <v>#REF!</v>
      </c>
      <c r="U74" s="13" t="e">
        <f>$O$59*#REF!/1000000</f>
        <v>#REF!</v>
      </c>
      <c r="V74" s="13" t="e">
        <f>$O$59*#REF!/1000000</f>
        <v>#REF!</v>
      </c>
      <c r="W74" s="13" t="e">
        <f>$O$59*#REF!/1000000</f>
        <v>#REF!</v>
      </c>
      <c r="X74" s="13" t="e">
        <f>$O$59*#REF!/1000000</f>
        <v>#REF!</v>
      </c>
      <c r="Y74" s="13" t="e">
        <f>$O$59*#REF!/1000000</f>
        <v>#REF!</v>
      </c>
      <c r="Z74" s="13" t="e">
        <f>$O$59*#REF!/1000000</f>
        <v>#REF!</v>
      </c>
      <c r="AA74" s="13" t="e">
        <f>$O$59*#REF!/1000000</f>
        <v>#REF!</v>
      </c>
      <c r="AB74" s="13" t="e">
        <f>$O$59*#REF!/1000000</f>
        <v>#REF!</v>
      </c>
      <c r="AC74" s="13" t="e">
        <f>$O$59*#REF!/1000000</f>
        <v>#REF!</v>
      </c>
      <c r="AD74" s="13" t="e">
        <f>$O$59*#REF!/1000000</f>
        <v>#REF!</v>
      </c>
      <c r="AE74" s="13" t="e">
        <f>$O$59*#REF!/1000000</f>
        <v>#REF!</v>
      </c>
      <c r="AF74" s="13" t="e">
        <f>$O$59*#REF!/1000000</f>
        <v>#REF!</v>
      </c>
      <c r="AG74" s="13" t="e">
        <f>$O$59*#REF!/1000000</f>
        <v>#REF!</v>
      </c>
      <c r="AH74" s="13" t="e">
        <f>$O$59*#REF!/1000000</f>
        <v>#REF!</v>
      </c>
      <c r="AI74" s="13" t="e">
        <f>$O$59*#REF!/1000000</f>
        <v>#REF!</v>
      </c>
      <c r="AJ74" s="13" t="e">
        <f>$O$59*#REF!/1000000</f>
        <v>#REF!</v>
      </c>
      <c r="AK74" s="13" t="e">
        <f>$O$59*#REF!/1000000</f>
        <v>#REF!</v>
      </c>
      <c r="AL74" s="13" t="e">
        <f>$O$59*#REF!/1000000</f>
        <v>#REF!</v>
      </c>
      <c r="AM74" s="13" t="e">
        <f>$O$59*#REF!/1000000</f>
        <v>#REF!</v>
      </c>
    </row>
    <row r="75" spans="1:45" hidden="1" outlineLevel="1" x14ac:dyDescent="0.25">
      <c r="A75">
        <v>2027</v>
      </c>
      <c r="P75" s="13" t="e">
        <f>$P$59*#REF!/1000000</f>
        <v>#REF!</v>
      </c>
      <c r="Q75" s="13" t="e">
        <f>$P$59*#REF!/1000000</f>
        <v>#REF!</v>
      </c>
      <c r="R75" s="13" t="e">
        <f>$P$59*#REF!/1000000</f>
        <v>#REF!</v>
      </c>
      <c r="S75" s="13" t="e">
        <f>$P$59*#REF!/1000000</f>
        <v>#REF!</v>
      </c>
      <c r="T75" s="13" t="e">
        <f>$P$59*#REF!/1000000</f>
        <v>#REF!</v>
      </c>
      <c r="U75" s="13" t="e">
        <f>$P$59*#REF!/1000000</f>
        <v>#REF!</v>
      </c>
      <c r="V75" s="13" t="e">
        <f>$P$59*#REF!/1000000</f>
        <v>#REF!</v>
      </c>
      <c r="W75" s="13" t="e">
        <f>$P$59*#REF!/1000000</f>
        <v>#REF!</v>
      </c>
      <c r="X75" s="13" t="e">
        <f>$P$59*#REF!/1000000</f>
        <v>#REF!</v>
      </c>
      <c r="Y75" s="13" t="e">
        <f>$P$59*#REF!/1000000</f>
        <v>#REF!</v>
      </c>
      <c r="Z75" s="13" t="e">
        <f>$P$59*#REF!/1000000</f>
        <v>#REF!</v>
      </c>
      <c r="AA75" s="13" t="e">
        <f>$P$59*#REF!/1000000</f>
        <v>#REF!</v>
      </c>
      <c r="AB75" s="13" t="e">
        <f>$P$59*#REF!/1000000</f>
        <v>#REF!</v>
      </c>
      <c r="AC75" s="13" t="e">
        <f>$P$59*#REF!/1000000</f>
        <v>#REF!</v>
      </c>
      <c r="AD75" s="13" t="e">
        <f>$P$59*#REF!/1000000</f>
        <v>#REF!</v>
      </c>
      <c r="AE75" s="13" t="e">
        <f>$P$59*#REF!/1000000</f>
        <v>#REF!</v>
      </c>
      <c r="AF75" s="13" t="e">
        <f>$P$59*#REF!/1000000</f>
        <v>#REF!</v>
      </c>
      <c r="AG75" s="13" t="e">
        <f>$P$59*#REF!/1000000</f>
        <v>#REF!</v>
      </c>
      <c r="AH75" s="13" t="e">
        <f>$P$59*#REF!/1000000</f>
        <v>#REF!</v>
      </c>
      <c r="AI75" s="13" t="e">
        <f>$P$59*#REF!/1000000</f>
        <v>#REF!</v>
      </c>
      <c r="AJ75" s="13" t="e">
        <f>$P$59*#REF!/1000000</f>
        <v>#REF!</v>
      </c>
      <c r="AK75" s="13" t="e">
        <f>$P$59*#REF!/1000000</f>
        <v>#REF!</v>
      </c>
      <c r="AL75" s="13" t="e">
        <f>$P$59*#REF!/1000000</f>
        <v>#REF!</v>
      </c>
      <c r="AM75" s="13" t="e">
        <f>$P$59*#REF!/1000000</f>
        <v>#REF!</v>
      </c>
    </row>
    <row r="76" spans="1:45" hidden="1" outlineLevel="1" x14ac:dyDescent="0.25">
      <c r="A76">
        <v>2028</v>
      </c>
      <c r="Q76" s="13" t="e">
        <f>$Q$59*#REF!/1000000</f>
        <v>#REF!</v>
      </c>
      <c r="R76" s="13" t="e">
        <f>$Q$59*#REF!/1000000</f>
        <v>#REF!</v>
      </c>
      <c r="S76" s="13" t="e">
        <f>$Q$59*#REF!/1000000</f>
        <v>#REF!</v>
      </c>
      <c r="T76" s="13" t="e">
        <f>$Q$59*#REF!/1000000</f>
        <v>#REF!</v>
      </c>
      <c r="U76" s="13" t="e">
        <f>$Q$59*#REF!/1000000</f>
        <v>#REF!</v>
      </c>
      <c r="V76" s="13" t="e">
        <f>$Q$59*#REF!/1000000</f>
        <v>#REF!</v>
      </c>
      <c r="W76" s="13" t="e">
        <f>$Q$59*#REF!/1000000</f>
        <v>#REF!</v>
      </c>
      <c r="X76" s="13" t="e">
        <f>$Q$59*#REF!/1000000</f>
        <v>#REF!</v>
      </c>
      <c r="Y76" s="13" t="e">
        <f>$Q$59*#REF!/1000000</f>
        <v>#REF!</v>
      </c>
      <c r="Z76" s="13" t="e">
        <f>$Q$59*#REF!/1000000</f>
        <v>#REF!</v>
      </c>
      <c r="AA76" s="13" t="e">
        <f>$Q$59*#REF!/1000000</f>
        <v>#REF!</v>
      </c>
      <c r="AB76" s="13" t="e">
        <f>$Q$59*#REF!/1000000</f>
        <v>#REF!</v>
      </c>
      <c r="AC76" s="13" t="e">
        <f>$Q$59*#REF!/1000000</f>
        <v>#REF!</v>
      </c>
      <c r="AD76" s="13" t="e">
        <f>$Q$59*#REF!/1000000</f>
        <v>#REF!</v>
      </c>
      <c r="AE76" s="13" t="e">
        <f>$Q$59*#REF!/1000000</f>
        <v>#REF!</v>
      </c>
      <c r="AF76" s="13" t="e">
        <f>$Q$59*#REF!/1000000</f>
        <v>#REF!</v>
      </c>
      <c r="AG76" s="13" t="e">
        <f>$Q$59*#REF!/1000000</f>
        <v>#REF!</v>
      </c>
      <c r="AH76" s="13" t="e">
        <f>$Q$59*#REF!/1000000</f>
        <v>#REF!</v>
      </c>
      <c r="AI76" s="13" t="e">
        <f>$Q$59*#REF!/1000000</f>
        <v>#REF!</v>
      </c>
      <c r="AJ76" s="13" t="e">
        <f>$Q$59*#REF!/1000000</f>
        <v>#REF!</v>
      </c>
      <c r="AK76" s="13" t="e">
        <f>$Q$59*#REF!/1000000</f>
        <v>#REF!</v>
      </c>
      <c r="AL76" s="13" t="e">
        <f>$Q$59*#REF!/1000000</f>
        <v>#REF!</v>
      </c>
      <c r="AM76" s="13" t="e">
        <f>$Q$59*#REF!/1000000</f>
        <v>#REF!</v>
      </c>
    </row>
    <row r="77" spans="1:45" hidden="1" outlineLevel="1" x14ac:dyDescent="0.25">
      <c r="A77">
        <v>2029</v>
      </c>
      <c r="R77" s="13" t="e">
        <f>$R$59*#REF!/1000000</f>
        <v>#REF!</v>
      </c>
      <c r="S77" s="13" t="e">
        <f>$R$59*#REF!/1000000</f>
        <v>#REF!</v>
      </c>
      <c r="T77" s="13" t="e">
        <f>$R$59*#REF!/1000000</f>
        <v>#REF!</v>
      </c>
      <c r="U77" s="13" t="e">
        <f>$R$59*#REF!/1000000</f>
        <v>#REF!</v>
      </c>
      <c r="V77" s="13" t="e">
        <f>$R$59*#REF!/1000000</f>
        <v>#REF!</v>
      </c>
      <c r="W77" s="13" t="e">
        <f>$R$59*#REF!/1000000</f>
        <v>#REF!</v>
      </c>
      <c r="X77" s="13" t="e">
        <f>$R$59*#REF!/1000000</f>
        <v>#REF!</v>
      </c>
      <c r="Y77" s="13" t="e">
        <f>$R$59*#REF!/1000000</f>
        <v>#REF!</v>
      </c>
      <c r="Z77" s="13" t="e">
        <f>$R$59*#REF!/1000000</f>
        <v>#REF!</v>
      </c>
      <c r="AA77" s="13" t="e">
        <f>$R$59*#REF!/1000000</f>
        <v>#REF!</v>
      </c>
      <c r="AB77" s="13" t="e">
        <f>$R$59*#REF!/1000000</f>
        <v>#REF!</v>
      </c>
      <c r="AC77" s="13" t="e">
        <f>$R$59*#REF!/1000000</f>
        <v>#REF!</v>
      </c>
      <c r="AD77" s="13" t="e">
        <f>$R$59*#REF!/1000000</f>
        <v>#REF!</v>
      </c>
      <c r="AE77" s="13" t="e">
        <f>$R$59*#REF!/1000000</f>
        <v>#REF!</v>
      </c>
      <c r="AF77" s="13" t="e">
        <f>$R$59*#REF!/1000000</f>
        <v>#REF!</v>
      </c>
      <c r="AG77" s="13" t="e">
        <f>$R$59*#REF!/1000000</f>
        <v>#REF!</v>
      </c>
      <c r="AH77" s="13" t="e">
        <f>$R$59*#REF!/1000000</f>
        <v>#REF!</v>
      </c>
      <c r="AI77" s="13" t="e">
        <f>$R$59*#REF!/1000000</f>
        <v>#REF!</v>
      </c>
      <c r="AJ77" s="13" t="e">
        <f>$R$59*#REF!/1000000</f>
        <v>#REF!</v>
      </c>
      <c r="AK77" s="13" t="e">
        <f>$R$59*#REF!/1000000</f>
        <v>#REF!</v>
      </c>
      <c r="AL77" s="13" t="e">
        <f>$R$59*#REF!/1000000</f>
        <v>#REF!</v>
      </c>
      <c r="AM77" s="13" t="e">
        <f>$R$59*#REF!/1000000</f>
        <v>#REF!</v>
      </c>
    </row>
    <row r="78" spans="1:45" hidden="1" outlineLevel="1" x14ac:dyDescent="0.25">
      <c r="A78">
        <v>2030</v>
      </c>
      <c r="S78" s="13" t="e">
        <f>$S$59*#REF!/1000000</f>
        <v>#REF!</v>
      </c>
      <c r="T78" s="13" t="e">
        <f>$S$59*#REF!/1000000</f>
        <v>#REF!</v>
      </c>
      <c r="U78" s="13" t="e">
        <f>$S$59*#REF!/1000000</f>
        <v>#REF!</v>
      </c>
      <c r="V78" s="13" t="e">
        <f>$S$59*#REF!/1000000</f>
        <v>#REF!</v>
      </c>
      <c r="W78" s="13" t="e">
        <f>$S$59*#REF!/1000000</f>
        <v>#REF!</v>
      </c>
      <c r="X78" s="13" t="e">
        <f>$S$59*#REF!/1000000</f>
        <v>#REF!</v>
      </c>
      <c r="Y78" s="13" t="e">
        <f>$S$59*#REF!/1000000</f>
        <v>#REF!</v>
      </c>
      <c r="Z78" s="13" t="e">
        <f>$S$59*#REF!/1000000</f>
        <v>#REF!</v>
      </c>
      <c r="AA78" s="13" t="e">
        <f>$S$59*#REF!/1000000</f>
        <v>#REF!</v>
      </c>
      <c r="AB78" s="13" t="e">
        <f>$S$59*#REF!/1000000</f>
        <v>#REF!</v>
      </c>
      <c r="AC78" s="13" t="e">
        <f>$S$59*#REF!/1000000</f>
        <v>#REF!</v>
      </c>
      <c r="AD78" s="13" t="e">
        <f>$S$59*#REF!/1000000</f>
        <v>#REF!</v>
      </c>
      <c r="AE78" s="13" t="e">
        <f>$S$59*#REF!/1000000</f>
        <v>#REF!</v>
      </c>
      <c r="AF78" s="13" t="e">
        <f>$S$59*#REF!/1000000</f>
        <v>#REF!</v>
      </c>
      <c r="AG78" s="13" t="e">
        <f>$S$59*#REF!/1000000</f>
        <v>#REF!</v>
      </c>
      <c r="AH78" s="13" t="e">
        <f>$S$59*#REF!/1000000</f>
        <v>#REF!</v>
      </c>
      <c r="AI78" s="13" t="e">
        <f>$S$59*#REF!/1000000</f>
        <v>#REF!</v>
      </c>
      <c r="AJ78" s="13" t="e">
        <f>$S$59*#REF!/1000000</f>
        <v>#REF!</v>
      </c>
      <c r="AK78" s="13" t="e">
        <f>$S$59*#REF!/1000000</f>
        <v>#REF!</v>
      </c>
      <c r="AL78" s="13" t="e">
        <f>$S$59*#REF!/1000000</f>
        <v>#REF!</v>
      </c>
      <c r="AM78" s="13" t="e">
        <f>$S$59*#REF!/1000000</f>
        <v>#REF!</v>
      </c>
    </row>
    <row r="79" spans="1:45" hidden="1" outlineLevel="1" x14ac:dyDescent="0.25">
      <c r="A79">
        <v>2031</v>
      </c>
      <c r="T79" s="13" t="e">
        <f>$T$59*#REF!/1000000</f>
        <v>#REF!</v>
      </c>
      <c r="U79" s="13" t="e">
        <f>$T$59*#REF!/1000000</f>
        <v>#REF!</v>
      </c>
      <c r="V79" s="13" t="e">
        <f>$T$59*#REF!/1000000</f>
        <v>#REF!</v>
      </c>
      <c r="W79" s="13" t="e">
        <f>$T$59*#REF!/1000000</f>
        <v>#REF!</v>
      </c>
      <c r="X79" s="13" t="e">
        <f>$T$59*#REF!/1000000</f>
        <v>#REF!</v>
      </c>
      <c r="Y79" s="13" t="e">
        <f>$T$59*#REF!/1000000</f>
        <v>#REF!</v>
      </c>
      <c r="Z79" s="13" t="e">
        <f>$T$59*#REF!/1000000</f>
        <v>#REF!</v>
      </c>
      <c r="AA79" s="13" t="e">
        <f>$T$59*#REF!/1000000</f>
        <v>#REF!</v>
      </c>
      <c r="AB79" s="13" t="e">
        <f>$T$59*#REF!/1000000</f>
        <v>#REF!</v>
      </c>
      <c r="AC79" s="13" t="e">
        <f>$T$59*#REF!/1000000</f>
        <v>#REF!</v>
      </c>
      <c r="AD79" s="13" t="e">
        <f>$T$59*#REF!/1000000</f>
        <v>#REF!</v>
      </c>
      <c r="AE79" s="13" t="e">
        <f>$T$59*#REF!/1000000</f>
        <v>#REF!</v>
      </c>
      <c r="AF79" s="13" t="e">
        <f>$T$59*#REF!/1000000</f>
        <v>#REF!</v>
      </c>
      <c r="AG79" s="13" t="e">
        <f>$T$59*#REF!/1000000</f>
        <v>#REF!</v>
      </c>
      <c r="AH79" s="13" t="e">
        <f>$T$59*#REF!/1000000</f>
        <v>#REF!</v>
      </c>
      <c r="AI79" s="13" t="e">
        <f>$T$59*#REF!/1000000</f>
        <v>#REF!</v>
      </c>
      <c r="AJ79" s="13" t="e">
        <f>$T$59*#REF!/1000000</f>
        <v>#REF!</v>
      </c>
      <c r="AK79" s="13" t="e">
        <f>$T$59*#REF!/1000000</f>
        <v>#REF!</v>
      </c>
      <c r="AL79" s="13" t="e">
        <f>$T$59*#REF!/1000000</f>
        <v>#REF!</v>
      </c>
      <c r="AM79" s="13" t="e">
        <f>$T$59*#REF!/1000000</f>
        <v>#REF!</v>
      </c>
    </row>
    <row r="80" spans="1:45" hidden="1" outlineLevel="1" x14ac:dyDescent="0.25">
      <c r="A80">
        <v>2032</v>
      </c>
      <c r="U80" s="13" t="e">
        <f>$U$59*#REF!/1000000</f>
        <v>#REF!</v>
      </c>
      <c r="V80" s="13" t="e">
        <f>$U$59*#REF!/1000000</f>
        <v>#REF!</v>
      </c>
      <c r="W80" s="13" t="e">
        <f>$U$59*#REF!/1000000</f>
        <v>#REF!</v>
      </c>
      <c r="X80" s="13" t="e">
        <f>$U$59*#REF!/1000000</f>
        <v>#REF!</v>
      </c>
      <c r="Y80" s="13" t="e">
        <f>$U$59*#REF!/1000000</f>
        <v>#REF!</v>
      </c>
      <c r="Z80" s="13" t="e">
        <f>$U$59*#REF!/1000000</f>
        <v>#REF!</v>
      </c>
      <c r="AA80" s="13" t="e">
        <f>$U$59*#REF!/1000000</f>
        <v>#REF!</v>
      </c>
      <c r="AB80" s="13" t="e">
        <f>$U$59*#REF!/1000000</f>
        <v>#REF!</v>
      </c>
      <c r="AC80" s="13" t="e">
        <f>$U$59*#REF!/1000000</f>
        <v>#REF!</v>
      </c>
      <c r="AD80" s="13" t="e">
        <f>$U$59*#REF!/1000000</f>
        <v>#REF!</v>
      </c>
      <c r="AE80" s="13" t="e">
        <f>$U$59*#REF!/1000000</f>
        <v>#REF!</v>
      </c>
      <c r="AF80" s="13" t="e">
        <f>$U$59*#REF!/1000000</f>
        <v>#REF!</v>
      </c>
      <c r="AG80" s="13" t="e">
        <f>$U$59*#REF!/1000000</f>
        <v>#REF!</v>
      </c>
      <c r="AH80" s="13" t="e">
        <f>$U$59*#REF!/1000000</f>
        <v>#REF!</v>
      </c>
      <c r="AI80" s="13" t="e">
        <f>$U$59*#REF!/1000000</f>
        <v>#REF!</v>
      </c>
      <c r="AJ80" s="13" t="e">
        <f>$U$59*#REF!/1000000</f>
        <v>#REF!</v>
      </c>
      <c r="AK80" s="13" t="e">
        <f>$U$59*#REF!/1000000</f>
        <v>#REF!</v>
      </c>
      <c r="AL80" s="13" t="e">
        <f>$U$59*#REF!/1000000</f>
        <v>#REF!</v>
      </c>
      <c r="AM80" s="13" t="e">
        <f>$U$59*#REF!/1000000</f>
        <v>#REF!</v>
      </c>
      <c r="AN80" s="13"/>
    </row>
    <row r="81" spans="1:56" hidden="1" outlineLevel="1" x14ac:dyDescent="0.25">
      <c r="A81">
        <v>2033</v>
      </c>
      <c r="V81" s="13" t="e">
        <f>$V$59*#REF!/1000000</f>
        <v>#REF!</v>
      </c>
      <c r="W81" s="13" t="e">
        <f>$V$59*#REF!/1000000</f>
        <v>#REF!</v>
      </c>
      <c r="X81" s="13" t="e">
        <f>$V$59*#REF!/1000000</f>
        <v>#REF!</v>
      </c>
      <c r="Y81" s="13" t="e">
        <f>$V$59*#REF!/1000000</f>
        <v>#REF!</v>
      </c>
      <c r="Z81" s="13" t="e">
        <f>$V$59*#REF!/1000000</f>
        <v>#REF!</v>
      </c>
      <c r="AA81" s="13" t="e">
        <f>$V$59*#REF!/1000000</f>
        <v>#REF!</v>
      </c>
      <c r="AB81" s="13" t="e">
        <f>$V$59*#REF!/1000000</f>
        <v>#REF!</v>
      </c>
      <c r="AC81" s="13" t="e">
        <f>$V$59*#REF!/1000000</f>
        <v>#REF!</v>
      </c>
      <c r="AD81" s="13" t="e">
        <f>$V$59*#REF!/1000000</f>
        <v>#REF!</v>
      </c>
      <c r="AE81" s="13" t="e">
        <f>$V$59*#REF!/1000000</f>
        <v>#REF!</v>
      </c>
      <c r="AF81" s="13" t="e">
        <f>$V$59*#REF!/1000000</f>
        <v>#REF!</v>
      </c>
      <c r="AG81" s="13" t="e">
        <f>$V$59*#REF!/1000000</f>
        <v>#REF!</v>
      </c>
      <c r="AH81" s="13" t="e">
        <f>$V$59*#REF!/1000000</f>
        <v>#REF!</v>
      </c>
      <c r="AI81" s="13" t="e">
        <f>$V$59*#REF!/1000000</f>
        <v>#REF!</v>
      </c>
      <c r="AJ81" s="13" t="e">
        <f>$V$59*#REF!/1000000</f>
        <v>#REF!</v>
      </c>
      <c r="AK81" s="13" t="e">
        <f>$V$59*#REF!/1000000</f>
        <v>#REF!</v>
      </c>
      <c r="AL81" s="13" t="e">
        <f>$V$59*#REF!/1000000</f>
        <v>#REF!</v>
      </c>
      <c r="AM81" s="13" t="e">
        <f>$V$59*#REF!/1000000</f>
        <v>#REF!</v>
      </c>
      <c r="AN81" s="13"/>
      <c r="AO81" s="13"/>
    </row>
    <row r="82" spans="1:56" hidden="1" outlineLevel="1" x14ac:dyDescent="0.25">
      <c r="A82">
        <v>2034</v>
      </c>
      <c r="W82" s="13" t="e">
        <f>$W$59*#REF!/1000000</f>
        <v>#REF!</v>
      </c>
      <c r="X82" s="13" t="e">
        <f>$W$59*#REF!/1000000</f>
        <v>#REF!</v>
      </c>
      <c r="Y82" s="13" t="e">
        <f>$W$59*#REF!/1000000</f>
        <v>#REF!</v>
      </c>
      <c r="Z82" s="13" t="e">
        <f>$W$59*#REF!/1000000</f>
        <v>#REF!</v>
      </c>
      <c r="AA82" s="13" t="e">
        <f>$W$59*#REF!/1000000</f>
        <v>#REF!</v>
      </c>
      <c r="AB82" s="13" t="e">
        <f>$W$59*#REF!/1000000</f>
        <v>#REF!</v>
      </c>
      <c r="AC82" s="13" t="e">
        <f>$W$59*#REF!/1000000</f>
        <v>#REF!</v>
      </c>
      <c r="AD82" s="13" t="e">
        <f>$W$59*#REF!/1000000</f>
        <v>#REF!</v>
      </c>
      <c r="AE82" s="13" t="e">
        <f>$W$59*#REF!/1000000</f>
        <v>#REF!</v>
      </c>
      <c r="AF82" s="13" t="e">
        <f>$W$59*#REF!/1000000</f>
        <v>#REF!</v>
      </c>
      <c r="AG82" s="13" t="e">
        <f>$W$59*#REF!/1000000</f>
        <v>#REF!</v>
      </c>
      <c r="AH82" s="13" t="e">
        <f>$W$59*#REF!/1000000</f>
        <v>#REF!</v>
      </c>
      <c r="AI82" s="13" t="e">
        <f>$W$59*#REF!/1000000</f>
        <v>#REF!</v>
      </c>
      <c r="AJ82" s="13" t="e">
        <f>$W$59*#REF!/1000000</f>
        <v>#REF!</v>
      </c>
      <c r="AK82" s="13" t="e">
        <f>$W$59*#REF!/1000000</f>
        <v>#REF!</v>
      </c>
      <c r="AL82" s="13" t="e">
        <f>$W$59*#REF!/1000000</f>
        <v>#REF!</v>
      </c>
      <c r="AM82" s="13" t="e">
        <f>$W$59*#REF!/1000000</f>
        <v>#REF!</v>
      </c>
      <c r="AN82" s="13"/>
      <c r="AO82" s="13"/>
      <c r="AP82" s="13"/>
    </row>
    <row r="83" spans="1:56" hidden="1" outlineLevel="1" x14ac:dyDescent="0.25">
      <c r="A83">
        <v>2035</v>
      </c>
      <c r="X83" s="13" t="e">
        <f>$X$59*#REF!/1000000</f>
        <v>#REF!</v>
      </c>
      <c r="Y83" s="13" t="e">
        <f>$X$59*#REF!/1000000</f>
        <v>#REF!</v>
      </c>
      <c r="Z83" s="13" t="e">
        <f>$X$59*#REF!/1000000</f>
        <v>#REF!</v>
      </c>
      <c r="AA83" s="13" t="e">
        <f>$X$59*#REF!/1000000</f>
        <v>#REF!</v>
      </c>
      <c r="AB83" s="13" t="e">
        <f>$X$59*#REF!/1000000</f>
        <v>#REF!</v>
      </c>
      <c r="AC83" s="13" t="e">
        <f>$X$59*#REF!/1000000</f>
        <v>#REF!</v>
      </c>
      <c r="AD83" s="13" t="e">
        <f>$X$59*#REF!/1000000</f>
        <v>#REF!</v>
      </c>
      <c r="AE83" s="13" t="e">
        <f>$X$59*#REF!/1000000</f>
        <v>#REF!</v>
      </c>
      <c r="AF83" s="13" t="e">
        <f>$X$59*#REF!/1000000</f>
        <v>#REF!</v>
      </c>
      <c r="AG83" s="13" t="e">
        <f>$X$59*#REF!/1000000</f>
        <v>#REF!</v>
      </c>
      <c r="AH83" s="13" t="e">
        <f>$X$59*#REF!/1000000</f>
        <v>#REF!</v>
      </c>
      <c r="AI83" s="13" t="e">
        <f>$X$59*#REF!/1000000</f>
        <v>#REF!</v>
      </c>
      <c r="AJ83" s="13" t="e">
        <f>$X$59*#REF!/1000000</f>
        <v>#REF!</v>
      </c>
      <c r="AK83" s="13" t="e">
        <f>$X$59*#REF!/1000000</f>
        <v>#REF!</v>
      </c>
      <c r="AL83" s="13" t="e">
        <f>$X$59*#REF!/1000000</f>
        <v>#REF!</v>
      </c>
      <c r="AM83" s="13" t="e">
        <f>$X$59*#REF!/1000000</f>
        <v>#REF!</v>
      </c>
      <c r="AN83" s="13"/>
      <c r="AO83" s="13"/>
      <c r="AP83" s="13"/>
      <c r="AQ83" s="13"/>
    </row>
    <row r="84" spans="1:56" hidden="1" outlineLevel="1" x14ac:dyDescent="0.25">
      <c r="A84">
        <v>2036</v>
      </c>
      <c r="Y84" s="13" t="e">
        <f>$Y$59*#REF!/1000000</f>
        <v>#REF!</v>
      </c>
      <c r="Z84" s="13" t="e">
        <f>$Y$59*#REF!/1000000</f>
        <v>#REF!</v>
      </c>
      <c r="AA84" s="13" t="e">
        <f>$Y$59*#REF!/1000000</f>
        <v>#REF!</v>
      </c>
      <c r="AB84" s="13" t="e">
        <f>$Y$59*#REF!/1000000</f>
        <v>#REF!</v>
      </c>
      <c r="AC84" s="13" t="e">
        <f>$Y$59*#REF!/1000000</f>
        <v>#REF!</v>
      </c>
      <c r="AD84" s="13" t="e">
        <f>$Y$59*#REF!/1000000</f>
        <v>#REF!</v>
      </c>
      <c r="AE84" s="13" t="e">
        <f>$Y$59*#REF!/1000000</f>
        <v>#REF!</v>
      </c>
      <c r="AF84" s="13" t="e">
        <f>$Y$59*#REF!/1000000</f>
        <v>#REF!</v>
      </c>
      <c r="AG84" s="13" t="e">
        <f>$Y$59*#REF!/1000000</f>
        <v>#REF!</v>
      </c>
      <c r="AH84" s="13" t="e">
        <f>$Y$59*#REF!/1000000</f>
        <v>#REF!</v>
      </c>
      <c r="AI84" s="13" t="e">
        <f>$Y$59*#REF!/1000000</f>
        <v>#REF!</v>
      </c>
      <c r="AJ84" s="13" t="e">
        <f>$Y$59*#REF!/1000000</f>
        <v>#REF!</v>
      </c>
      <c r="AK84" s="13" t="e">
        <f>$Y$59*#REF!/1000000</f>
        <v>#REF!</v>
      </c>
      <c r="AL84" s="13" t="e">
        <f>$Y$59*#REF!/1000000</f>
        <v>#REF!</v>
      </c>
      <c r="AM84" s="13" t="e">
        <f>$Y$59*#REF!/1000000</f>
        <v>#REF!</v>
      </c>
      <c r="AN84" s="13"/>
      <c r="AO84" s="13"/>
      <c r="AP84" s="13"/>
      <c r="AQ84" s="13"/>
      <c r="AR84" s="13"/>
    </row>
    <row r="85" spans="1:56" hidden="1" outlineLevel="1" x14ac:dyDescent="0.25">
      <c r="A85">
        <v>2037</v>
      </c>
      <c r="Z85" s="13" t="e">
        <f>$Z$59*#REF!/1000000</f>
        <v>#REF!</v>
      </c>
      <c r="AA85" s="13" t="e">
        <f>$Z$59*#REF!/1000000</f>
        <v>#REF!</v>
      </c>
      <c r="AB85" s="13" t="e">
        <f>$Z$59*#REF!/1000000</f>
        <v>#REF!</v>
      </c>
      <c r="AC85" s="13" t="e">
        <f>$Z$59*#REF!/1000000</f>
        <v>#REF!</v>
      </c>
      <c r="AD85" s="13" t="e">
        <f>$Z$59*#REF!/1000000</f>
        <v>#REF!</v>
      </c>
      <c r="AE85" s="13" t="e">
        <f>$Z$59*#REF!/1000000</f>
        <v>#REF!</v>
      </c>
      <c r="AF85" s="13" t="e">
        <f>$Z$59*#REF!/1000000</f>
        <v>#REF!</v>
      </c>
      <c r="AG85" s="13" t="e">
        <f>$Z$59*#REF!/1000000</f>
        <v>#REF!</v>
      </c>
      <c r="AH85" s="13" t="e">
        <f>$Z$59*#REF!/1000000</f>
        <v>#REF!</v>
      </c>
      <c r="AI85" s="13" t="e">
        <f>$Z$59*#REF!/1000000</f>
        <v>#REF!</v>
      </c>
      <c r="AJ85" s="13" t="e">
        <f>$Z$59*#REF!/1000000</f>
        <v>#REF!</v>
      </c>
      <c r="AK85" s="13" t="e">
        <f>$Z$59*#REF!/1000000</f>
        <v>#REF!</v>
      </c>
      <c r="AL85" s="13" t="e">
        <f>$Z$59*#REF!/1000000</f>
        <v>#REF!</v>
      </c>
      <c r="AM85" s="13" t="e">
        <f>$Z$59*#REF!/1000000</f>
        <v>#REF!</v>
      </c>
      <c r="AN85" s="13"/>
      <c r="AO85" s="13"/>
      <c r="AP85" s="13"/>
      <c r="AQ85" s="13"/>
      <c r="AR85" s="13"/>
      <c r="AS85" s="13"/>
    </row>
    <row r="86" spans="1:56" hidden="1" outlineLevel="1" x14ac:dyDescent="0.25">
      <c r="A86">
        <v>2038</v>
      </c>
      <c r="AA86" s="13" t="e">
        <f>$AA$59*#REF!/1000000</f>
        <v>#REF!</v>
      </c>
      <c r="AB86" s="13" t="e">
        <f>$AA$59*#REF!/1000000</f>
        <v>#REF!</v>
      </c>
      <c r="AC86" s="13" t="e">
        <f>$AA$59*#REF!/1000000</f>
        <v>#REF!</v>
      </c>
      <c r="AD86" s="13" t="e">
        <f>$AA$59*#REF!/1000000</f>
        <v>#REF!</v>
      </c>
      <c r="AE86" s="13" t="e">
        <f>$AA$59*#REF!/1000000</f>
        <v>#REF!</v>
      </c>
      <c r="AF86" s="13" t="e">
        <f>$AA$59*#REF!/1000000</f>
        <v>#REF!</v>
      </c>
      <c r="AG86" s="13" t="e">
        <f>$AA$59*#REF!/1000000</f>
        <v>#REF!</v>
      </c>
      <c r="AH86" s="13" t="e">
        <f>$AA$59*#REF!/1000000</f>
        <v>#REF!</v>
      </c>
      <c r="AI86" s="13" t="e">
        <f>$AA$59*#REF!/1000000</f>
        <v>#REF!</v>
      </c>
      <c r="AJ86" s="13" t="e">
        <f>$AA$59*#REF!/1000000</f>
        <v>#REF!</v>
      </c>
      <c r="AK86" s="13" t="e">
        <f>$AA$59*#REF!/1000000</f>
        <v>#REF!</v>
      </c>
      <c r="AL86" s="13" t="e">
        <f>$AA$59*#REF!/1000000</f>
        <v>#REF!</v>
      </c>
      <c r="AM86" s="13" t="e">
        <f>$AA$59*#REF!/1000000</f>
        <v>#REF!</v>
      </c>
      <c r="AN86" s="13"/>
      <c r="AO86" s="13"/>
      <c r="AP86" s="13"/>
      <c r="AQ86" s="13"/>
      <c r="AR86" s="13"/>
      <c r="AS86" s="13"/>
      <c r="AT86" s="13"/>
    </row>
    <row r="87" spans="1:56" hidden="1" outlineLevel="1" x14ac:dyDescent="0.25">
      <c r="A87">
        <v>2039</v>
      </c>
      <c r="AB87" s="13" t="e">
        <f>$AB$59*#REF!/1000000</f>
        <v>#REF!</v>
      </c>
      <c r="AC87" s="13" t="e">
        <f>$AB$59*#REF!/1000000</f>
        <v>#REF!</v>
      </c>
      <c r="AD87" s="13" t="e">
        <f>$AB$59*#REF!/1000000</f>
        <v>#REF!</v>
      </c>
      <c r="AE87" s="13" t="e">
        <f>$AB$59*#REF!/1000000</f>
        <v>#REF!</v>
      </c>
      <c r="AF87" s="13" t="e">
        <f>$AB$59*#REF!/1000000</f>
        <v>#REF!</v>
      </c>
      <c r="AG87" s="13" t="e">
        <f>$AB$59*#REF!/1000000</f>
        <v>#REF!</v>
      </c>
      <c r="AH87" s="13" t="e">
        <f>$AB$59*#REF!/1000000</f>
        <v>#REF!</v>
      </c>
      <c r="AI87" s="13" t="e">
        <f>$AB$59*#REF!/1000000</f>
        <v>#REF!</v>
      </c>
      <c r="AJ87" s="13" t="e">
        <f>$AB$59*#REF!/1000000</f>
        <v>#REF!</v>
      </c>
      <c r="AK87" s="13" t="e">
        <f>$AB$59*#REF!/1000000</f>
        <v>#REF!</v>
      </c>
      <c r="AL87" s="13" t="e">
        <f>$AB$59*#REF!/1000000</f>
        <v>#REF!</v>
      </c>
      <c r="AM87" s="13" t="e">
        <f>$AB$59*#REF!/1000000</f>
        <v>#REF!</v>
      </c>
      <c r="AN87" s="13"/>
      <c r="AO87" s="13"/>
      <c r="AP87" s="13"/>
      <c r="AQ87" s="13"/>
      <c r="AR87" s="13"/>
      <c r="AS87" s="13"/>
      <c r="AT87" s="13"/>
      <c r="AU87" s="13"/>
    </row>
    <row r="88" spans="1:56" hidden="1" outlineLevel="1" x14ac:dyDescent="0.25">
      <c r="A88">
        <v>2040</v>
      </c>
      <c r="AC88" s="13" t="e">
        <f>$AC$59*#REF!/1000000</f>
        <v>#REF!</v>
      </c>
      <c r="AD88" s="13" t="e">
        <f>$AC$59*#REF!/1000000</f>
        <v>#REF!</v>
      </c>
      <c r="AE88" s="13" t="e">
        <f>$AC$59*#REF!/1000000</f>
        <v>#REF!</v>
      </c>
      <c r="AF88" s="13" t="e">
        <f>$AC$59*#REF!/1000000</f>
        <v>#REF!</v>
      </c>
      <c r="AG88" s="13" t="e">
        <f>$AC$59*#REF!/1000000</f>
        <v>#REF!</v>
      </c>
      <c r="AH88" s="13" t="e">
        <f>$AC$59*#REF!/1000000</f>
        <v>#REF!</v>
      </c>
      <c r="AI88" s="13" t="e">
        <f>$AC$59*#REF!/1000000</f>
        <v>#REF!</v>
      </c>
      <c r="AJ88" s="13" t="e">
        <f>$AC$59*#REF!/1000000</f>
        <v>#REF!</v>
      </c>
      <c r="AK88" s="13" t="e">
        <f>$AC$59*#REF!/1000000</f>
        <v>#REF!</v>
      </c>
      <c r="AL88" s="13" t="e">
        <f>$AC$59*#REF!/1000000</f>
        <v>#REF!</v>
      </c>
      <c r="AM88" s="13" t="e">
        <f>$AC$59*#REF!/1000000</f>
        <v>#REF!</v>
      </c>
      <c r="AN88" s="13"/>
      <c r="AO88" s="13"/>
      <c r="AP88" s="13"/>
      <c r="AQ88" s="13"/>
      <c r="AR88" s="13"/>
      <c r="AS88" s="13"/>
      <c r="AT88" s="13"/>
      <c r="AU88" s="13"/>
      <c r="AV88" s="13"/>
    </row>
    <row r="89" spans="1:56" hidden="1" outlineLevel="1" x14ac:dyDescent="0.25">
      <c r="A89">
        <v>2041</v>
      </c>
      <c r="AD89" s="13" t="e">
        <f>$AD$59*#REF!/1000000</f>
        <v>#REF!</v>
      </c>
      <c r="AE89" s="13" t="e">
        <f>$AD$59*#REF!/1000000</f>
        <v>#REF!</v>
      </c>
      <c r="AF89" s="13" t="e">
        <f>$AD$59*#REF!/1000000</f>
        <v>#REF!</v>
      </c>
      <c r="AG89" s="13" t="e">
        <f>$AD$59*#REF!/1000000</f>
        <v>#REF!</v>
      </c>
      <c r="AH89" s="13" t="e">
        <f>$AD$59*#REF!/1000000</f>
        <v>#REF!</v>
      </c>
      <c r="AI89" s="13" t="e">
        <f>$AD$59*#REF!/1000000</f>
        <v>#REF!</v>
      </c>
      <c r="AJ89" s="13" t="e">
        <f>$AD$59*#REF!/1000000</f>
        <v>#REF!</v>
      </c>
      <c r="AK89" s="13" t="e">
        <f>$AD$59*#REF!/1000000</f>
        <v>#REF!</v>
      </c>
      <c r="AL89" s="13" t="e">
        <f>$AD$59*#REF!/1000000</f>
        <v>#REF!</v>
      </c>
      <c r="AM89" s="13" t="e">
        <f>$AD$59*#REF!/1000000</f>
        <v>#REF!</v>
      </c>
      <c r="AN89" s="13"/>
      <c r="AO89" s="13"/>
      <c r="AP89" s="13"/>
      <c r="AQ89" s="13"/>
      <c r="AR89" s="13"/>
      <c r="AS89" s="13"/>
      <c r="AT89" s="13"/>
      <c r="AU89" s="13"/>
      <c r="AV89" s="13"/>
      <c r="AW89" s="13"/>
    </row>
    <row r="90" spans="1:56" hidden="1" outlineLevel="1" x14ac:dyDescent="0.25">
      <c r="A90">
        <v>2042</v>
      </c>
      <c r="AE90" s="13" t="e">
        <f>$AE$59*#REF!/1000000</f>
        <v>#REF!</v>
      </c>
      <c r="AF90" s="13" t="e">
        <f>$AE$59*#REF!/1000000</f>
        <v>#REF!</v>
      </c>
      <c r="AG90" s="13" t="e">
        <f>$AE$59*#REF!/1000000</f>
        <v>#REF!</v>
      </c>
      <c r="AH90" s="13" t="e">
        <f>$AE$59*#REF!/1000000</f>
        <v>#REF!</v>
      </c>
      <c r="AI90" s="13" t="e">
        <f>$AE$59*#REF!/1000000</f>
        <v>#REF!</v>
      </c>
      <c r="AJ90" s="13" t="e">
        <f>$AE$59*#REF!/1000000</f>
        <v>#REF!</v>
      </c>
      <c r="AK90" s="13" t="e">
        <f>$AE$59*#REF!/1000000</f>
        <v>#REF!</v>
      </c>
      <c r="AL90" s="13" t="e">
        <f>$AE$59*#REF!/1000000</f>
        <v>#REF!</v>
      </c>
      <c r="AM90" s="13" t="e">
        <f>$AE$59*#REF!/1000000</f>
        <v>#REF!</v>
      </c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spans="1:56" hidden="1" outlineLevel="1" x14ac:dyDescent="0.25">
      <c r="A91">
        <v>2043</v>
      </c>
      <c r="AF91" s="13" t="e">
        <f>$AF$59*#REF!/1000000</f>
        <v>#REF!</v>
      </c>
      <c r="AG91" s="13" t="e">
        <f>$AF$59*#REF!/1000000</f>
        <v>#REF!</v>
      </c>
      <c r="AH91" s="13" t="e">
        <f>$AF$59*#REF!/1000000</f>
        <v>#REF!</v>
      </c>
      <c r="AI91" s="13" t="e">
        <f>$AF$59*#REF!/1000000</f>
        <v>#REF!</v>
      </c>
      <c r="AJ91" s="13" t="e">
        <f>$AF$59*#REF!/1000000</f>
        <v>#REF!</v>
      </c>
      <c r="AK91" s="13" t="e">
        <f>$AF$59*#REF!/1000000</f>
        <v>#REF!</v>
      </c>
      <c r="AL91" s="13" t="e">
        <f>$AF$59*#REF!/1000000</f>
        <v>#REF!</v>
      </c>
      <c r="AM91" s="13" t="e">
        <f>$AF$59*#REF!/1000000</f>
        <v>#REF!</v>
      </c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</row>
    <row r="92" spans="1:56" hidden="1" outlineLevel="1" x14ac:dyDescent="0.25">
      <c r="A92">
        <v>2044</v>
      </c>
      <c r="AG92" s="13" t="e">
        <f>$AG$59*#REF!/1000000</f>
        <v>#REF!</v>
      </c>
      <c r="AH92" s="13" t="e">
        <f>$AG$59*#REF!/1000000</f>
        <v>#REF!</v>
      </c>
      <c r="AI92" s="13" t="e">
        <f>$AG$59*#REF!/1000000</f>
        <v>#REF!</v>
      </c>
      <c r="AJ92" s="13" t="e">
        <f>$AG$59*#REF!/1000000</f>
        <v>#REF!</v>
      </c>
      <c r="AK92" s="13" t="e">
        <f>$AG$59*#REF!/1000000</f>
        <v>#REF!</v>
      </c>
      <c r="AL92" s="13" t="e">
        <f>$AG$59*#REF!/1000000</f>
        <v>#REF!</v>
      </c>
      <c r="AM92" s="13" t="e">
        <f>$AG$59*#REF!/1000000</f>
        <v>#REF!</v>
      </c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 spans="1:56" hidden="1" outlineLevel="1" x14ac:dyDescent="0.25">
      <c r="A93">
        <v>2045</v>
      </c>
      <c r="AH93" s="13" t="e">
        <f>$AH$59*#REF!/1000000</f>
        <v>#REF!</v>
      </c>
      <c r="AI93" s="13" t="e">
        <f>$AH$59*#REF!/1000000</f>
        <v>#REF!</v>
      </c>
      <c r="AJ93" s="13" t="e">
        <f>$AH$59*#REF!/1000000</f>
        <v>#REF!</v>
      </c>
      <c r="AK93" s="13" t="e">
        <f>$AH$59*#REF!/1000000</f>
        <v>#REF!</v>
      </c>
      <c r="AL93" s="13" t="e">
        <f>$AH$59*#REF!/1000000</f>
        <v>#REF!</v>
      </c>
      <c r="AM93" s="13" t="e">
        <f>$AH$59*#REF!/1000000</f>
        <v>#REF!</v>
      </c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</row>
    <row r="94" spans="1:56" hidden="1" outlineLevel="1" x14ac:dyDescent="0.25">
      <c r="A94">
        <v>2046</v>
      </c>
      <c r="AI94" s="13" t="e">
        <f>$AI$59*#REF!/1000000</f>
        <v>#REF!</v>
      </c>
      <c r="AJ94" s="13" t="e">
        <f>$AI$59*#REF!/1000000</f>
        <v>#REF!</v>
      </c>
      <c r="AK94" s="13" t="e">
        <f>$AI$59*#REF!/1000000</f>
        <v>#REF!</v>
      </c>
      <c r="AL94" s="13" t="e">
        <f>$AI$59*#REF!/1000000</f>
        <v>#REF!</v>
      </c>
      <c r="AM94" s="13" t="e">
        <f>$AI$59*#REF!/1000000</f>
        <v>#REF!</v>
      </c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6" hidden="1" outlineLevel="1" x14ac:dyDescent="0.25">
      <c r="A95">
        <v>2047</v>
      </c>
      <c r="AJ95" s="13" t="e">
        <f>$AJ$59*#REF!/1000000</f>
        <v>#REF!</v>
      </c>
      <c r="AK95" s="13" t="e">
        <f>$AJ$59*#REF!/1000000</f>
        <v>#REF!</v>
      </c>
      <c r="AL95" s="13" t="e">
        <f>$AJ$59*#REF!/1000000</f>
        <v>#REF!</v>
      </c>
      <c r="AM95" s="13" t="e">
        <f>$AJ$59*#REF!/1000000</f>
        <v>#REF!</v>
      </c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1:56" hidden="1" outlineLevel="1" x14ac:dyDescent="0.25">
      <c r="A96">
        <v>2048</v>
      </c>
      <c r="AK96" s="13" t="e">
        <f>$AK$59*#REF!/1000000</f>
        <v>#REF!</v>
      </c>
      <c r="AL96" s="13" t="e">
        <f>$AK$59*#REF!/1000000</f>
        <v>#REF!</v>
      </c>
      <c r="AM96" s="13" t="e">
        <f>$AK$59*#REF!/1000000</f>
        <v>#REF!</v>
      </c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</row>
    <row r="97" spans="1:58" hidden="1" outlineLevel="1" x14ac:dyDescent="0.25">
      <c r="A97">
        <v>2049</v>
      </c>
      <c r="AL97" s="13" t="e">
        <f>$AL$59*#REF!/1000000</f>
        <v>#REF!</v>
      </c>
      <c r="AM97" s="13" t="e">
        <f>$AL$59*#REF!/1000000</f>
        <v>#REF!</v>
      </c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spans="1:58" hidden="1" outlineLevel="1" x14ac:dyDescent="0.25">
      <c r="A98">
        <v>2050</v>
      </c>
      <c r="AM98" s="13" t="e">
        <f>$AM$59*#REF!/1000000</f>
        <v>#REF!</v>
      </c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 spans="1:58" collapsed="1" x14ac:dyDescent="0.25"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58" x14ac:dyDescent="0.25"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58" x14ac:dyDescent="0.25"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spans="1:58" x14ac:dyDescent="0.25"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</row>
    <row r="103" spans="1:58" x14ac:dyDescent="0.25"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spans="1:58" x14ac:dyDescent="0.25"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</row>
    <row r="105" spans="1:58" x14ac:dyDescent="0.25"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spans="1:58" x14ac:dyDescent="0.25"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</row>
    <row r="107" spans="1:58" x14ac:dyDescent="0.25"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8" x14ac:dyDescent="0.25"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1:58" x14ac:dyDescent="0.25"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</row>
    <row r="110" spans="1:58" x14ac:dyDescent="0.25"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spans="1:58" x14ac:dyDescent="0.25"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</sheetData>
  <dataConsolidate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8"/>
  <sheetViews>
    <sheetView workbookViewId="0">
      <pane xSplit="4650" topLeftCell="T1" activePane="topRight"/>
      <selection activeCell="A34" sqref="A34"/>
      <selection pane="topRight" activeCell="T19" sqref="T19"/>
    </sheetView>
  </sheetViews>
  <sheetFormatPr baseColWidth="10" defaultColWidth="9.140625" defaultRowHeight="15" outlineLevelRow="1" x14ac:dyDescent="0.25"/>
  <cols>
    <col min="1" max="1" width="35.28515625" bestFit="1" customWidth="1"/>
    <col min="2" max="2" width="11.7109375" bestFit="1" customWidth="1"/>
    <col min="3" max="5" width="11.28515625" customWidth="1"/>
    <col min="6" max="6" width="12.7109375" bestFit="1" customWidth="1"/>
    <col min="7" max="38" width="11.28515625" customWidth="1"/>
    <col min="39" max="39" width="18.7109375" bestFit="1" customWidth="1"/>
    <col min="40" max="41" width="18.7109375" customWidth="1"/>
    <col min="42" max="42" width="18" bestFit="1" customWidth="1"/>
    <col min="43" max="43" width="12.28515625" bestFit="1" customWidth="1"/>
    <col min="44" max="44" width="21" bestFit="1" customWidth="1"/>
    <col min="45" max="45" width="24" bestFit="1" customWidth="1"/>
    <col min="46" max="46" width="17.7109375" bestFit="1" customWidth="1"/>
    <col min="47" max="47" width="27.7109375" bestFit="1" customWidth="1"/>
  </cols>
  <sheetData>
    <row r="1" spans="1:47" x14ac:dyDescent="0.25">
      <c r="A1" s="5" t="s">
        <v>27</v>
      </c>
      <c r="B1" s="6">
        <v>2013</v>
      </c>
      <c r="C1" s="6">
        <v>2014</v>
      </c>
      <c r="D1" s="6">
        <v>2015</v>
      </c>
      <c r="E1" s="6">
        <v>2016</v>
      </c>
      <c r="F1" s="6">
        <v>2017</v>
      </c>
      <c r="G1" s="6">
        <v>2018</v>
      </c>
      <c r="H1" s="6">
        <v>2019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 t="s">
        <v>176</v>
      </c>
      <c r="AN1" s="6" t="s">
        <v>109</v>
      </c>
      <c r="AO1" s="6" t="s">
        <v>89</v>
      </c>
      <c r="AP1" s="6" t="s">
        <v>6</v>
      </c>
      <c r="AQ1" s="6" t="s">
        <v>30</v>
      </c>
      <c r="AR1" s="6" t="s">
        <v>31</v>
      </c>
      <c r="AS1" s="6" t="s">
        <v>7</v>
      </c>
      <c r="AT1" s="6" t="s">
        <v>20</v>
      </c>
      <c r="AU1" s="7" t="s">
        <v>23</v>
      </c>
    </row>
    <row r="2" spans="1:47" ht="15.75" thickBot="1" x14ac:dyDescent="0.3">
      <c r="A2" s="8" t="s">
        <v>179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11"/>
      <c r="AN2" s="11"/>
      <c r="AO2" s="11"/>
      <c r="AP2" s="11"/>
      <c r="AQ2" s="11"/>
      <c r="AR2" s="11"/>
      <c r="AS2" s="11"/>
      <c r="AT2" s="11"/>
      <c r="AU2" s="12"/>
    </row>
    <row r="3" spans="1:47" x14ac:dyDescent="0.25">
      <c r="A3" s="4" t="s">
        <v>19</v>
      </c>
      <c r="B3" s="75">
        <v>70</v>
      </c>
      <c r="C3" s="75">
        <v>70</v>
      </c>
      <c r="D3" s="75">
        <v>70</v>
      </c>
      <c r="E3" s="75">
        <v>70</v>
      </c>
      <c r="F3" s="75">
        <v>70</v>
      </c>
      <c r="G3" s="75">
        <v>70</v>
      </c>
      <c r="H3" s="75">
        <v>70</v>
      </c>
      <c r="I3" s="75">
        <v>70</v>
      </c>
      <c r="J3" s="75">
        <v>70</v>
      </c>
      <c r="K3" s="75">
        <v>70</v>
      </c>
      <c r="L3" s="75">
        <v>70</v>
      </c>
      <c r="M3" s="75">
        <v>70</v>
      </c>
      <c r="N3" s="75">
        <v>70</v>
      </c>
      <c r="O3" s="75">
        <v>70</v>
      </c>
      <c r="P3" s="75">
        <v>70</v>
      </c>
      <c r="Q3" s="75">
        <v>70</v>
      </c>
      <c r="R3" s="75">
        <v>70</v>
      </c>
      <c r="S3" s="75">
        <v>70</v>
      </c>
      <c r="T3" s="75">
        <v>70</v>
      </c>
      <c r="U3" s="75">
        <v>70</v>
      </c>
      <c r="V3" s="75">
        <v>70</v>
      </c>
      <c r="W3" s="75">
        <v>70</v>
      </c>
      <c r="X3" s="75">
        <v>70</v>
      </c>
      <c r="Y3" s="75">
        <v>70</v>
      </c>
      <c r="Z3" s="75">
        <v>70</v>
      </c>
      <c r="AA3" s="75">
        <v>70</v>
      </c>
      <c r="AB3" s="75">
        <v>70</v>
      </c>
      <c r="AC3" s="75">
        <v>70</v>
      </c>
      <c r="AD3" s="75">
        <v>70</v>
      </c>
      <c r="AE3" s="75">
        <v>70</v>
      </c>
      <c r="AF3" s="75">
        <v>70</v>
      </c>
      <c r="AG3" s="75">
        <v>70</v>
      </c>
      <c r="AH3" s="75">
        <v>70</v>
      </c>
      <c r="AI3" s="75">
        <v>70</v>
      </c>
      <c r="AJ3" s="75">
        <v>70</v>
      </c>
      <c r="AK3" s="75">
        <v>70</v>
      </c>
      <c r="AL3" s="75">
        <v>70</v>
      </c>
      <c r="AM3" s="88">
        <v>70</v>
      </c>
      <c r="AN3" s="59">
        <f>AO3</f>
        <v>3759</v>
      </c>
      <c r="AO3" s="59">
        <f>AP3</f>
        <v>3759</v>
      </c>
      <c r="AP3" s="59">
        <v>3759</v>
      </c>
      <c r="AQ3" s="9">
        <v>25</v>
      </c>
      <c r="AR3" s="59">
        <f>AP3/AQ3</f>
        <v>150.36000000000001</v>
      </c>
      <c r="AS3" s="59">
        <v>83</v>
      </c>
      <c r="AT3" s="9">
        <v>1.6</v>
      </c>
      <c r="AU3" s="10"/>
    </row>
    <row r="4" spans="1:47" x14ac:dyDescent="0.25">
      <c r="A4" s="4" t="s">
        <v>21</v>
      </c>
      <c r="B4" s="75">
        <v>60</v>
      </c>
      <c r="C4" s="75">
        <v>60</v>
      </c>
      <c r="D4" s="75">
        <v>60</v>
      </c>
      <c r="E4" s="75">
        <v>60</v>
      </c>
      <c r="F4" s="75">
        <v>60</v>
      </c>
      <c r="G4" s="75">
        <v>60</v>
      </c>
      <c r="H4" s="75">
        <v>60</v>
      </c>
      <c r="I4" s="75">
        <v>60</v>
      </c>
      <c r="J4" s="75">
        <v>60</v>
      </c>
      <c r="K4" s="75">
        <v>60</v>
      </c>
      <c r="L4" s="75">
        <v>60</v>
      </c>
      <c r="M4" s="75">
        <v>60</v>
      </c>
      <c r="N4" s="75">
        <v>60</v>
      </c>
      <c r="O4" s="75">
        <v>60</v>
      </c>
      <c r="P4" s="75">
        <v>60</v>
      </c>
      <c r="Q4" s="75">
        <v>60</v>
      </c>
      <c r="R4" s="75">
        <v>60</v>
      </c>
      <c r="S4" s="75">
        <v>60</v>
      </c>
      <c r="T4" s="75">
        <v>60</v>
      </c>
      <c r="U4" s="75">
        <v>60</v>
      </c>
      <c r="V4" s="75">
        <v>60</v>
      </c>
      <c r="W4" s="75">
        <v>60</v>
      </c>
      <c r="X4" s="75">
        <v>60</v>
      </c>
      <c r="Y4" s="75">
        <v>60</v>
      </c>
      <c r="Z4" s="75">
        <v>60</v>
      </c>
      <c r="AA4" s="75">
        <v>60</v>
      </c>
      <c r="AB4" s="75">
        <v>60</v>
      </c>
      <c r="AC4" s="75">
        <v>60</v>
      </c>
      <c r="AD4" s="75">
        <v>60</v>
      </c>
      <c r="AE4" s="75">
        <v>60</v>
      </c>
      <c r="AF4" s="75">
        <v>60</v>
      </c>
      <c r="AG4" s="75">
        <v>60</v>
      </c>
      <c r="AH4" s="75">
        <v>60</v>
      </c>
      <c r="AI4" s="75">
        <v>60</v>
      </c>
      <c r="AJ4" s="75">
        <v>60</v>
      </c>
      <c r="AK4" s="75">
        <v>60</v>
      </c>
      <c r="AL4" s="75">
        <v>60</v>
      </c>
      <c r="AM4" s="88">
        <v>60</v>
      </c>
      <c r="AN4" s="59">
        <f>AO4</f>
        <v>6538</v>
      </c>
      <c r="AO4" s="59">
        <f>AP4</f>
        <v>6538</v>
      </c>
      <c r="AP4" s="59">
        <v>6538</v>
      </c>
      <c r="AQ4" s="9">
        <v>25</v>
      </c>
      <c r="AR4" s="59">
        <f>AP4/AQ4</f>
        <v>261.52</v>
      </c>
      <c r="AS4" s="59">
        <v>98</v>
      </c>
      <c r="AT4" s="9"/>
      <c r="AU4" s="10"/>
    </row>
    <row r="5" spans="1:47" x14ac:dyDescent="0.25">
      <c r="A5" s="4" t="s">
        <v>22</v>
      </c>
      <c r="B5" s="87">
        <v>150</v>
      </c>
      <c r="C5" s="89">
        <f>B5+($S5-$B5)/(2030-2013)</f>
        <v>147.05882352941177</v>
      </c>
      <c r="D5" s="89">
        <f t="shared" ref="D5:R5" si="0">C5+($S5-$B5)/(2030-2013)</f>
        <v>144.11764705882354</v>
      </c>
      <c r="E5" s="89">
        <f t="shared" si="0"/>
        <v>141.1764705882353</v>
      </c>
      <c r="F5" s="89">
        <f t="shared" si="0"/>
        <v>138.23529411764707</v>
      </c>
      <c r="G5" s="89">
        <f t="shared" si="0"/>
        <v>135.29411764705884</v>
      </c>
      <c r="H5" s="89">
        <f t="shared" si="0"/>
        <v>132.35294117647061</v>
      </c>
      <c r="I5" s="89">
        <f t="shared" si="0"/>
        <v>129.41176470588238</v>
      </c>
      <c r="J5" s="89">
        <f t="shared" si="0"/>
        <v>126.47058823529414</v>
      </c>
      <c r="K5" s="89">
        <f t="shared" si="0"/>
        <v>123.52941176470591</v>
      </c>
      <c r="L5" s="89">
        <f t="shared" si="0"/>
        <v>120.58823529411768</v>
      </c>
      <c r="M5" s="89">
        <f t="shared" si="0"/>
        <v>117.64705882352945</v>
      </c>
      <c r="N5" s="89">
        <f t="shared" si="0"/>
        <v>114.70588235294122</v>
      </c>
      <c r="O5" s="89">
        <f t="shared" si="0"/>
        <v>111.76470588235298</v>
      </c>
      <c r="P5" s="89">
        <f t="shared" si="0"/>
        <v>108.82352941176475</v>
      </c>
      <c r="Q5" s="89">
        <f t="shared" si="0"/>
        <v>105.88235294117652</v>
      </c>
      <c r="R5" s="89">
        <f t="shared" si="0"/>
        <v>102.94117647058829</v>
      </c>
      <c r="S5" s="87">
        <v>100</v>
      </c>
      <c r="T5" s="89">
        <f>S5+($AM5-$S5)/(2050-2030)</f>
        <v>97.5</v>
      </c>
      <c r="U5" s="89">
        <f t="shared" ref="U5:AL5" si="1">T5+($AM5-$S5)/(2050-2030)</f>
        <v>95</v>
      </c>
      <c r="V5" s="89">
        <f t="shared" si="1"/>
        <v>92.5</v>
      </c>
      <c r="W5" s="89">
        <f t="shared" si="1"/>
        <v>90</v>
      </c>
      <c r="X5" s="89">
        <f t="shared" si="1"/>
        <v>87.5</v>
      </c>
      <c r="Y5" s="89">
        <f t="shared" si="1"/>
        <v>85</v>
      </c>
      <c r="Z5" s="89">
        <f t="shared" si="1"/>
        <v>82.5</v>
      </c>
      <c r="AA5" s="89">
        <f t="shared" si="1"/>
        <v>80</v>
      </c>
      <c r="AB5" s="89">
        <f t="shared" si="1"/>
        <v>77.5</v>
      </c>
      <c r="AC5" s="89">
        <f t="shared" si="1"/>
        <v>75</v>
      </c>
      <c r="AD5" s="89">
        <f t="shared" si="1"/>
        <v>72.5</v>
      </c>
      <c r="AE5" s="89">
        <f t="shared" si="1"/>
        <v>70</v>
      </c>
      <c r="AF5" s="89">
        <f t="shared" si="1"/>
        <v>67.5</v>
      </c>
      <c r="AG5" s="89">
        <f t="shared" si="1"/>
        <v>65</v>
      </c>
      <c r="AH5" s="89">
        <f t="shared" si="1"/>
        <v>62.5</v>
      </c>
      <c r="AI5" s="89">
        <f t="shared" si="1"/>
        <v>60</v>
      </c>
      <c r="AJ5" s="89">
        <f t="shared" si="1"/>
        <v>57.5</v>
      </c>
      <c r="AK5" s="89">
        <f t="shared" si="1"/>
        <v>55</v>
      </c>
      <c r="AL5" s="89">
        <f t="shared" si="1"/>
        <v>52.5</v>
      </c>
      <c r="AM5" s="88">
        <v>50</v>
      </c>
      <c r="AN5" s="59">
        <f>AP5*15/AM5</f>
        <v>863.7</v>
      </c>
      <c r="AO5" s="59">
        <f>AP5*10/AM5</f>
        <v>575.79999999999995</v>
      </c>
      <c r="AP5" s="59">
        <v>2879</v>
      </c>
      <c r="AQ5" s="9">
        <v>20</v>
      </c>
      <c r="AR5" s="59">
        <f>AP5/AQ5</f>
        <v>143.94999999999999</v>
      </c>
      <c r="AS5" s="59">
        <v>181</v>
      </c>
      <c r="AT5" s="9"/>
      <c r="AU5" s="10"/>
    </row>
    <row r="6" spans="1:47" outlineLevel="1" x14ac:dyDescent="0.25">
      <c r="A6" s="4" t="s">
        <v>8</v>
      </c>
      <c r="B6" s="87">
        <v>80</v>
      </c>
      <c r="C6" s="89">
        <f>B6+($S6-$B6)/(2030-2013)</f>
        <v>79.411764705882348</v>
      </c>
      <c r="D6" s="89">
        <f t="shared" ref="D6:D7" si="2">C6+($S6-$B6)/(2030-2013)</f>
        <v>78.823529411764696</v>
      </c>
      <c r="E6" s="89">
        <f t="shared" ref="E6:E7" si="3">D6+($S6-$B6)/(2030-2013)</f>
        <v>78.235294117647044</v>
      </c>
      <c r="F6" s="89">
        <f t="shared" ref="F6:F7" si="4">E6+($S6-$B6)/(2030-2013)</f>
        <v>77.647058823529392</v>
      </c>
      <c r="G6" s="89">
        <f t="shared" ref="G6:G7" si="5">F6+($S6-$B6)/(2030-2013)</f>
        <v>77.05882352941174</v>
      </c>
      <c r="H6" s="89">
        <f t="shared" ref="H6:H7" si="6">G6+($S6-$B6)/(2030-2013)</f>
        <v>76.470588235294088</v>
      </c>
      <c r="I6" s="89">
        <f t="shared" ref="I6:I7" si="7">H6+($S6-$B6)/(2030-2013)</f>
        <v>75.882352941176435</v>
      </c>
      <c r="J6" s="89">
        <f t="shared" ref="J6:J7" si="8">I6+($S6-$B6)/(2030-2013)</f>
        <v>75.294117647058783</v>
      </c>
      <c r="K6" s="89">
        <f t="shared" ref="K6:K7" si="9">J6+($S6-$B6)/(2030-2013)</f>
        <v>74.705882352941131</v>
      </c>
      <c r="L6" s="89">
        <f t="shared" ref="L6:L7" si="10">K6+($S6-$B6)/(2030-2013)</f>
        <v>74.117647058823479</v>
      </c>
      <c r="M6" s="89">
        <f t="shared" ref="M6:M7" si="11">L6+($S6-$B6)/(2030-2013)</f>
        <v>73.529411764705827</v>
      </c>
      <c r="N6" s="89">
        <f t="shared" ref="N6:N7" si="12">M6+($S6-$B6)/(2030-2013)</f>
        <v>72.941176470588175</v>
      </c>
      <c r="O6" s="89">
        <f t="shared" ref="O6:O7" si="13">N6+($S6-$B6)/(2030-2013)</f>
        <v>72.352941176470523</v>
      </c>
      <c r="P6" s="89">
        <f t="shared" ref="P6:P7" si="14">O6+($S6-$B6)/(2030-2013)</f>
        <v>71.764705882352871</v>
      </c>
      <c r="Q6" s="89">
        <f t="shared" ref="Q6:Q7" si="15">P6+($S6-$B6)/(2030-2013)</f>
        <v>71.176470588235219</v>
      </c>
      <c r="R6" s="89">
        <f t="shared" ref="R6:R7" si="16">Q6+($S6-$B6)/(2030-2013)</f>
        <v>70.588235294117567</v>
      </c>
      <c r="S6" s="87">
        <v>70</v>
      </c>
      <c r="T6" s="89">
        <f>S6+($AM6-$S6)/(2050-2030)</f>
        <v>69.75</v>
      </c>
      <c r="U6" s="89">
        <f t="shared" ref="U6:U7" si="17">T6+($AM6-$S6)/(2050-2030)</f>
        <v>69.5</v>
      </c>
      <c r="V6" s="89">
        <f t="shared" ref="V6:V7" si="18">U6+($AM6-$S6)/(2050-2030)</f>
        <v>69.25</v>
      </c>
      <c r="W6" s="89">
        <f t="shared" ref="W6:W7" si="19">V6+($AM6-$S6)/(2050-2030)</f>
        <v>69</v>
      </c>
      <c r="X6" s="89">
        <f t="shared" ref="X6:X7" si="20">W6+($AM6-$S6)/(2050-2030)</f>
        <v>68.75</v>
      </c>
      <c r="Y6" s="89">
        <f t="shared" ref="Y6:Y7" si="21">X6+($AM6-$S6)/(2050-2030)</f>
        <v>68.5</v>
      </c>
      <c r="Z6" s="89">
        <f t="shared" ref="Z6:Z7" si="22">Y6+($AM6-$S6)/(2050-2030)</f>
        <v>68.25</v>
      </c>
      <c r="AA6" s="89">
        <f t="shared" ref="AA6:AA7" si="23">Z6+($AM6-$S6)/(2050-2030)</f>
        <v>68</v>
      </c>
      <c r="AB6" s="89">
        <f t="shared" ref="AB6:AB7" si="24">AA6+($AM6-$S6)/(2050-2030)</f>
        <v>67.75</v>
      </c>
      <c r="AC6" s="89">
        <f t="shared" ref="AC6:AC7" si="25">AB6+($AM6-$S6)/(2050-2030)</f>
        <v>67.5</v>
      </c>
      <c r="AD6" s="89">
        <f t="shared" ref="AD6:AD7" si="26">AC6+($AM6-$S6)/(2050-2030)</f>
        <v>67.25</v>
      </c>
      <c r="AE6" s="89">
        <f t="shared" ref="AE6:AE7" si="27">AD6+($AM6-$S6)/(2050-2030)</f>
        <v>67</v>
      </c>
      <c r="AF6" s="89">
        <f t="shared" ref="AF6:AF7" si="28">AE6+($AM6-$S6)/(2050-2030)</f>
        <v>66.75</v>
      </c>
      <c r="AG6" s="89">
        <f t="shared" ref="AG6:AG7" si="29">AF6+($AM6-$S6)/(2050-2030)</f>
        <v>66.5</v>
      </c>
      <c r="AH6" s="89">
        <f t="shared" ref="AH6:AH7" si="30">AG6+($AM6-$S6)/(2050-2030)</f>
        <v>66.25</v>
      </c>
      <c r="AI6" s="89">
        <f t="shared" ref="AI6:AI7" si="31">AH6+($AM6-$S6)/(2050-2030)</f>
        <v>66</v>
      </c>
      <c r="AJ6" s="89">
        <f t="shared" ref="AJ6:AJ7" si="32">AI6+($AM6-$S6)/(2050-2030)</f>
        <v>65.75</v>
      </c>
      <c r="AK6" s="89">
        <f t="shared" ref="AK6:AK7" si="33">AJ6+($AM6-$S6)/(2050-2030)</f>
        <v>65.5</v>
      </c>
      <c r="AL6" s="89">
        <f t="shared" ref="AL6:AL7" si="34">AK6+($AM6-$S6)/(2050-2030)</f>
        <v>65.25</v>
      </c>
      <c r="AM6" s="88">
        <v>65</v>
      </c>
      <c r="AN6" s="59">
        <f>AP6*8/6.5</f>
        <v>1457.2307692307693</v>
      </c>
      <c r="AO6" s="59">
        <f>AP6*7/6.5</f>
        <v>1275.0769230769231</v>
      </c>
      <c r="AP6" s="59">
        <v>1184</v>
      </c>
      <c r="AQ6" s="9">
        <v>20</v>
      </c>
      <c r="AR6" s="59">
        <f>AP6/AQ6</f>
        <v>59.2</v>
      </c>
      <c r="AS6" s="59">
        <v>47</v>
      </c>
      <c r="AT6" s="9"/>
      <c r="AU6" s="10">
        <v>208292640.72203231</v>
      </c>
    </row>
    <row r="7" spans="1:47" outlineLevel="1" x14ac:dyDescent="0.25">
      <c r="A7" s="4" t="s">
        <v>9</v>
      </c>
      <c r="B7" s="87">
        <v>80</v>
      </c>
      <c r="C7" s="89">
        <f>B7+($S7-$B7)/(2030-2013)</f>
        <v>79.411764705882348</v>
      </c>
      <c r="D7" s="89">
        <f t="shared" si="2"/>
        <v>78.823529411764696</v>
      </c>
      <c r="E7" s="89">
        <f t="shared" si="3"/>
        <v>78.235294117647044</v>
      </c>
      <c r="F7" s="89">
        <f t="shared" si="4"/>
        <v>77.647058823529392</v>
      </c>
      <c r="G7" s="89">
        <f t="shared" si="5"/>
        <v>77.05882352941174</v>
      </c>
      <c r="H7" s="89">
        <f t="shared" si="6"/>
        <v>76.470588235294088</v>
      </c>
      <c r="I7" s="89">
        <f t="shared" si="7"/>
        <v>75.882352941176435</v>
      </c>
      <c r="J7" s="89">
        <f t="shared" si="8"/>
        <v>75.294117647058783</v>
      </c>
      <c r="K7" s="89">
        <f t="shared" si="9"/>
        <v>74.705882352941131</v>
      </c>
      <c r="L7" s="89">
        <f t="shared" si="10"/>
        <v>74.117647058823479</v>
      </c>
      <c r="M7" s="89">
        <f t="shared" si="11"/>
        <v>73.529411764705827</v>
      </c>
      <c r="N7" s="89">
        <f t="shared" si="12"/>
        <v>72.941176470588175</v>
      </c>
      <c r="O7" s="89">
        <f t="shared" si="13"/>
        <v>72.352941176470523</v>
      </c>
      <c r="P7" s="89">
        <f t="shared" si="14"/>
        <v>71.764705882352871</v>
      </c>
      <c r="Q7" s="89">
        <f t="shared" si="15"/>
        <v>71.176470588235219</v>
      </c>
      <c r="R7" s="89">
        <f t="shared" si="16"/>
        <v>70.588235294117567</v>
      </c>
      <c r="S7" s="87">
        <v>70</v>
      </c>
      <c r="T7" s="89">
        <f>S7+($AM7-$S7)/(2050-2030)</f>
        <v>69.75</v>
      </c>
      <c r="U7" s="89">
        <f t="shared" si="17"/>
        <v>69.5</v>
      </c>
      <c r="V7" s="89">
        <f t="shared" si="18"/>
        <v>69.25</v>
      </c>
      <c r="W7" s="89">
        <f t="shared" si="19"/>
        <v>69</v>
      </c>
      <c r="X7" s="89">
        <f t="shared" si="20"/>
        <v>68.75</v>
      </c>
      <c r="Y7" s="89">
        <f t="shared" si="21"/>
        <v>68.5</v>
      </c>
      <c r="Z7" s="89">
        <f t="shared" si="22"/>
        <v>68.25</v>
      </c>
      <c r="AA7" s="89">
        <f t="shared" si="23"/>
        <v>68</v>
      </c>
      <c r="AB7" s="89">
        <f t="shared" si="24"/>
        <v>67.75</v>
      </c>
      <c r="AC7" s="89">
        <f t="shared" si="25"/>
        <v>67.5</v>
      </c>
      <c r="AD7" s="89">
        <f t="shared" si="26"/>
        <v>67.25</v>
      </c>
      <c r="AE7" s="89">
        <f t="shared" si="27"/>
        <v>67</v>
      </c>
      <c r="AF7" s="89">
        <f t="shared" si="28"/>
        <v>66.75</v>
      </c>
      <c r="AG7" s="89">
        <f t="shared" si="29"/>
        <v>66.5</v>
      </c>
      <c r="AH7" s="89">
        <f t="shared" si="30"/>
        <v>66.25</v>
      </c>
      <c r="AI7" s="89">
        <f t="shared" si="31"/>
        <v>66</v>
      </c>
      <c r="AJ7" s="89">
        <f t="shared" si="32"/>
        <v>65.75</v>
      </c>
      <c r="AK7" s="89">
        <f t="shared" si="33"/>
        <v>65.5</v>
      </c>
      <c r="AL7" s="89">
        <f t="shared" si="34"/>
        <v>65.25</v>
      </c>
      <c r="AM7" s="88">
        <v>65</v>
      </c>
      <c r="AN7" s="59">
        <f>AP7*8/6.5</f>
        <v>1879.3846153846155</v>
      </c>
      <c r="AO7" s="59">
        <f>AP7*7/6.5</f>
        <v>1644.4615384615386</v>
      </c>
      <c r="AP7" s="59">
        <v>1527</v>
      </c>
      <c r="AQ7" s="9">
        <v>20</v>
      </c>
      <c r="AR7" s="59">
        <f>AP7/AQ7</f>
        <v>76.349999999999994</v>
      </c>
      <c r="AS7" s="59">
        <v>61.1</v>
      </c>
      <c r="AT7" s="9"/>
      <c r="AU7" s="10">
        <v>52921510.708347961</v>
      </c>
    </row>
    <row r="8" spans="1:47" x14ac:dyDescent="0.25">
      <c r="A8" s="4" t="s">
        <v>175</v>
      </c>
      <c r="B8" s="87">
        <f>S8*SUM(B6:B7)/SUM(S6:S7)</f>
        <v>80</v>
      </c>
      <c r="C8" s="89">
        <f>B8+($S8-$B8)/(2030-2013)</f>
        <v>79.411764705882348</v>
      </c>
      <c r="D8" s="89">
        <f t="shared" ref="D8:R10" si="35">C8+($S8-$B8)/(2030-2013)</f>
        <v>78.823529411764696</v>
      </c>
      <c r="E8" s="89">
        <f t="shared" si="35"/>
        <v>78.235294117647044</v>
      </c>
      <c r="F8" s="89">
        <f t="shared" si="35"/>
        <v>77.647058823529392</v>
      </c>
      <c r="G8" s="89">
        <f t="shared" si="35"/>
        <v>77.05882352941174</v>
      </c>
      <c r="H8" s="89">
        <f t="shared" si="35"/>
        <v>76.470588235294088</v>
      </c>
      <c r="I8" s="89">
        <f t="shared" si="35"/>
        <v>75.882352941176435</v>
      </c>
      <c r="J8" s="89">
        <f t="shared" si="35"/>
        <v>75.294117647058783</v>
      </c>
      <c r="K8" s="89">
        <f t="shared" si="35"/>
        <v>74.705882352941131</v>
      </c>
      <c r="L8" s="89">
        <f t="shared" si="35"/>
        <v>74.117647058823479</v>
      </c>
      <c r="M8" s="89">
        <f t="shared" si="35"/>
        <v>73.529411764705827</v>
      </c>
      <c r="N8" s="89">
        <f t="shared" si="35"/>
        <v>72.941176470588175</v>
      </c>
      <c r="O8" s="89">
        <f t="shared" si="35"/>
        <v>72.352941176470523</v>
      </c>
      <c r="P8" s="89">
        <f t="shared" si="35"/>
        <v>71.764705882352871</v>
      </c>
      <c r="Q8" s="89">
        <f t="shared" si="35"/>
        <v>71.176470588235219</v>
      </c>
      <c r="R8" s="89">
        <f t="shared" si="35"/>
        <v>70.588235294117567</v>
      </c>
      <c r="S8" s="87">
        <f>AM8*SUM(S6:S7)/SUM(AM6:AM7)</f>
        <v>70</v>
      </c>
      <c r="T8" s="89">
        <f>S8+($AM8-$S8)/(2050-2030)</f>
        <v>69.75</v>
      </c>
      <c r="U8" s="89">
        <f t="shared" ref="U8:AL10" si="36">T8+($AM8-$S8)/(2050-2030)</f>
        <v>69.5</v>
      </c>
      <c r="V8" s="89">
        <f t="shared" si="36"/>
        <v>69.25</v>
      </c>
      <c r="W8" s="89">
        <f t="shared" si="36"/>
        <v>69</v>
      </c>
      <c r="X8" s="89">
        <f t="shared" si="36"/>
        <v>68.75</v>
      </c>
      <c r="Y8" s="89">
        <f t="shared" si="36"/>
        <v>68.5</v>
      </c>
      <c r="Z8" s="89">
        <f t="shared" si="36"/>
        <v>68.25</v>
      </c>
      <c r="AA8" s="89">
        <f t="shared" si="36"/>
        <v>68</v>
      </c>
      <c r="AB8" s="89">
        <f t="shared" si="36"/>
        <v>67.75</v>
      </c>
      <c r="AC8" s="89">
        <f t="shared" si="36"/>
        <v>67.5</v>
      </c>
      <c r="AD8" s="89">
        <f t="shared" si="36"/>
        <v>67.25</v>
      </c>
      <c r="AE8" s="89">
        <f t="shared" si="36"/>
        <v>67</v>
      </c>
      <c r="AF8" s="89">
        <f t="shared" si="36"/>
        <v>66.75</v>
      </c>
      <c r="AG8" s="89">
        <f t="shared" si="36"/>
        <v>66.5</v>
      </c>
      <c r="AH8" s="89">
        <f t="shared" si="36"/>
        <v>66.25</v>
      </c>
      <c r="AI8" s="89">
        <f t="shared" si="36"/>
        <v>66</v>
      </c>
      <c r="AJ8" s="89">
        <f t="shared" si="36"/>
        <v>65.75</v>
      </c>
      <c r="AK8" s="89">
        <f t="shared" si="36"/>
        <v>65.5</v>
      </c>
      <c r="AL8" s="89">
        <f t="shared" si="36"/>
        <v>65.25</v>
      </c>
      <c r="AM8" s="88">
        <f>(Production!C9+Production!C10)/(Production!B9+Production!B10)*1000000</f>
        <v>65</v>
      </c>
      <c r="AN8" s="59"/>
      <c r="AO8" s="59"/>
      <c r="AP8" s="59"/>
      <c r="AQ8" s="9">
        <v>20</v>
      </c>
      <c r="AR8" s="59"/>
      <c r="AS8" s="59">
        <f>(AS6*1000*'Capacités installées'!B9+AS7*1000*'Capacités installées'!B10)/('Capacités installées'!B9*1000+'Capacités installées'!B10*1000)</f>
        <v>51.440235311536462</v>
      </c>
      <c r="AT8" s="9"/>
      <c r="AU8" s="10"/>
    </row>
    <row r="9" spans="1:47" outlineLevel="1" x14ac:dyDescent="0.25">
      <c r="A9" s="4" t="s">
        <v>10</v>
      </c>
      <c r="B9" s="87">
        <v>150</v>
      </c>
      <c r="C9" s="89">
        <f>B9+($S9-$B9)/(2030-2013)</f>
        <v>146.76470588235293</v>
      </c>
      <c r="D9" s="89">
        <f t="shared" si="35"/>
        <v>143.52941176470586</v>
      </c>
      <c r="E9" s="89">
        <f t="shared" si="35"/>
        <v>140.29411764705878</v>
      </c>
      <c r="F9" s="89">
        <f t="shared" si="35"/>
        <v>137.05882352941171</v>
      </c>
      <c r="G9" s="89">
        <f t="shared" si="35"/>
        <v>133.82352941176464</v>
      </c>
      <c r="H9" s="89">
        <f t="shared" si="35"/>
        <v>130.58823529411757</v>
      </c>
      <c r="I9" s="89">
        <f t="shared" si="35"/>
        <v>127.35294117647051</v>
      </c>
      <c r="J9" s="89">
        <f t="shared" si="35"/>
        <v>124.11764705882345</v>
      </c>
      <c r="K9" s="89">
        <f t="shared" si="35"/>
        <v>120.88235294117639</v>
      </c>
      <c r="L9" s="89">
        <f t="shared" si="35"/>
        <v>117.64705882352933</v>
      </c>
      <c r="M9" s="89">
        <f t="shared" si="35"/>
        <v>114.41176470588228</v>
      </c>
      <c r="N9" s="89">
        <f t="shared" si="35"/>
        <v>111.17647058823522</v>
      </c>
      <c r="O9" s="89">
        <f t="shared" si="35"/>
        <v>107.94117647058816</v>
      </c>
      <c r="P9" s="89">
        <f t="shared" si="35"/>
        <v>104.7058823529411</v>
      </c>
      <c r="Q9" s="89">
        <f t="shared" si="35"/>
        <v>101.47058823529404</v>
      </c>
      <c r="R9" s="89">
        <f t="shared" si="35"/>
        <v>98.235294117646987</v>
      </c>
      <c r="S9" s="87">
        <v>95</v>
      </c>
      <c r="T9" s="89">
        <f>S9+($AM9-$S9)/(2050-2030)</f>
        <v>94.25</v>
      </c>
      <c r="U9" s="89">
        <f t="shared" si="36"/>
        <v>93.5</v>
      </c>
      <c r="V9" s="89">
        <f t="shared" si="36"/>
        <v>92.75</v>
      </c>
      <c r="W9" s="89">
        <f t="shared" si="36"/>
        <v>92</v>
      </c>
      <c r="X9" s="89">
        <f t="shared" si="36"/>
        <v>91.25</v>
      </c>
      <c r="Y9" s="89">
        <f t="shared" si="36"/>
        <v>90.5</v>
      </c>
      <c r="Z9" s="89">
        <f t="shared" si="36"/>
        <v>89.75</v>
      </c>
      <c r="AA9" s="89">
        <f t="shared" si="36"/>
        <v>89</v>
      </c>
      <c r="AB9" s="89">
        <f t="shared" si="36"/>
        <v>88.25</v>
      </c>
      <c r="AC9" s="89">
        <f t="shared" si="36"/>
        <v>87.5</v>
      </c>
      <c r="AD9" s="89">
        <f t="shared" si="36"/>
        <v>86.75</v>
      </c>
      <c r="AE9" s="89">
        <f t="shared" si="36"/>
        <v>86</v>
      </c>
      <c r="AF9" s="89">
        <f t="shared" si="36"/>
        <v>85.25</v>
      </c>
      <c r="AG9" s="89">
        <f t="shared" si="36"/>
        <v>84.5</v>
      </c>
      <c r="AH9" s="89">
        <f t="shared" si="36"/>
        <v>83.75</v>
      </c>
      <c r="AI9" s="89">
        <f t="shared" si="36"/>
        <v>83</v>
      </c>
      <c r="AJ9" s="89">
        <f t="shared" si="36"/>
        <v>82.25</v>
      </c>
      <c r="AK9" s="89">
        <f t="shared" si="36"/>
        <v>81.5</v>
      </c>
      <c r="AL9" s="89">
        <f t="shared" si="36"/>
        <v>80.75</v>
      </c>
      <c r="AM9" s="88">
        <v>80</v>
      </c>
      <c r="AN9" s="59">
        <f>AP9*15/8</f>
        <v>4479.375</v>
      </c>
      <c r="AO9" s="59">
        <f>AP9*9.5/8</f>
        <v>2836.9375</v>
      </c>
      <c r="AP9" s="59">
        <v>2389</v>
      </c>
      <c r="AQ9" s="9">
        <v>20</v>
      </c>
      <c r="AR9" s="59">
        <f>AP9/AQ9</f>
        <v>119.45</v>
      </c>
      <c r="AS9" s="59">
        <v>143</v>
      </c>
      <c r="AT9" s="9"/>
      <c r="AU9" s="10">
        <v>41876556.038815998</v>
      </c>
    </row>
    <row r="10" spans="1:47" outlineLevel="1" x14ac:dyDescent="0.25">
      <c r="A10" s="4" t="s">
        <v>11</v>
      </c>
      <c r="B10" s="87">
        <v>450</v>
      </c>
      <c r="C10" s="89">
        <f>B10+($S10-$B10)/(2030-2013)</f>
        <v>434.70588235294116</v>
      </c>
      <c r="D10" s="89">
        <f t="shared" si="35"/>
        <v>419.41176470588232</v>
      </c>
      <c r="E10" s="89">
        <f t="shared" si="35"/>
        <v>404.11764705882348</v>
      </c>
      <c r="F10" s="89">
        <f t="shared" si="35"/>
        <v>388.82352941176464</v>
      </c>
      <c r="G10" s="89">
        <f t="shared" si="35"/>
        <v>373.5294117647058</v>
      </c>
      <c r="H10" s="89">
        <f t="shared" si="35"/>
        <v>358.23529411764696</v>
      </c>
      <c r="I10" s="89">
        <f t="shared" si="35"/>
        <v>342.94117647058812</v>
      </c>
      <c r="J10" s="89">
        <f t="shared" si="35"/>
        <v>327.64705882352928</v>
      </c>
      <c r="K10" s="89">
        <f t="shared" si="35"/>
        <v>312.35294117647044</v>
      </c>
      <c r="L10" s="89">
        <f t="shared" si="35"/>
        <v>297.0588235294116</v>
      </c>
      <c r="M10" s="89">
        <f t="shared" si="35"/>
        <v>281.76470588235276</v>
      </c>
      <c r="N10" s="89">
        <f t="shared" si="35"/>
        <v>266.47058823529392</v>
      </c>
      <c r="O10" s="89">
        <f t="shared" si="35"/>
        <v>251.17647058823511</v>
      </c>
      <c r="P10" s="89">
        <f t="shared" si="35"/>
        <v>235.88235294117629</v>
      </c>
      <c r="Q10" s="89">
        <f t="shared" si="35"/>
        <v>220.58823529411748</v>
      </c>
      <c r="R10" s="89">
        <f t="shared" si="35"/>
        <v>205.29411764705867</v>
      </c>
      <c r="S10" s="87">
        <v>190</v>
      </c>
      <c r="T10" s="89">
        <f>S10+($AM10-$S10)/(2050-2030)</f>
        <v>186</v>
      </c>
      <c r="U10" s="89">
        <f t="shared" si="36"/>
        <v>182</v>
      </c>
      <c r="V10" s="89">
        <f t="shared" si="36"/>
        <v>178</v>
      </c>
      <c r="W10" s="89">
        <f t="shared" si="36"/>
        <v>174</v>
      </c>
      <c r="X10" s="89">
        <f t="shared" si="36"/>
        <v>170</v>
      </c>
      <c r="Y10" s="89">
        <f t="shared" si="36"/>
        <v>166</v>
      </c>
      <c r="Z10" s="89">
        <f t="shared" si="36"/>
        <v>162</v>
      </c>
      <c r="AA10" s="89">
        <f t="shared" si="36"/>
        <v>158</v>
      </c>
      <c r="AB10" s="89">
        <f t="shared" si="36"/>
        <v>154</v>
      </c>
      <c r="AC10" s="89">
        <f t="shared" si="36"/>
        <v>150</v>
      </c>
      <c r="AD10" s="89">
        <f t="shared" si="36"/>
        <v>146</v>
      </c>
      <c r="AE10" s="89">
        <f t="shared" si="36"/>
        <v>142</v>
      </c>
      <c r="AF10" s="89">
        <f t="shared" si="36"/>
        <v>138</v>
      </c>
      <c r="AG10" s="89">
        <f t="shared" si="36"/>
        <v>134</v>
      </c>
      <c r="AH10" s="89">
        <f t="shared" si="36"/>
        <v>130</v>
      </c>
      <c r="AI10" s="89">
        <f t="shared" si="36"/>
        <v>126</v>
      </c>
      <c r="AJ10" s="89">
        <f t="shared" si="36"/>
        <v>122</v>
      </c>
      <c r="AK10" s="89">
        <f t="shared" si="36"/>
        <v>118</v>
      </c>
      <c r="AL10" s="89">
        <f t="shared" si="36"/>
        <v>114</v>
      </c>
      <c r="AM10" s="88">
        <v>110</v>
      </c>
      <c r="AN10" s="59">
        <f>AP10*45/AM10</f>
        <v>1111.090909090909</v>
      </c>
      <c r="AO10" s="59">
        <f>AP10*19/AM10</f>
        <v>469.12727272727273</v>
      </c>
      <c r="AP10" s="59">
        <v>2716</v>
      </c>
      <c r="AQ10" s="9">
        <v>20</v>
      </c>
      <c r="AR10" s="59">
        <f>AP10/AQ10</f>
        <v>135.80000000000001</v>
      </c>
      <c r="AS10" s="59">
        <v>272</v>
      </c>
      <c r="AT10" s="9"/>
      <c r="AU10" s="10">
        <v>0</v>
      </c>
    </row>
    <row r="11" spans="1:47" x14ac:dyDescent="0.25">
      <c r="A11" s="4" t="s">
        <v>177</v>
      </c>
      <c r="B11" s="87">
        <f>S11*(B9+B10*0)/(S9+S10*0)</f>
        <v>150</v>
      </c>
      <c r="C11" s="89">
        <f>B11+($S11-$B11)/(2030-2013)</f>
        <v>146.76470588235293</v>
      </c>
      <c r="D11" s="89">
        <f t="shared" ref="D11:R14" si="37">C11+($S11-$B11)/(2030-2013)</f>
        <v>143.52941176470586</v>
      </c>
      <c r="E11" s="89">
        <f t="shared" si="37"/>
        <v>140.29411764705878</v>
      </c>
      <c r="F11" s="89">
        <f t="shared" si="37"/>
        <v>137.05882352941171</v>
      </c>
      <c r="G11" s="89">
        <f t="shared" si="37"/>
        <v>133.82352941176464</v>
      </c>
      <c r="H11" s="89">
        <f t="shared" si="37"/>
        <v>130.58823529411757</v>
      </c>
      <c r="I11" s="89">
        <f t="shared" si="37"/>
        <v>127.35294117647051</v>
      </c>
      <c r="J11" s="89">
        <f t="shared" si="37"/>
        <v>124.11764705882345</v>
      </c>
      <c r="K11" s="89">
        <f t="shared" si="37"/>
        <v>120.88235294117639</v>
      </c>
      <c r="L11" s="89">
        <f t="shared" si="37"/>
        <v>117.64705882352933</v>
      </c>
      <c r="M11" s="89">
        <f t="shared" si="37"/>
        <v>114.41176470588228</v>
      </c>
      <c r="N11" s="89">
        <f t="shared" si="37"/>
        <v>111.17647058823522</v>
      </c>
      <c r="O11" s="89">
        <f t="shared" si="37"/>
        <v>107.94117647058816</v>
      </c>
      <c r="P11" s="89">
        <f t="shared" si="37"/>
        <v>104.7058823529411</v>
      </c>
      <c r="Q11" s="89">
        <f t="shared" si="37"/>
        <v>101.47058823529404</v>
      </c>
      <c r="R11" s="89">
        <f t="shared" si="37"/>
        <v>98.235294117646987</v>
      </c>
      <c r="S11" s="87">
        <f>AM11*(S9+S10*0)/(AM9+AM10*0)</f>
        <v>95</v>
      </c>
      <c r="T11" s="89">
        <f>S11+($AM11-$S11)/(2050-2030)</f>
        <v>94.25</v>
      </c>
      <c r="U11" s="89">
        <f t="shared" ref="U11:AL14" si="38">T11+($AM11-$S11)/(2050-2030)</f>
        <v>93.5</v>
      </c>
      <c r="V11" s="89">
        <f t="shared" si="38"/>
        <v>92.75</v>
      </c>
      <c r="W11" s="89">
        <f t="shared" si="38"/>
        <v>92</v>
      </c>
      <c r="X11" s="89">
        <f t="shared" si="38"/>
        <v>91.25</v>
      </c>
      <c r="Y11" s="89">
        <f t="shared" si="38"/>
        <v>90.5</v>
      </c>
      <c r="Z11" s="89">
        <f t="shared" si="38"/>
        <v>89.75</v>
      </c>
      <c r="AA11" s="89">
        <f t="shared" si="38"/>
        <v>89</v>
      </c>
      <c r="AB11" s="89">
        <f t="shared" si="38"/>
        <v>88.25</v>
      </c>
      <c r="AC11" s="89">
        <f t="shared" si="38"/>
        <v>87.5</v>
      </c>
      <c r="AD11" s="89">
        <f t="shared" si="38"/>
        <v>86.75</v>
      </c>
      <c r="AE11" s="89">
        <f t="shared" si="38"/>
        <v>86</v>
      </c>
      <c r="AF11" s="89">
        <f t="shared" si="38"/>
        <v>85.25</v>
      </c>
      <c r="AG11" s="89">
        <f t="shared" si="38"/>
        <v>84.5</v>
      </c>
      <c r="AH11" s="89">
        <f t="shared" si="38"/>
        <v>83.75</v>
      </c>
      <c r="AI11" s="89">
        <f t="shared" si="38"/>
        <v>83</v>
      </c>
      <c r="AJ11" s="89">
        <f t="shared" si="38"/>
        <v>82.25</v>
      </c>
      <c r="AK11" s="89">
        <f t="shared" si="38"/>
        <v>81.5</v>
      </c>
      <c r="AL11" s="89">
        <f t="shared" si="38"/>
        <v>80.75</v>
      </c>
      <c r="AM11" s="88">
        <f>(Production!C11+Production!C20)/(Production!B11+Production!B20)*1000000</f>
        <v>80</v>
      </c>
      <c r="AN11" s="59"/>
      <c r="AO11" s="59"/>
      <c r="AP11" s="59"/>
      <c r="AQ11" s="9">
        <v>20</v>
      </c>
      <c r="AR11" s="59"/>
      <c r="AS11" s="59">
        <f>(AS9*'Capacités installées'!B11+'Capacités installées'!B20*LCOE!AS10)/('Capacités installées'!B11+'Capacités installées'!B20)</f>
        <v>143.00000001941689</v>
      </c>
      <c r="AT11" s="9"/>
      <c r="AU11" s="10"/>
    </row>
    <row r="12" spans="1:47" ht="15" customHeight="1" outlineLevel="1" x14ac:dyDescent="0.25">
      <c r="A12" s="4" t="s">
        <v>12</v>
      </c>
      <c r="B12" s="87">
        <v>160</v>
      </c>
      <c r="C12" s="89">
        <f>B12+($S12-$B12)/(2030-2013)</f>
        <v>156.47058823529412</v>
      </c>
      <c r="D12" s="89">
        <f t="shared" si="37"/>
        <v>152.94117647058823</v>
      </c>
      <c r="E12" s="89">
        <f t="shared" si="37"/>
        <v>149.41176470588235</v>
      </c>
      <c r="F12" s="89">
        <f t="shared" si="37"/>
        <v>145.88235294117646</v>
      </c>
      <c r="G12" s="89">
        <f t="shared" si="37"/>
        <v>142.35294117647058</v>
      </c>
      <c r="H12" s="89">
        <f t="shared" si="37"/>
        <v>138.8235294117647</v>
      </c>
      <c r="I12" s="89">
        <f t="shared" si="37"/>
        <v>135.29411764705881</v>
      </c>
      <c r="J12" s="89">
        <f t="shared" si="37"/>
        <v>131.76470588235293</v>
      </c>
      <c r="K12" s="89">
        <f t="shared" si="37"/>
        <v>128.23529411764704</v>
      </c>
      <c r="L12" s="89">
        <f t="shared" si="37"/>
        <v>124.70588235294116</v>
      </c>
      <c r="M12" s="89">
        <f t="shared" si="37"/>
        <v>121.17647058823528</v>
      </c>
      <c r="N12" s="89">
        <f t="shared" si="37"/>
        <v>117.64705882352939</v>
      </c>
      <c r="O12" s="89">
        <f t="shared" si="37"/>
        <v>114.11764705882351</v>
      </c>
      <c r="P12" s="89">
        <f t="shared" si="37"/>
        <v>110.58823529411762</v>
      </c>
      <c r="Q12" s="89">
        <f t="shared" si="37"/>
        <v>107.05882352941174</v>
      </c>
      <c r="R12" s="89">
        <f t="shared" si="37"/>
        <v>103.52941176470586</v>
      </c>
      <c r="S12" s="87">
        <v>100</v>
      </c>
      <c r="T12" s="89">
        <f>S12+($AM12-$S12)/(2050-2030)</f>
        <v>98</v>
      </c>
      <c r="U12" s="89">
        <f t="shared" si="38"/>
        <v>96</v>
      </c>
      <c r="V12" s="89">
        <f t="shared" si="38"/>
        <v>94</v>
      </c>
      <c r="W12" s="89">
        <f t="shared" si="38"/>
        <v>92</v>
      </c>
      <c r="X12" s="89">
        <f t="shared" si="38"/>
        <v>90</v>
      </c>
      <c r="Y12" s="89">
        <f t="shared" si="38"/>
        <v>88</v>
      </c>
      <c r="Z12" s="89">
        <f t="shared" si="38"/>
        <v>86</v>
      </c>
      <c r="AA12" s="89">
        <f t="shared" si="38"/>
        <v>84</v>
      </c>
      <c r="AB12" s="89">
        <f t="shared" si="38"/>
        <v>82</v>
      </c>
      <c r="AC12" s="89">
        <f t="shared" si="38"/>
        <v>80</v>
      </c>
      <c r="AD12" s="89">
        <f t="shared" si="38"/>
        <v>78</v>
      </c>
      <c r="AE12" s="89">
        <f t="shared" si="38"/>
        <v>76</v>
      </c>
      <c r="AF12" s="89">
        <f t="shared" si="38"/>
        <v>74</v>
      </c>
      <c r="AG12" s="89">
        <f t="shared" si="38"/>
        <v>72</v>
      </c>
      <c r="AH12" s="89">
        <f t="shared" si="38"/>
        <v>70</v>
      </c>
      <c r="AI12" s="89">
        <f t="shared" si="38"/>
        <v>68</v>
      </c>
      <c r="AJ12" s="89">
        <f t="shared" si="38"/>
        <v>66</v>
      </c>
      <c r="AK12" s="89">
        <f t="shared" si="38"/>
        <v>64</v>
      </c>
      <c r="AL12" s="89">
        <f t="shared" si="38"/>
        <v>62</v>
      </c>
      <c r="AM12" s="88">
        <v>60</v>
      </c>
      <c r="AN12" s="59">
        <f>AP12*14/AM12</f>
        <v>238</v>
      </c>
      <c r="AO12" s="59">
        <f>AP12*10/AM12</f>
        <v>170</v>
      </c>
      <c r="AP12" s="59">
        <v>1020</v>
      </c>
      <c r="AQ12" s="9">
        <v>25</v>
      </c>
      <c r="AR12" s="59">
        <f>AP12/AQ12</f>
        <v>40.799999999999997</v>
      </c>
      <c r="AS12" s="59">
        <v>24</v>
      </c>
      <c r="AT12" s="9"/>
      <c r="AU12" s="10">
        <v>51437469.83673761</v>
      </c>
    </row>
    <row r="13" spans="1:47" ht="15" customHeight="1" outlineLevel="1" x14ac:dyDescent="0.25">
      <c r="A13" s="4" t="s">
        <v>13</v>
      </c>
      <c r="B13" s="87">
        <v>220</v>
      </c>
      <c r="C13" s="89">
        <f>B13+($S13-$B13)/(2030-2013)</f>
        <v>215.58823529411765</v>
      </c>
      <c r="D13" s="89">
        <f t="shared" si="37"/>
        <v>211.1764705882353</v>
      </c>
      <c r="E13" s="89">
        <f t="shared" si="37"/>
        <v>206.76470588235296</v>
      </c>
      <c r="F13" s="89">
        <f t="shared" si="37"/>
        <v>202.35294117647061</v>
      </c>
      <c r="G13" s="89">
        <f t="shared" si="37"/>
        <v>197.94117647058826</v>
      </c>
      <c r="H13" s="89">
        <f t="shared" si="37"/>
        <v>193.52941176470591</v>
      </c>
      <c r="I13" s="89">
        <f t="shared" si="37"/>
        <v>189.11764705882356</v>
      </c>
      <c r="J13" s="89">
        <f t="shared" si="37"/>
        <v>184.70588235294122</v>
      </c>
      <c r="K13" s="89">
        <f t="shared" si="37"/>
        <v>180.29411764705887</v>
      </c>
      <c r="L13" s="89">
        <f t="shared" si="37"/>
        <v>175.88235294117652</v>
      </c>
      <c r="M13" s="89">
        <f t="shared" si="37"/>
        <v>171.47058823529417</v>
      </c>
      <c r="N13" s="89">
        <f t="shared" si="37"/>
        <v>167.05882352941182</v>
      </c>
      <c r="O13" s="89">
        <f t="shared" si="37"/>
        <v>162.64705882352948</v>
      </c>
      <c r="P13" s="89">
        <f t="shared" si="37"/>
        <v>158.23529411764713</v>
      </c>
      <c r="Q13" s="89">
        <f t="shared" si="37"/>
        <v>153.82352941176478</v>
      </c>
      <c r="R13" s="89">
        <f t="shared" si="37"/>
        <v>149.41176470588243</v>
      </c>
      <c r="S13" s="87">
        <v>145</v>
      </c>
      <c r="T13" s="89">
        <f>S13+($AM13-$S13)/(2050-2030)</f>
        <v>142</v>
      </c>
      <c r="U13" s="89">
        <f t="shared" si="38"/>
        <v>139</v>
      </c>
      <c r="V13" s="89">
        <f t="shared" si="38"/>
        <v>136</v>
      </c>
      <c r="W13" s="89">
        <f t="shared" si="38"/>
        <v>133</v>
      </c>
      <c r="X13" s="89">
        <f t="shared" si="38"/>
        <v>130</v>
      </c>
      <c r="Y13" s="89">
        <f t="shared" si="38"/>
        <v>127</v>
      </c>
      <c r="Z13" s="89">
        <f t="shared" si="38"/>
        <v>124</v>
      </c>
      <c r="AA13" s="89">
        <f t="shared" si="38"/>
        <v>121</v>
      </c>
      <c r="AB13" s="89">
        <f t="shared" si="38"/>
        <v>118</v>
      </c>
      <c r="AC13" s="89">
        <f t="shared" si="38"/>
        <v>115</v>
      </c>
      <c r="AD13" s="89">
        <f t="shared" si="38"/>
        <v>112</v>
      </c>
      <c r="AE13" s="89">
        <f t="shared" si="38"/>
        <v>109</v>
      </c>
      <c r="AF13" s="89">
        <f t="shared" si="38"/>
        <v>106</v>
      </c>
      <c r="AG13" s="89">
        <f t="shared" si="38"/>
        <v>103</v>
      </c>
      <c r="AH13" s="89">
        <f t="shared" si="38"/>
        <v>100</v>
      </c>
      <c r="AI13" s="89">
        <f t="shared" si="38"/>
        <v>97</v>
      </c>
      <c r="AJ13" s="89">
        <f t="shared" si="38"/>
        <v>94</v>
      </c>
      <c r="AK13" s="89">
        <f t="shared" si="38"/>
        <v>91</v>
      </c>
      <c r="AL13" s="89">
        <f t="shared" si="38"/>
        <v>88</v>
      </c>
      <c r="AM13" s="88">
        <v>85</v>
      </c>
      <c r="AN13" s="59">
        <f>AP13*18/AM13</f>
        <v>257.08235294117645</v>
      </c>
      <c r="AO13" s="59">
        <f>AP13*14/AM13</f>
        <v>199.95294117647057</v>
      </c>
      <c r="AP13" s="59">
        <v>1214</v>
      </c>
      <c r="AQ13" s="9">
        <v>25</v>
      </c>
      <c r="AR13" s="59">
        <f>AP13/AQ13</f>
        <v>48.56</v>
      </c>
      <c r="AS13" s="59">
        <v>12</v>
      </c>
      <c r="AT13" s="9"/>
      <c r="AU13" s="10">
        <v>30150719.921033908</v>
      </c>
    </row>
    <row r="14" spans="1:47" ht="15" customHeight="1" outlineLevel="1" x14ac:dyDescent="0.25">
      <c r="A14" s="4" t="s">
        <v>14</v>
      </c>
      <c r="B14" s="87">
        <v>500</v>
      </c>
      <c r="C14" s="89">
        <f>B14+($S14-$B14)/(2030-2013)</f>
        <v>491.1764705882353</v>
      </c>
      <c r="D14" s="89">
        <f t="shared" si="37"/>
        <v>482.35294117647061</v>
      </c>
      <c r="E14" s="89">
        <f t="shared" si="37"/>
        <v>473.52941176470591</v>
      </c>
      <c r="F14" s="89">
        <f t="shared" si="37"/>
        <v>464.70588235294122</v>
      </c>
      <c r="G14" s="89">
        <f t="shared" si="37"/>
        <v>455.88235294117652</v>
      </c>
      <c r="H14" s="89">
        <f t="shared" si="37"/>
        <v>447.05882352941182</v>
      </c>
      <c r="I14" s="89">
        <f t="shared" si="37"/>
        <v>438.23529411764713</v>
      </c>
      <c r="J14" s="89">
        <f t="shared" si="37"/>
        <v>429.41176470588243</v>
      </c>
      <c r="K14" s="89">
        <f t="shared" si="37"/>
        <v>420.58823529411774</v>
      </c>
      <c r="L14" s="89">
        <f t="shared" si="37"/>
        <v>411.76470588235304</v>
      </c>
      <c r="M14" s="89">
        <f t="shared" si="37"/>
        <v>402.94117647058835</v>
      </c>
      <c r="N14" s="89">
        <f t="shared" si="37"/>
        <v>394.11764705882365</v>
      </c>
      <c r="O14" s="89">
        <f t="shared" si="37"/>
        <v>385.29411764705895</v>
      </c>
      <c r="P14" s="89">
        <f t="shared" si="37"/>
        <v>376.47058823529426</v>
      </c>
      <c r="Q14" s="89">
        <f t="shared" si="37"/>
        <v>367.64705882352956</v>
      </c>
      <c r="R14" s="89">
        <f t="shared" si="37"/>
        <v>358.82352941176487</v>
      </c>
      <c r="S14" s="87">
        <v>350</v>
      </c>
      <c r="T14" s="89">
        <f>S14+($AM14-$S14)/(2050-2030)</f>
        <v>347.5</v>
      </c>
      <c r="U14" s="89">
        <f t="shared" si="38"/>
        <v>345</v>
      </c>
      <c r="V14" s="89">
        <f t="shared" si="38"/>
        <v>342.5</v>
      </c>
      <c r="W14" s="89">
        <f t="shared" si="38"/>
        <v>340</v>
      </c>
      <c r="X14" s="89">
        <f t="shared" si="38"/>
        <v>337.5</v>
      </c>
      <c r="Y14" s="89">
        <f t="shared" si="38"/>
        <v>335</v>
      </c>
      <c r="Z14" s="89">
        <f t="shared" si="38"/>
        <v>332.5</v>
      </c>
      <c r="AA14" s="89">
        <f t="shared" si="38"/>
        <v>330</v>
      </c>
      <c r="AB14" s="89">
        <f t="shared" si="38"/>
        <v>327.5</v>
      </c>
      <c r="AC14" s="89">
        <f t="shared" si="38"/>
        <v>325</v>
      </c>
      <c r="AD14" s="89">
        <f t="shared" si="38"/>
        <v>322.5</v>
      </c>
      <c r="AE14" s="89">
        <f t="shared" si="38"/>
        <v>320</v>
      </c>
      <c r="AF14" s="89">
        <f t="shared" si="38"/>
        <v>317.5</v>
      </c>
      <c r="AG14" s="89">
        <f t="shared" si="38"/>
        <v>315</v>
      </c>
      <c r="AH14" s="89">
        <f t="shared" si="38"/>
        <v>312.5</v>
      </c>
      <c r="AI14" s="89">
        <f t="shared" si="38"/>
        <v>310</v>
      </c>
      <c r="AJ14" s="89">
        <f t="shared" si="38"/>
        <v>307.5</v>
      </c>
      <c r="AK14" s="89">
        <f t="shared" si="38"/>
        <v>305</v>
      </c>
      <c r="AL14" s="89">
        <f t="shared" si="38"/>
        <v>302.5</v>
      </c>
      <c r="AM14" s="88">
        <v>300</v>
      </c>
      <c r="AN14" s="59">
        <v>4800</v>
      </c>
      <c r="AO14" s="59">
        <v>3400</v>
      </c>
      <c r="AP14" s="59">
        <v>3131</v>
      </c>
      <c r="AQ14" s="9">
        <v>30</v>
      </c>
      <c r="AR14" s="59">
        <f>AP14/AQ14</f>
        <v>104.36666666666666</v>
      </c>
      <c r="AS14" s="59">
        <v>161</v>
      </c>
      <c r="AT14" s="9"/>
      <c r="AU14" s="10">
        <v>496821.65887754317</v>
      </c>
    </row>
    <row r="15" spans="1:47" x14ac:dyDescent="0.25">
      <c r="A15" s="4" t="s">
        <v>24</v>
      </c>
      <c r="B15" s="90">
        <f>B12*C35+B13*C36</f>
        <v>179.46998377501353</v>
      </c>
      <c r="C15" s="89">
        <f>B15+($S15-$B15)/(2030-2013)</f>
        <v>175.80445464681071</v>
      </c>
      <c r="D15" s="89">
        <f t="shared" ref="D15:R18" si="39">C15+($S15-$B15)/(2030-2013)</f>
        <v>172.13892551860789</v>
      </c>
      <c r="E15" s="89">
        <f t="shared" si="39"/>
        <v>168.47339639040507</v>
      </c>
      <c r="F15" s="89">
        <f t="shared" si="39"/>
        <v>164.80786726220225</v>
      </c>
      <c r="G15" s="89">
        <f t="shared" si="39"/>
        <v>161.14233813399943</v>
      </c>
      <c r="H15" s="89">
        <f t="shared" si="39"/>
        <v>157.47680900579661</v>
      </c>
      <c r="I15" s="89">
        <f t="shared" si="39"/>
        <v>153.81127987759379</v>
      </c>
      <c r="J15" s="89">
        <f t="shared" si="39"/>
        <v>150.14575074939097</v>
      </c>
      <c r="K15" s="89">
        <f t="shared" si="39"/>
        <v>146.48022162118815</v>
      </c>
      <c r="L15" s="89">
        <f t="shared" si="39"/>
        <v>142.81469249298533</v>
      </c>
      <c r="M15" s="89">
        <f t="shared" si="39"/>
        <v>139.14916336478251</v>
      </c>
      <c r="N15" s="89">
        <f t="shared" si="39"/>
        <v>135.48363423657969</v>
      </c>
      <c r="O15" s="89">
        <f t="shared" si="39"/>
        <v>131.81810510837687</v>
      </c>
      <c r="P15" s="89">
        <f t="shared" si="39"/>
        <v>128.15257598017405</v>
      </c>
      <c r="Q15" s="89">
        <f t="shared" si="39"/>
        <v>124.48704685197123</v>
      </c>
      <c r="R15" s="89">
        <f t="shared" si="39"/>
        <v>120.82151772376841</v>
      </c>
      <c r="S15" s="90">
        <f>S14*E37+S13*E36+S12*E35</f>
        <v>117.15598859556559</v>
      </c>
      <c r="T15" s="89">
        <f>S15+($AM15-$S15)/(2050-2030)</f>
        <v>114.89232229921427</v>
      </c>
      <c r="U15" s="89">
        <f t="shared" ref="U15:AL18" si="40">T15+($AM15-$S15)/(2050-2030)</f>
        <v>112.62865600286295</v>
      </c>
      <c r="V15" s="89">
        <f t="shared" si="40"/>
        <v>110.36498970651164</v>
      </c>
      <c r="W15" s="89">
        <f t="shared" si="40"/>
        <v>108.10132341016032</v>
      </c>
      <c r="X15" s="89">
        <f t="shared" si="40"/>
        <v>105.837657113809</v>
      </c>
      <c r="Y15" s="89">
        <f t="shared" si="40"/>
        <v>103.57399081745768</v>
      </c>
      <c r="Z15" s="89">
        <f t="shared" si="40"/>
        <v>101.31032452110637</v>
      </c>
      <c r="AA15" s="89">
        <f t="shared" si="40"/>
        <v>99.046658224755049</v>
      </c>
      <c r="AB15" s="89">
        <f t="shared" si="40"/>
        <v>96.782991928403732</v>
      </c>
      <c r="AC15" s="89">
        <f t="shared" si="40"/>
        <v>94.519325632052414</v>
      </c>
      <c r="AD15" s="89">
        <f t="shared" si="40"/>
        <v>92.255659335701097</v>
      </c>
      <c r="AE15" s="89">
        <f t="shared" si="40"/>
        <v>89.991993039349779</v>
      </c>
      <c r="AF15" s="89">
        <f t="shared" si="40"/>
        <v>87.728326742998462</v>
      </c>
      <c r="AG15" s="89">
        <f t="shared" si="40"/>
        <v>85.464660446647144</v>
      </c>
      <c r="AH15" s="89">
        <f t="shared" si="40"/>
        <v>83.200994150295827</v>
      </c>
      <c r="AI15" s="89">
        <f t="shared" si="40"/>
        <v>80.93732785394451</v>
      </c>
      <c r="AJ15" s="89">
        <f t="shared" si="40"/>
        <v>78.673661557593192</v>
      </c>
      <c r="AK15" s="89">
        <f t="shared" si="40"/>
        <v>76.409995261241875</v>
      </c>
      <c r="AL15" s="89">
        <f t="shared" si="40"/>
        <v>74.146328964890557</v>
      </c>
      <c r="AM15" s="88">
        <f>SUM(Production!C7:C8,Production!C21)/SUM(Production!B7:B8,Production!B21)*1000000</f>
        <v>71.882662668539211</v>
      </c>
      <c r="AN15" s="59"/>
      <c r="AO15" s="59"/>
      <c r="AP15" s="59"/>
      <c r="AQ15" s="9">
        <v>25</v>
      </c>
      <c r="AR15" s="59"/>
      <c r="AS15" s="59">
        <f>AS12*G35+G36*AS13+AS14*G37</f>
        <v>20.623356690807654</v>
      </c>
      <c r="AT15" s="9"/>
      <c r="AU15" s="10">
        <f>SUM(AU12:AU14)</f>
        <v>82085011.416649058</v>
      </c>
    </row>
    <row r="16" spans="1:47" x14ac:dyDescent="0.25">
      <c r="A16" s="4" t="s">
        <v>15</v>
      </c>
      <c r="B16" s="90">
        <f>160*4038/3211</f>
        <v>201.20834630956088</v>
      </c>
      <c r="C16" s="89">
        <f>B16+($S16-$B16)/(2030-2013)</f>
        <v>198.78432593841023</v>
      </c>
      <c r="D16" s="89">
        <f t="shared" si="39"/>
        <v>196.36030556725959</v>
      </c>
      <c r="E16" s="89">
        <f t="shared" si="39"/>
        <v>193.93628519610894</v>
      </c>
      <c r="F16" s="89">
        <f t="shared" si="39"/>
        <v>191.51226482495829</v>
      </c>
      <c r="G16" s="89">
        <f t="shared" si="39"/>
        <v>189.08824445380765</v>
      </c>
      <c r="H16" s="89">
        <f t="shared" si="39"/>
        <v>186.664224082657</v>
      </c>
      <c r="I16" s="89">
        <f t="shared" si="39"/>
        <v>184.24020371150635</v>
      </c>
      <c r="J16" s="89">
        <f t="shared" si="39"/>
        <v>181.81618334035571</v>
      </c>
      <c r="K16" s="89">
        <f t="shared" si="39"/>
        <v>179.39216296920506</v>
      </c>
      <c r="L16" s="89">
        <f t="shared" si="39"/>
        <v>176.96814259805441</v>
      </c>
      <c r="M16" s="89">
        <f t="shared" si="39"/>
        <v>174.54412222690377</v>
      </c>
      <c r="N16" s="89">
        <f t="shared" si="39"/>
        <v>172.12010185575312</v>
      </c>
      <c r="O16" s="89">
        <f t="shared" si="39"/>
        <v>169.69608148460247</v>
      </c>
      <c r="P16" s="89">
        <f t="shared" si="39"/>
        <v>167.27206111345183</v>
      </c>
      <c r="Q16" s="89">
        <f t="shared" si="39"/>
        <v>164.84804074230118</v>
      </c>
      <c r="R16" s="89">
        <f t="shared" si="39"/>
        <v>162.42402037115053</v>
      </c>
      <c r="S16" s="87">
        <v>160</v>
      </c>
      <c r="T16" s="89">
        <f>S16+($AM16-$S16)/(2050-2030)</f>
        <v>160</v>
      </c>
      <c r="U16" s="89">
        <f t="shared" si="40"/>
        <v>160</v>
      </c>
      <c r="V16" s="89">
        <f t="shared" si="40"/>
        <v>160</v>
      </c>
      <c r="W16" s="89">
        <f t="shared" si="40"/>
        <v>160</v>
      </c>
      <c r="X16" s="89">
        <f t="shared" si="40"/>
        <v>160</v>
      </c>
      <c r="Y16" s="89">
        <f t="shared" si="40"/>
        <v>160</v>
      </c>
      <c r="Z16" s="89">
        <f t="shared" si="40"/>
        <v>160</v>
      </c>
      <c r="AA16" s="89">
        <f t="shared" si="40"/>
        <v>160</v>
      </c>
      <c r="AB16" s="89">
        <f t="shared" si="40"/>
        <v>160</v>
      </c>
      <c r="AC16" s="89">
        <f t="shared" si="40"/>
        <v>160</v>
      </c>
      <c r="AD16" s="89">
        <f t="shared" si="40"/>
        <v>160</v>
      </c>
      <c r="AE16" s="89">
        <f t="shared" si="40"/>
        <v>160</v>
      </c>
      <c r="AF16" s="89">
        <f t="shared" si="40"/>
        <v>160</v>
      </c>
      <c r="AG16" s="89">
        <f t="shared" si="40"/>
        <v>160</v>
      </c>
      <c r="AH16" s="89">
        <f t="shared" si="40"/>
        <v>160</v>
      </c>
      <c r="AI16" s="89">
        <f t="shared" si="40"/>
        <v>160</v>
      </c>
      <c r="AJ16" s="89">
        <f t="shared" si="40"/>
        <v>160</v>
      </c>
      <c r="AK16" s="89">
        <f t="shared" si="40"/>
        <v>160</v>
      </c>
      <c r="AL16" s="89">
        <f t="shared" si="40"/>
        <v>160</v>
      </c>
      <c r="AM16" s="88">
        <v>160</v>
      </c>
      <c r="AN16" s="59">
        <v>4238</v>
      </c>
      <c r="AO16" s="59">
        <f>AP16*16/AM16</f>
        <v>343.1</v>
      </c>
      <c r="AP16" s="59">
        <v>3431</v>
      </c>
      <c r="AQ16" s="9">
        <v>30</v>
      </c>
      <c r="AR16" s="59">
        <f>AP16/AQ16</f>
        <v>114.36666666666666</v>
      </c>
      <c r="AS16" s="59">
        <v>130</v>
      </c>
      <c r="AT16" s="9"/>
      <c r="AU16" s="10">
        <v>483899.25542237441</v>
      </c>
    </row>
    <row r="17" spans="1:47" s="2" customFormat="1" x14ac:dyDescent="0.25">
      <c r="A17" s="4" t="s">
        <v>18</v>
      </c>
      <c r="B17" s="87">
        <v>58</v>
      </c>
      <c r="C17" s="89">
        <f>B17+($S17-$B17)/(2030-2013)</f>
        <v>58</v>
      </c>
      <c r="D17" s="89">
        <f t="shared" si="39"/>
        <v>58</v>
      </c>
      <c r="E17" s="89">
        <f t="shared" si="39"/>
        <v>58</v>
      </c>
      <c r="F17" s="89">
        <f t="shared" si="39"/>
        <v>58</v>
      </c>
      <c r="G17" s="89">
        <f t="shared" si="39"/>
        <v>58</v>
      </c>
      <c r="H17" s="89">
        <f t="shared" si="39"/>
        <v>58</v>
      </c>
      <c r="I17" s="89">
        <f t="shared" si="39"/>
        <v>58</v>
      </c>
      <c r="J17" s="89">
        <f t="shared" si="39"/>
        <v>58</v>
      </c>
      <c r="K17" s="89">
        <f t="shared" si="39"/>
        <v>58</v>
      </c>
      <c r="L17" s="89">
        <f t="shared" si="39"/>
        <v>58</v>
      </c>
      <c r="M17" s="89">
        <f t="shared" si="39"/>
        <v>58</v>
      </c>
      <c r="N17" s="89">
        <f t="shared" si="39"/>
        <v>58</v>
      </c>
      <c r="O17" s="89">
        <f t="shared" si="39"/>
        <v>58</v>
      </c>
      <c r="P17" s="89">
        <f t="shared" si="39"/>
        <v>58</v>
      </c>
      <c r="Q17" s="89">
        <f t="shared" si="39"/>
        <v>58</v>
      </c>
      <c r="R17" s="89">
        <f t="shared" si="39"/>
        <v>58</v>
      </c>
      <c r="S17" s="87">
        <v>58</v>
      </c>
      <c r="T17" s="89">
        <f>S17+($AM17-$S17)/(2050-2030)</f>
        <v>58</v>
      </c>
      <c r="U17" s="89">
        <f t="shared" si="40"/>
        <v>58</v>
      </c>
      <c r="V17" s="89">
        <f t="shared" si="40"/>
        <v>58</v>
      </c>
      <c r="W17" s="89">
        <f t="shared" si="40"/>
        <v>58</v>
      </c>
      <c r="X17" s="89">
        <f t="shared" si="40"/>
        <v>58</v>
      </c>
      <c r="Y17" s="89">
        <f t="shared" si="40"/>
        <v>58</v>
      </c>
      <c r="Z17" s="89">
        <f t="shared" si="40"/>
        <v>58</v>
      </c>
      <c r="AA17" s="89">
        <f t="shared" si="40"/>
        <v>58</v>
      </c>
      <c r="AB17" s="89">
        <f t="shared" si="40"/>
        <v>58</v>
      </c>
      <c r="AC17" s="89">
        <f t="shared" si="40"/>
        <v>58</v>
      </c>
      <c r="AD17" s="89">
        <f t="shared" si="40"/>
        <v>58</v>
      </c>
      <c r="AE17" s="89">
        <f t="shared" si="40"/>
        <v>58</v>
      </c>
      <c r="AF17" s="89">
        <f t="shared" si="40"/>
        <v>58</v>
      </c>
      <c r="AG17" s="89">
        <f t="shared" si="40"/>
        <v>58</v>
      </c>
      <c r="AH17" s="89">
        <f t="shared" si="40"/>
        <v>58</v>
      </c>
      <c r="AI17" s="89">
        <f t="shared" si="40"/>
        <v>58</v>
      </c>
      <c r="AJ17" s="89">
        <f t="shared" si="40"/>
        <v>58</v>
      </c>
      <c r="AK17" s="89">
        <f t="shared" si="40"/>
        <v>58</v>
      </c>
      <c r="AL17" s="89">
        <f t="shared" si="40"/>
        <v>58</v>
      </c>
      <c r="AM17" s="88">
        <v>58</v>
      </c>
      <c r="AN17" s="59">
        <f>AO17</f>
        <v>3550</v>
      </c>
      <c r="AO17" s="59">
        <f>AP17</f>
        <v>3550</v>
      </c>
      <c r="AP17" s="59">
        <v>3550</v>
      </c>
      <c r="AQ17" s="9">
        <v>20</v>
      </c>
      <c r="AR17" s="59">
        <f>AP17/AQ17</f>
        <v>177.5</v>
      </c>
      <c r="AS17" s="59">
        <v>124</v>
      </c>
      <c r="AT17" s="9"/>
      <c r="AU17" s="10"/>
    </row>
    <row r="18" spans="1:47" x14ac:dyDescent="0.25">
      <c r="A18" s="4" t="s">
        <v>155</v>
      </c>
      <c r="B18" s="91">
        <f>S18*3177/2869</f>
        <v>75.410840013942135</v>
      </c>
      <c r="C18" s="89">
        <f>B18+($S18-$B18)/(2030-2013)</f>
        <v>74.980790601357299</v>
      </c>
      <c r="D18" s="89">
        <f t="shared" si="39"/>
        <v>74.550741188772463</v>
      </c>
      <c r="E18" s="89">
        <f t="shared" si="39"/>
        <v>74.120691776187627</v>
      </c>
      <c r="F18" s="89">
        <f t="shared" si="39"/>
        <v>73.690642363602791</v>
      </c>
      <c r="G18" s="89">
        <f t="shared" si="39"/>
        <v>73.260592951017955</v>
      </c>
      <c r="H18" s="89">
        <f t="shared" si="39"/>
        <v>72.830543538433119</v>
      </c>
      <c r="I18" s="89">
        <f t="shared" si="39"/>
        <v>72.400494125848283</v>
      </c>
      <c r="J18" s="89">
        <f t="shared" si="39"/>
        <v>71.970444713263447</v>
      </c>
      <c r="K18" s="89">
        <f t="shared" si="39"/>
        <v>71.540395300678611</v>
      </c>
      <c r="L18" s="89">
        <f t="shared" si="39"/>
        <v>71.110345888093775</v>
      </c>
      <c r="M18" s="89">
        <f t="shared" si="39"/>
        <v>70.680296475508939</v>
      </c>
      <c r="N18" s="89">
        <f t="shared" si="39"/>
        <v>70.250247062924103</v>
      </c>
      <c r="O18" s="89">
        <f t="shared" si="39"/>
        <v>69.820197650339267</v>
      </c>
      <c r="P18" s="89">
        <f t="shared" si="39"/>
        <v>69.390148237754431</v>
      </c>
      <c r="Q18" s="89">
        <f t="shared" si="39"/>
        <v>68.960098825169595</v>
      </c>
      <c r="R18" s="89">
        <f t="shared" si="39"/>
        <v>68.530049412584759</v>
      </c>
      <c r="S18" s="88">
        <f>AM18</f>
        <v>68.099999999999994</v>
      </c>
      <c r="T18" s="89">
        <f>S18+($AM18-$S18)/(2050-2030)</f>
        <v>68.099999999999994</v>
      </c>
      <c r="U18" s="89">
        <f t="shared" si="40"/>
        <v>68.099999999999994</v>
      </c>
      <c r="V18" s="89">
        <f t="shared" si="40"/>
        <v>68.099999999999994</v>
      </c>
      <c r="W18" s="89">
        <f t="shared" si="40"/>
        <v>68.099999999999994</v>
      </c>
      <c r="X18" s="89">
        <f t="shared" si="40"/>
        <v>68.099999999999994</v>
      </c>
      <c r="Y18" s="89">
        <f t="shared" si="40"/>
        <v>68.099999999999994</v>
      </c>
      <c r="Z18" s="89">
        <f t="shared" si="40"/>
        <v>68.099999999999994</v>
      </c>
      <c r="AA18" s="89">
        <f t="shared" si="40"/>
        <v>68.099999999999994</v>
      </c>
      <c r="AB18" s="89">
        <f t="shared" si="40"/>
        <v>68.099999999999994</v>
      </c>
      <c r="AC18" s="89">
        <f t="shared" si="40"/>
        <v>68.099999999999994</v>
      </c>
      <c r="AD18" s="89">
        <f t="shared" si="40"/>
        <v>68.099999999999994</v>
      </c>
      <c r="AE18" s="89">
        <f t="shared" si="40"/>
        <v>68.099999999999994</v>
      </c>
      <c r="AF18" s="89">
        <f t="shared" si="40"/>
        <v>68.099999999999994</v>
      </c>
      <c r="AG18" s="89">
        <f t="shared" si="40"/>
        <v>68.099999999999994</v>
      </c>
      <c r="AH18" s="89">
        <f t="shared" si="40"/>
        <v>68.099999999999994</v>
      </c>
      <c r="AI18" s="89">
        <f t="shared" si="40"/>
        <v>68.099999999999994</v>
      </c>
      <c r="AJ18" s="89">
        <f t="shared" si="40"/>
        <v>68.099999999999994</v>
      </c>
      <c r="AK18" s="89">
        <f t="shared" si="40"/>
        <v>68.099999999999994</v>
      </c>
      <c r="AL18" s="89">
        <f t="shared" si="40"/>
        <v>68.099999999999994</v>
      </c>
      <c r="AM18" s="88">
        <v>68.099999999999994</v>
      </c>
      <c r="AN18" s="59">
        <v>3177</v>
      </c>
      <c r="AO18" s="59">
        <v>2869</v>
      </c>
      <c r="AP18" s="59">
        <v>2869</v>
      </c>
      <c r="AQ18" s="9">
        <v>30</v>
      </c>
      <c r="AR18" s="59">
        <f>AP18/AQ18</f>
        <v>95.63333333333334</v>
      </c>
      <c r="AS18" s="59">
        <f>AP18*0.015</f>
        <v>43.034999999999997</v>
      </c>
      <c r="AT18" s="9"/>
      <c r="AU18" s="10"/>
    </row>
    <row r="19" spans="1:47" x14ac:dyDescent="0.25">
      <c r="A19" s="4"/>
      <c r="B19" s="91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8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8"/>
      <c r="AN19" s="59"/>
      <c r="AO19" s="59"/>
      <c r="AP19" s="59"/>
      <c r="AQ19" s="9"/>
      <c r="AR19" s="59"/>
      <c r="AS19" s="59"/>
      <c r="AT19" s="9"/>
      <c r="AU19" s="10"/>
    </row>
    <row r="20" spans="1:47" ht="15.75" thickBot="1" x14ac:dyDescent="0.3">
      <c r="A20" s="8" t="s">
        <v>178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11"/>
      <c r="AN20" s="11"/>
      <c r="AO20" s="11"/>
      <c r="AP20" s="11"/>
      <c r="AQ20" s="11"/>
      <c r="AR20" s="11"/>
      <c r="AS20" s="11"/>
      <c r="AT20" s="11"/>
      <c r="AU20" s="12"/>
    </row>
    <row r="21" spans="1:47" x14ac:dyDescent="0.25">
      <c r="A21" s="4" t="s">
        <v>75</v>
      </c>
      <c r="B21" s="90">
        <f>120*850/700</f>
        <v>145.71428571428572</v>
      </c>
      <c r="C21" s="89">
        <f>B21+($S21-$B21)/(2030-2013)</f>
        <v>144.20168067226891</v>
      </c>
      <c r="D21" s="89">
        <f t="shared" ref="D21:R22" si="41">C21+($S21-$B21)/(2030-2013)</f>
        <v>142.68907563025209</v>
      </c>
      <c r="E21" s="89">
        <f t="shared" si="41"/>
        <v>141.17647058823528</v>
      </c>
      <c r="F21" s="89">
        <f t="shared" si="41"/>
        <v>139.66386554621846</v>
      </c>
      <c r="G21" s="89">
        <f t="shared" si="41"/>
        <v>138.15126050420164</v>
      </c>
      <c r="H21" s="89">
        <f t="shared" si="41"/>
        <v>136.63865546218483</v>
      </c>
      <c r="I21" s="89">
        <f t="shared" si="41"/>
        <v>135.12605042016801</v>
      </c>
      <c r="J21" s="89">
        <f t="shared" si="41"/>
        <v>133.6134453781512</v>
      </c>
      <c r="K21" s="89">
        <f t="shared" si="41"/>
        <v>132.10084033613438</v>
      </c>
      <c r="L21" s="89">
        <f t="shared" si="41"/>
        <v>130.58823529411757</v>
      </c>
      <c r="M21" s="89">
        <f t="shared" si="41"/>
        <v>129.07563025210075</v>
      </c>
      <c r="N21" s="89">
        <f t="shared" si="41"/>
        <v>127.56302521008395</v>
      </c>
      <c r="O21" s="89">
        <f t="shared" si="41"/>
        <v>126.05042016806715</v>
      </c>
      <c r="P21" s="89">
        <f t="shared" si="41"/>
        <v>124.53781512605035</v>
      </c>
      <c r="Q21" s="89">
        <f t="shared" si="41"/>
        <v>123.02521008403355</v>
      </c>
      <c r="R21" s="89">
        <f t="shared" si="41"/>
        <v>121.51260504201674</v>
      </c>
      <c r="S21" s="87">
        <v>120</v>
      </c>
      <c r="T21" s="89">
        <f>S21+($AM21-$S21)/(2050-2030)</f>
        <v>120</v>
      </c>
      <c r="U21" s="89">
        <f t="shared" ref="U21:AL22" si="42">T21+($AM21-$S21)/(2050-2030)</f>
        <v>120</v>
      </c>
      <c r="V21" s="89">
        <f t="shared" si="42"/>
        <v>120</v>
      </c>
      <c r="W21" s="89">
        <f t="shared" si="42"/>
        <v>120</v>
      </c>
      <c r="X21" s="89">
        <f t="shared" si="42"/>
        <v>120</v>
      </c>
      <c r="Y21" s="89">
        <f t="shared" si="42"/>
        <v>120</v>
      </c>
      <c r="Z21" s="89">
        <f t="shared" si="42"/>
        <v>120</v>
      </c>
      <c r="AA21" s="89">
        <f t="shared" si="42"/>
        <v>120</v>
      </c>
      <c r="AB21" s="89">
        <f t="shared" si="42"/>
        <v>120</v>
      </c>
      <c r="AC21" s="89">
        <f t="shared" si="42"/>
        <v>120</v>
      </c>
      <c r="AD21" s="89">
        <f t="shared" si="42"/>
        <v>120</v>
      </c>
      <c r="AE21" s="89">
        <f t="shared" si="42"/>
        <v>120</v>
      </c>
      <c r="AF21" s="89">
        <f t="shared" si="42"/>
        <v>120</v>
      </c>
      <c r="AG21" s="89">
        <f t="shared" si="42"/>
        <v>120</v>
      </c>
      <c r="AH21" s="89">
        <f t="shared" si="42"/>
        <v>120</v>
      </c>
      <c r="AI21" s="89">
        <f t="shared" si="42"/>
        <v>120</v>
      </c>
      <c r="AJ21" s="89">
        <f t="shared" si="42"/>
        <v>120</v>
      </c>
      <c r="AK21" s="89">
        <f t="shared" si="42"/>
        <v>120</v>
      </c>
      <c r="AL21" s="89">
        <f t="shared" si="42"/>
        <v>120</v>
      </c>
      <c r="AM21" s="88">
        <v>120</v>
      </c>
      <c r="AN21" s="59"/>
      <c r="AO21" s="59"/>
      <c r="AP21" s="59">
        <v>692</v>
      </c>
      <c r="AQ21" s="9">
        <v>30</v>
      </c>
      <c r="AR21" s="59">
        <f>AP21/AQ21</f>
        <v>23.066666666666666</v>
      </c>
      <c r="AS21" s="59">
        <v>24</v>
      </c>
      <c r="AT21" s="9">
        <v>10</v>
      </c>
      <c r="AU21" s="10"/>
    </row>
    <row r="22" spans="1:47" x14ac:dyDescent="0.25">
      <c r="A22" s="4" t="s">
        <v>71</v>
      </c>
      <c r="B22" s="90">
        <f>180*700/610</f>
        <v>206.55737704918033</v>
      </c>
      <c r="C22" s="89">
        <f>B22+($S22-$B22)/(2030-2013)</f>
        <v>204.99517839922854</v>
      </c>
      <c r="D22" s="89">
        <f t="shared" si="41"/>
        <v>203.43297974927674</v>
      </c>
      <c r="E22" s="89">
        <f t="shared" si="41"/>
        <v>201.87078109932494</v>
      </c>
      <c r="F22" s="89">
        <f t="shared" si="41"/>
        <v>200.30858244937315</v>
      </c>
      <c r="G22" s="89">
        <f t="shared" si="41"/>
        <v>198.74638379942135</v>
      </c>
      <c r="H22" s="89">
        <f t="shared" si="41"/>
        <v>197.18418514946956</v>
      </c>
      <c r="I22" s="89">
        <f t="shared" si="41"/>
        <v>195.62198649951776</v>
      </c>
      <c r="J22" s="89">
        <f t="shared" si="41"/>
        <v>194.05978784956596</v>
      </c>
      <c r="K22" s="89">
        <f t="shared" si="41"/>
        <v>192.49758919961417</v>
      </c>
      <c r="L22" s="89">
        <f t="shared" si="41"/>
        <v>190.93539054966237</v>
      </c>
      <c r="M22" s="89">
        <f t="shared" si="41"/>
        <v>189.37319189971058</v>
      </c>
      <c r="N22" s="89">
        <f t="shared" si="41"/>
        <v>187.81099324975878</v>
      </c>
      <c r="O22" s="89">
        <f t="shared" si="41"/>
        <v>186.24879459980698</v>
      </c>
      <c r="P22" s="89">
        <f t="shared" si="41"/>
        <v>184.68659594985519</v>
      </c>
      <c r="Q22" s="89">
        <f t="shared" si="41"/>
        <v>183.12439729990339</v>
      </c>
      <c r="R22" s="89">
        <f t="shared" si="41"/>
        <v>181.5621986499516</v>
      </c>
      <c r="S22" s="87">
        <v>180</v>
      </c>
      <c r="T22" s="89">
        <f>S22+($AM22-$S22)/(2050-2030)</f>
        <v>180</v>
      </c>
      <c r="U22" s="89">
        <f t="shared" si="42"/>
        <v>180</v>
      </c>
      <c r="V22" s="89">
        <f t="shared" si="42"/>
        <v>180</v>
      </c>
      <c r="W22" s="89">
        <f t="shared" si="42"/>
        <v>180</v>
      </c>
      <c r="X22" s="89">
        <f t="shared" si="42"/>
        <v>180</v>
      </c>
      <c r="Y22" s="89">
        <f t="shared" si="42"/>
        <v>180</v>
      </c>
      <c r="Z22" s="89">
        <f t="shared" si="42"/>
        <v>180</v>
      </c>
      <c r="AA22" s="89">
        <f t="shared" si="42"/>
        <v>180</v>
      </c>
      <c r="AB22" s="89">
        <f t="shared" si="42"/>
        <v>180</v>
      </c>
      <c r="AC22" s="89">
        <f t="shared" si="42"/>
        <v>180</v>
      </c>
      <c r="AD22" s="89">
        <f t="shared" si="42"/>
        <v>180</v>
      </c>
      <c r="AE22" s="89">
        <f t="shared" si="42"/>
        <v>180</v>
      </c>
      <c r="AF22" s="89">
        <f t="shared" si="42"/>
        <v>180</v>
      </c>
      <c r="AG22" s="89">
        <f t="shared" si="42"/>
        <v>180</v>
      </c>
      <c r="AH22" s="89">
        <f t="shared" si="42"/>
        <v>180</v>
      </c>
      <c r="AI22" s="89">
        <f t="shared" si="42"/>
        <v>180</v>
      </c>
      <c r="AJ22" s="89">
        <f t="shared" si="42"/>
        <v>180</v>
      </c>
      <c r="AK22" s="89">
        <f t="shared" si="42"/>
        <v>180</v>
      </c>
      <c r="AL22" s="89">
        <f t="shared" si="42"/>
        <v>180</v>
      </c>
      <c r="AM22" s="88">
        <v>180</v>
      </c>
      <c r="AN22" s="59"/>
      <c r="AO22" s="59"/>
      <c r="AP22" s="59">
        <v>615</v>
      </c>
      <c r="AQ22" s="9">
        <v>30</v>
      </c>
      <c r="AR22" s="59">
        <f>AP22/AQ22</f>
        <v>20.5</v>
      </c>
      <c r="AS22" s="59">
        <v>22</v>
      </c>
      <c r="AT22" s="9">
        <v>15</v>
      </c>
      <c r="AU22" s="10"/>
    </row>
    <row r="23" spans="1:47" x14ac:dyDescent="0.25">
      <c r="A23" s="4"/>
      <c r="B23" s="90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7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8"/>
      <c r="AN23" s="59"/>
      <c r="AO23" s="59"/>
      <c r="AP23" s="59"/>
      <c r="AQ23" s="9"/>
      <c r="AR23" s="59"/>
      <c r="AS23" s="59"/>
      <c r="AT23" s="9"/>
      <c r="AU23" s="10"/>
    </row>
    <row r="24" spans="1:47" ht="15.75" thickBot="1" x14ac:dyDescent="0.3">
      <c r="A24" s="8" t="s">
        <v>126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11"/>
      <c r="AN24" s="11"/>
      <c r="AO24" s="11"/>
      <c r="AP24" s="11"/>
      <c r="AQ24" s="11"/>
      <c r="AR24" s="11"/>
      <c r="AS24" s="11"/>
      <c r="AT24" s="11"/>
      <c r="AU24" s="12"/>
    </row>
    <row r="25" spans="1:47" x14ac:dyDescent="0.25">
      <c r="A25" s="4" t="s">
        <v>16</v>
      </c>
      <c r="B25" s="87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7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8"/>
      <c r="AN25" s="59">
        <f>3077-((3077-2769)/10*3)</f>
        <v>2984.6</v>
      </c>
      <c r="AO25" s="59">
        <f>AP25</f>
        <v>1140</v>
      </c>
      <c r="AP25" s="59">
        <v>1140</v>
      </c>
      <c r="AQ25" s="9">
        <v>40</v>
      </c>
      <c r="AR25" s="59">
        <f>AP25/AQ25</f>
        <v>28.5</v>
      </c>
      <c r="AS25" s="59">
        <v>14.8</v>
      </c>
      <c r="AT25" s="9"/>
      <c r="AU25" s="10"/>
    </row>
    <row r="26" spans="1:47" x14ac:dyDescent="0.25">
      <c r="A26" s="4" t="s">
        <v>17</v>
      </c>
      <c r="B26" s="87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7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8"/>
      <c r="AN26" s="59"/>
      <c r="AO26" s="59">
        <f>AP26</f>
        <v>2080</v>
      </c>
      <c r="AP26" s="59">
        <v>2080</v>
      </c>
      <c r="AQ26" s="9">
        <v>40</v>
      </c>
      <c r="AR26" s="59">
        <f>AP26/AQ26</f>
        <v>52</v>
      </c>
      <c r="AS26" s="59">
        <v>14.8</v>
      </c>
      <c r="AT26" s="9"/>
      <c r="AU26" s="10"/>
    </row>
    <row r="27" spans="1:47" x14ac:dyDescent="0.25">
      <c r="A27" s="4" t="s">
        <v>28</v>
      </c>
      <c r="B27" s="87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7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8"/>
      <c r="AN27" s="59">
        <v>900</v>
      </c>
      <c r="AO27" s="59">
        <v>805</v>
      </c>
      <c r="AP27" s="59">
        <v>753</v>
      </c>
      <c r="AQ27" s="9">
        <v>20</v>
      </c>
      <c r="AR27" s="59">
        <v>48</v>
      </c>
      <c r="AS27" s="59">
        <v>14</v>
      </c>
      <c r="AT27" s="9"/>
      <c r="AU27" s="10"/>
    </row>
    <row r="28" spans="1:47" x14ac:dyDescent="0.25">
      <c r="A28" s="4" t="s">
        <v>29</v>
      </c>
      <c r="B28" s="87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7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8"/>
      <c r="AN28" s="59">
        <f>AN27*AO28/AO27</f>
        <v>836.65338645418331</v>
      </c>
      <c r="AO28" s="59">
        <f>AO27*AP28/AP27</f>
        <v>748.33997343957503</v>
      </c>
      <c r="AP28" s="59">
        <v>700</v>
      </c>
      <c r="AQ28" s="9">
        <v>35</v>
      </c>
      <c r="AR28" s="59">
        <v>42</v>
      </c>
      <c r="AS28" s="59">
        <v>52</v>
      </c>
      <c r="AT28" s="9"/>
      <c r="AU28" s="10"/>
    </row>
    <row r="29" spans="1:47" ht="15.75" thickBot="1" x14ac:dyDescent="0.3">
      <c r="A29" s="8" t="s">
        <v>154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11"/>
      <c r="AN29" s="11"/>
      <c r="AO29" s="11"/>
      <c r="AP29" s="11"/>
      <c r="AQ29" s="11"/>
      <c r="AR29" s="11"/>
      <c r="AS29" s="11"/>
      <c r="AT29" s="11"/>
      <c r="AU29" s="12"/>
    </row>
    <row r="30" spans="1:47" x14ac:dyDescent="0.25">
      <c r="A30" s="4" t="s">
        <v>147</v>
      </c>
      <c r="B30" s="87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7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8"/>
      <c r="AN30" s="59"/>
      <c r="AO30" s="59"/>
      <c r="AP30" s="59">
        <v>1336</v>
      </c>
      <c r="AQ30" s="9">
        <v>16</v>
      </c>
      <c r="AR30" s="59">
        <v>119</v>
      </c>
      <c r="AS30" s="59">
        <v>15</v>
      </c>
      <c r="AT30" s="9"/>
      <c r="AU30" s="10"/>
    </row>
    <row r="33" spans="1:7" x14ac:dyDescent="0.25">
      <c r="A33" t="s">
        <v>180</v>
      </c>
      <c r="B33" s="141">
        <v>2013</v>
      </c>
      <c r="C33" s="141"/>
      <c r="D33" s="141">
        <v>2030</v>
      </c>
      <c r="E33" s="141"/>
      <c r="F33" s="141">
        <v>2050</v>
      </c>
      <c r="G33" s="141"/>
    </row>
    <row r="34" spans="1:7" x14ac:dyDescent="0.25">
      <c r="B34" s="74" t="s">
        <v>181</v>
      </c>
      <c r="C34" s="74" t="s">
        <v>182</v>
      </c>
      <c r="D34" s="74" t="s">
        <v>181</v>
      </c>
      <c r="E34" s="74" t="s">
        <v>182</v>
      </c>
      <c r="F34" s="74" t="s">
        <v>181</v>
      </c>
      <c r="G34" s="74" t="s">
        <v>182</v>
      </c>
    </row>
    <row r="35" spans="1:7" x14ac:dyDescent="0.25">
      <c r="A35" t="s">
        <v>62</v>
      </c>
      <c r="B35" s="68">
        <v>6245000</v>
      </c>
      <c r="C35" s="69">
        <f>B35/B$38</f>
        <v>0.67550027041644134</v>
      </c>
      <c r="D35" s="68"/>
      <c r="E35" s="69">
        <f>(C35+G35)/2</f>
        <v>0.63977273242561183</v>
      </c>
      <c r="F35" s="68">
        <f>Production!B8</f>
        <v>32521247.514199901</v>
      </c>
      <c r="G35" s="69">
        <f>F35/F$38</f>
        <v>0.60404519443478233</v>
      </c>
    </row>
    <row r="36" spans="1:7" x14ac:dyDescent="0.25">
      <c r="A36" t="s">
        <v>61</v>
      </c>
      <c r="B36" s="68">
        <v>3000000</v>
      </c>
      <c r="C36" s="69">
        <f>B36/B$38</f>
        <v>0.32449972958355866</v>
      </c>
      <c r="D36" s="68"/>
      <c r="E36" s="69">
        <f>(C36+G36)/2</f>
        <v>0.35561379657576309</v>
      </c>
      <c r="F36" s="68">
        <f>Production!B7</f>
        <v>20821078.7663</v>
      </c>
      <c r="G36" s="69">
        <f>F36/F$38</f>
        <v>0.38672786356796746</v>
      </c>
    </row>
    <row r="37" spans="1:7" x14ac:dyDescent="0.25">
      <c r="A37" t="s">
        <v>74</v>
      </c>
      <c r="B37" s="68">
        <v>0</v>
      </c>
      <c r="C37" s="69">
        <f>B37/B$38</f>
        <v>0</v>
      </c>
      <c r="D37" s="68"/>
      <c r="E37" s="69">
        <f>(C37+G37)/2</f>
        <v>4.613470998625053E-3</v>
      </c>
      <c r="F37" s="68">
        <f>Production!B21</f>
        <v>496770.2206</v>
      </c>
      <c r="G37" s="69">
        <f>F37/F$38</f>
        <v>9.2269419972501061E-3</v>
      </c>
    </row>
    <row r="38" spans="1:7" x14ac:dyDescent="0.25">
      <c r="A38" t="s">
        <v>183</v>
      </c>
      <c r="B38" s="68">
        <f>SUM(B35:B37)</f>
        <v>9245000</v>
      </c>
      <c r="D38" s="68">
        <f>SUM(D35:D37)</f>
        <v>0</v>
      </c>
      <c r="F38" s="68">
        <f>SUM(F35:F37)</f>
        <v>53839096.501099907</v>
      </c>
    </row>
  </sheetData>
  <mergeCells count="3">
    <mergeCell ref="B33:C33"/>
    <mergeCell ref="D33:E33"/>
    <mergeCell ref="F33:G33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2"/>
  <sheetViews>
    <sheetView topLeftCell="A19" workbookViewId="0">
      <selection activeCell="A20" sqref="A20"/>
    </sheetView>
  </sheetViews>
  <sheetFormatPr baseColWidth="10" defaultColWidth="9.140625" defaultRowHeight="15" x14ac:dyDescent="0.25"/>
  <cols>
    <col min="1" max="1" width="58" bestFit="1" customWidth="1"/>
    <col min="2" max="2" width="15.85546875" bestFit="1" customWidth="1"/>
    <col min="3" max="3" width="18.5703125" bestFit="1" customWidth="1"/>
    <col min="4" max="4" width="17.140625" customWidth="1"/>
    <col min="5" max="5" width="18.5703125" bestFit="1" customWidth="1"/>
    <col min="6" max="6" width="17.140625" customWidth="1"/>
    <col min="7" max="7" width="18.5703125" bestFit="1" customWidth="1"/>
    <col min="8" max="8" width="17.140625" customWidth="1"/>
    <col min="9" max="9" width="18.5703125" bestFit="1" customWidth="1"/>
  </cols>
  <sheetData>
    <row r="1" spans="1:8" x14ac:dyDescent="0.25">
      <c r="A1" t="s">
        <v>118</v>
      </c>
      <c r="B1" s="32" t="s">
        <v>203</v>
      </c>
      <c r="C1" s="32" t="s">
        <v>145</v>
      </c>
      <c r="F1" t="s">
        <v>191</v>
      </c>
      <c r="G1" t="s">
        <v>192</v>
      </c>
      <c r="H1" t="s">
        <v>193</v>
      </c>
    </row>
    <row r="2" spans="1:8" x14ac:dyDescent="0.25">
      <c r="A2" s="63" t="s">
        <v>57</v>
      </c>
      <c r="B2" s="110">
        <v>3000</v>
      </c>
      <c r="C2" s="73">
        <f>B2*(LCOE!$AR$3+LCOE!$AS$3)/1000000</f>
        <v>0.70008000000000004</v>
      </c>
      <c r="D2" s="76">
        <f>C2*1000</f>
        <v>700.08</v>
      </c>
      <c r="F2" s="110">
        <v>3000</v>
      </c>
      <c r="G2" s="110">
        <v>3000</v>
      </c>
      <c r="H2" s="110">
        <v>3000</v>
      </c>
    </row>
    <row r="3" spans="1:8" x14ac:dyDescent="0.25">
      <c r="A3" s="63" t="s">
        <v>58</v>
      </c>
      <c r="B3" s="110">
        <v>1.0081246999999599E-3</v>
      </c>
      <c r="C3" s="73">
        <f>B3*(LCOE!$AR$22+LCOE!$AS$22)/1000000</f>
        <v>4.2845299749998299E-8</v>
      </c>
      <c r="D3" s="76">
        <f t="shared" ref="D3:D25" si="0">C3*1000</f>
        <v>4.2845299749998301E-5</v>
      </c>
      <c r="F3" s="110">
        <v>8849.2313018426594</v>
      </c>
      <c r="G3" s="110">
        <v>1.0081246999999599E-3</v>
      </c>
      <c r="H3" s="110">
        <v>1.5049210999999901E-3</v>
      </c>
    </row>
    <row r="4" spans="1:8" x14ac:dyDescent="0.25">
      <c r="A4" s="63" t="s">
        <v>21</v>
      </c>
      <c r="B4" s="110">
        <v>429</v>
      </c>
      <c r="C4" s="73">
        <f>B4*(LCOE!$AR$4+LCOE!$AS$4)/1000000</f>
        <v>0.15423408</v>
      </c>
      <c r="D4" s="76">
        <f t="shared" si="0"/>
        <v>154.23408000000001</v>
      </c>
      <c r="F4" s="110">
        <v>429</v>
      </c>
      <c r="G4" s="110">
        <v>429</v>
      </c>
      <c r="H4" s="110">
        <v>429</v>
      </c>
    </row>
    <row r="5" spans="1:8" x14ac:dyDescent="0.25">
      <c r="A5" s="63" t="s">
        <v>59</v>
      </c>
      <c r="B5" s="110">
        <v>7000</v>
      </c>
      <c r="C5" s="73">
        <f>7000*(LCOE!$AR$25+LCOE!$AS$25)/1000000+('Capacités installées'!B5-7000)*(LCOE!$AR$26+LCOE!$AS$26)/1000000</f>
        <v>0.30309999999999998</v>
      </c>
      <c r="D5" s="76">
        <f t="shared" si="0"/>
        <v>303.09999999999997</v>
      </c>
      <c r="F5" s="110">
        <v>7000.0001000000002</v>
      </c>
      <c r="G5" s="110">
        <v>7000</v>
      </c>
      <c r="H5" s="110">
        <v>7000</v>
      </c>
    </row>
    <row r="6" spans="1:8" x14ac:dyDescent="0.25">
      <c r="A6" s="63" t="s">
        <v>60</v>
      </c>
      <c r="B6" s="110">
        <v>82.643518525497498</v>
      </c>
      <c r="C6" s="73">
        <f>B6*(LCOE!$AR$30+LCOE!$AS$30)/1000000</f>
        <v>1.1074231482416664E-2</v>
      </c>
      <c r="D6" s="76">
        <f t="shared" si="0"/>
        <v>11.074231482416664</v>
      </c>
      <c r="F6" s="110">
        <v>122.764120162702</v>
      </c>
      <c r="G6" s="110">
        <v>82.643518525497498</v>
      </c>
      <c r="H6" s="110">
        <v>204.95725567660099</v>
      </c>
    </row>
    <row r="7" spans="1:8" x14ac:dyDescent="0.25">
      <c r="A7" s="63" t="s">
        <v>61</v>
      </c>
      <c r="B7" s="110">
        <v>18688.449999999699</v>
      </c>
      <c r="C7" s="73">
        <f>B7*(LCOE!$AR$13+LCOE!$AS$13)/1000000</f>
        <v>1.1317725319999816</v>
      </c>
      <c r="D7" s="76">
        <f t="shared" si="0"/>
        <v>1131.7725319999815</v>
      </c>
      <c r="F7" s="110">
        <v>22438.450000000401</v>
      </c>
      <c r="G7" s="110">
        <v>18688.449999999699</v>
      </c>
      <c r="H7" s="110">
        <v>18215</v>
      </c>
    </row>
    <row r="8" spans="1:8" x14ac:dyDescent="0.25">
      <c r="A8" s="63" t="s">
        <v>62</v>
      </c>
      <c r="B8" s="110">
        <v>22552.5449999999</v>
      </c>
      <c r="C8" s="73">
        <f>B8*(LCOE!$AR$12+LCOE!$AS$12)/1000000</f>
        <v>1.4614049159999936</v>
      </c>
      <c r="D8" s="76">
        <f t="shared" si="0"/>
        <v>1461.4049159999936</v>
      </c>
      <c r="F8" s="110">
        <v>35235.947999999597</v>
      </c>
      <c r="G8" s="110">
        <v>22552.5449999999</v>
      </c>
      <c r="H8" s="110">
        <v>2360</v>
      </c>
    </row>
    <row r="9" spans="1:8" x14ac:dyDescent="0.25">
      <c r="A9" s="63" t="s">
        <v>63</v>
      </c>
      <c r="B9" s="110">
        <v>45685.655000177401</v>
      </c>
      <c r="C9" s="73">
        <f>B9*(LCOE!$AR$6+LCOE!$AS$6)/1000000</f>
        <v>4.8518165610188406</v>
      </c>
      <c r="D9" s="76">
        <f t="shared" si="0"/>
        <v>4851.8165610188407</v>
      </c>
      <c r="F9" s="110">
        <v>63553.297000903403</v>
      </c>
      <c r="G9" s="110">
        <v>45685.655000177401</v>
      </c>
      <c r="H9" s="110">
        <v>7250.5380003357805</v>
      </c>
    </row>
    <row r="10" spans="1:8" x14ac:dyDescent="0.25">
      <c r="A10" s="63" t="s">
        <v>64</v>
      </c>
      <c r="B10" s="110">
        <v>21000.000010841399</v>
      </c>
      <c r="C10" s="73">
        <f>B10*(LCOE!$AR$7+LCOE!$AS$7)/1000000</f>
        <v>2.8864500014901502</v>
      </c>
      <c r="D10" s="76">
        <f t="shared" si="0"/>
        <v>2886.45000149015</v>
      </c>
      <c r="F10" s="110">
        <v>21028.3553165823</v>
      </c>
      <c r="G10" s="110">
        <v>21000.000010841399</v>
      </c>
      <c r="H10" s="110">
        <v>7167.73000844135</v>
      </c>
    </row>
    <row r="11" spans="1:8" x14ac:dyDescent="0.25">
      <c r="A11" s="63" t="s">
        <v>65</v>
      </c>
      <c r="B11" s="110">
        <v>3720.0000001032799</v>
      </c>
      <c r="C11" s="73">
        <f>B11*(LCOE!$AR$9+LCOE!$AS$9)/1000000</f>
        <v>0.97631400002710578</v>
      </c>
      <c r="D11" s="76">
        <f t="shared" si="0"/>
        <v>976.31400002710575</v>
      </c>
      <c r="F11" s="110">
        <v>7841.8650031098396</v>
      </c>
      <c r="G11" s="110">
        <v>3720.0000001032799</v>
      </c>
      <c r="H11" s="110">
        <v>2820.0000001314402</v>
      </c>
    </row>
    <row r="12" spans="1:8" x14ac:dyDescent="0.25">
      <c r="A12" s="63" t="s">
        <v>15</v>
      </c>
      <c r="B12" s="110">
        <v>240</v>
      </c>
      <c r="C12" s="73">
        <f>B12*(LCOE!$AR$16+LCOE!$AS$16)/1000000</f>
        <v>5.8647999999999999E-2</v>
      </c>
      <c r="D12" s="76">
        <f t="shared" si="0"/>
        <v>58.647999999999996</v>
      </c>
      <c r="F12" s="110">
        <v>240</v>
      </c>
      <c r="G12" s="110">
        <v>240</v>
      </c>
      <c r="H12" s="110">
        <v>240</v>
      </c>
    </row>
    <row r="13" spans="1:8" x14ac:dyDescent="0.25">
      <c r="A13" s="63" t="s">
        <v>66</v>
      </c>
      <c r="B13" s="110">
        <v>1.79947499999999E-7</v>
      </c>
      <c r="C13" s="73" t="e">
        <f>B13*(LCOE!#REF!+LCOE!#REF!)/1000000</f>
        <v>#REF!</v>
      </c>
      <c r="D13" s="76" t="e">
        <f t="shared" si="0"/>
        <v>#REF!</v>
      </c>
      <c r="F13" s="110">
        <v>7.8711799999994702E-6</v>
      </c>
      <c r="G13" s="110">
        <v>1.79947499999999E-7</v>
      </c>
      <c r="H13" s="110">
        <v>1.5565920000000099E-7</v>
      </c>
    </row>
    <row r="14" spans="1:8" x14ac:dyDescent="0.25">
      <c r="A14" s="23" t="s">
        <v>67</v>
      </c>
      <c r="B14" s="110">
        <v>7144.7567738158796</v>
      </c>
      <c r="C14" s="73"/>
      <c r="D14" s="76">
        <f t="shared" si="0"/>
        <v>0</v>
      </c>
      <c r="F14" s="110">
        <v>1.91153499999999E-3</v>
      </c>
      <c r="G14" s="110">
        <v>7144.7567738158796</v>
      </c>
      <c r="H14" s="110">
        <v>36499.420382710297</v>
      </c>
    </row>
    <row r="15" spans="1:8" x14ac:dyDescent="0.25">
      <c r="A15" s="63" t="s">
        <v>68</v>
      </c>
      <c r="B15" s="110">
        <v>5.1735999999995997E-8</v>
      </c>
      <c r="C15" s="73" t="e">
        <f>B15*(LCOE!#REF!+LCOE!#REF!)/1000000</f>
        <v>#REF!</v>
      </c>
      <c r="D15" s="76" t="e">
        <f t="shared" si="0"/>
        <v>#REF!</v>
      </c>
      <c r="F15" s="110">
        <v>2.2880199999999802E-6</v>
      </c>
      <c r="G15" s="110">
        <v>5.1735999999995997E-8</v>
      </c>
      <c r="H15" s="110">
        <v>2.4674659999997301E-7</v>
      </c>
    </row>
    <row r="16" spans="1:8" x14ac:dyDescent="0.25">
      <c r="A16" t="s">
        <v>69</v>
      </c>
      <c r="B16" s="110">
        <v>13208</v>
      </c>
      <c r="C16" s="73">
        <f>B16*(LCOE!$AR$18+LCOE!$AS$18)/1000000</f>
        <v>1.8315313466666669</v>
      </c>
      <c r="D16" s="76">
        <f t="shared" si="0"/>
        <v>1831.5313466666669</v>
      </c>
      <c r="F16" s="110">
        <v>13208</v>
      </c>
      <c r="G16" s="110">
        <v>13208</v>
      </c>
      <c r="H16" s="110">
        <v>13208</v>
      </c>
    </row>
    <row r="17" spans="1:8" x14ac:dyDescent="0.25">
      <c r="A17" t="s">
        <v>70</v>
      </c>
      <c r="B17" s="110">
        <v>7628</v>
      </c>
      <c r="C17" s="73" t="e">
        <f>B17*(LCOE!#REF!+LCOE!#REF!)/1000000</f>
        <v>#REF!</v>
      </c>
      <c r="D17" s="76" t="e">
        <f t="shared" si="0"/>
        <v>#REF!</v>
      </c>
      <c r="F17" s="110">
        <v>7628</v>
      </c>
      <c r="G17" s="110">
        <v>7628</v>
      </c>
      <c r="H17" s="110">
        <v>7628</v>
      </c>
    </row>
    <row r="18" spans="1:8" x14ac:dyDescent="0.25">
      <c r="A18" s="63" t="s">
        <v>18</v>
      </c>
      <c r="B18" s="110">
        <v>135</v>
      </c>
      <c r="C18" s="73">
        <f>B18*(LCOE!$AR$17+LCOE!$AS$17)/1000000</f>
        <v>4.0702500000000003E-2</v>
      </c>
      <c r="D18" s="76">
        <f t="shared" si="0"/>
        <v>40.702500000000001</v>
      </c>
      <c r="F18" s="110">
        <v>135</v>
      </c>
      <c r="G18" s="110">
        <v>135</v>
      </c>
      <c r="H18" s="110">
        <v>135</v>
      </c>
    </row>
    <row r="19" spans="1:8" x14ac:dyDescent="0.25">
      <c r="A19" s="63" t="s">
        <v>71</v>
      </c>
      <c r="B19" s="110">
        <v>7.9098850000001596E-4</v>
      </c>
      <c r="C19" s="73">
        <f>B19*(LCOE!$AR$22+LCOE!$AS$22)/1000000</f>
        <v>3.3617011250000672E-8</v>
      </c>
      <c r="D19" s="76">
        <f t="shared" si="0"/>
        <v>3.3617011250000674E-5</v>
      </c>
      <c r="F19" s="110">
        <v>6.5839890000001997E-3</v>
      </c>
      <c r="G19" s="110">
        <v>7.9098850000001596E-4</v>
      </c>
      <c r="H19" s="110">
        <v>1869.8842267923801</v>
      </c>
    </row>
    <row r="20" spans="1:8" x14ac:dyDescent="0.25">
      <c r="A20" s="63" t="s">
        <v>72</v>
      </c>
      <c r="B20" s="110">
        <v>5.5992889999997495E-7</v>
      </c>
      <c r="C20" s="73">
        <f>B20*(LCOE!$AR$10+LCOE!$AS$10)/1000000</f>
        <v>2.2833900541998979E-10</v>
      </c>
      <c r="D20" s="76">
        <f t="shared" si="0"/>
        <v>2.2833900541998978E-7</v>
      </c>
      <c r="F20" s="110">
        <v>3.7756164779997897E-5</v>
      </c>
      <c r="G20" s="110">
        <v>5.5992889999997495E-7</v>
      </c>
      <c r="H20" s="110">
        <v>1.1873422999999301E-6</v>
      </c>
    </row>
    <row r="21" spans="1:8" x14ac:dyDescent="0.25">
      <c r="A21" s="63" t="s">
        <v>73</v>
      </c>
      <c r="B21" s="110">
        <v>112.005783547704</v>
      </c>
      <c r="C21" s="73">
        <f>B21*(LCOE!$AR$28+LCOE!$AS$28)/1000000</f>
        <v>1.0528543653484176E-2</v>
      </c>
      <c r="D21" s="76">
        <f t="shared" si="0"/>
        <v>10.528543653484176</v>
      </c>
      <c r="F21" s="110">
        <v>7952.0178018598199</v>
      </c>
      <c r="G21" s="110">
        <v>112.005783547704</v>
      </c>
      <c r="H21" s="110">
        <v>6.19590200000014E-4</v>
      </c>
    </row>
    <row r="22" spans="1:8" x14ac:dyDescent="0.25">
      <c r="A22" s="63" t="s">
        <v>74</v>
      </c>
      <c r="B22" s="110">
        <v>416</v>
      </c>
      <c r="C22" s="73">
        <f>B22*(LCOE!$AR$14+LCOE!$AS$14)/1000000</f>
        <v>0.11039253333333333</v>
      </c>
      <c r="D22" s="76">
        <f t="shared" si="0"/>
        <v>110.39253333333333</v>
      </c>
      <c r="F22" s="110">
        <v>416</v>
      </c>
      <c r="G22" s="110">
        <v>416</v>
      </c>
      <c r="H22" s="110">
        <v>416</v>
      </c>
    </row>
    <row r="23" spans="1:8" x14ac:dyDescent="0.25">
      <c r="A23" t="s">
        <v>75</v>
      </c>
      <c r="B23" s="110">
        <v>23318.956555237699</v>
      </c>
      <c r="C23" s="73">
        <f>B23*(LCOE!$AR$21+LCOE!$AS$21)/1000000</f>
        <v>1.0975455551998543</v>
      </c>
      <c r="D23" s="76">
        <f t="shared" si="0"/>
        <v>1097.5455551998543</v>
      </c>
      <c r="F23" s="110">
        <v>12761.054787695801</v>
      </c>
      <c r="G23" s="110">
        <v>23318.956555237699</v>
      </c>
      <c r="H23" s="110">
        <v>14039.1991799311</v>
      </c>
    </row>
    <row r="24" spans="1:8" x14ac:dyDescent="0.25">
      <c r="A24" s="63" t="s">
        <v>76</v>
      </c>
      <c r="B24" s="110">
        <v>8001.2754479640398</v>
      </c>
      <c r="C24" s="73">
        <f>B24*(LCOE!$AR$27+LCOE!$AS$27)/1000000</f>
        <v>0.49607907777377047</v>
      </c>
      <c r="D24" s="76">
        <f t="shared" si="0"/>
        <v>496.07907777377045</v>
      </c>
      <c r="F24" s="110">
        <v>10877.2256773109</v>
      </c>
      <c r="G24" s="110">
        <v>8001.2754479640398</v>
      </c>
      <c r="H24" s="110">
        <v>2166.7207457263298</v>
      </c>
    </row>
    <row r="25" spans="1:8" x14ac:dyDescent="0.25">
      <c r="A25" s="63" t="s">
        <v>77</v>
      </c>
      <c r="B25" s="110">
        <v>916.64470000001802</v>
      </c>
      <c r="C25" s="73">
        <f>B25*(LCOE!$AR$5+LCOE!$AS$5)/1000000</f>
        <v>0.29786369526500589</v>
      </c>
      <c r="D25" s="76">
        <f t="shared" si="0"/>
        <v>297.8636952650059</v>
      </c>
      <c r="F25" s="110">
        <v>916.64480000000799</v>
      </c>
      <c r="G25" s="110">
        <v>916.64470000001802</v>
      </c>
      <c r="H25" s="110">
        <v>916.64470000001802</v>
      </c>
    </row>
    <row r="27" spans="1:8" x14ac:dyDescent="0.25">
      <c r="B27" s="72" t="s">
        <v>56</v>
      </c>
      <c r="C27" s="72" t="s">
        <v>153</v>
      </c>
    </row>
    <row r="28" spans="1:8" x14ac:dyDescent="0.25">
      <c r="A28" s="77" t="s">
        <v>132</v>
      </c>
      <c r="B28" s="78">
        <v>32292.045552836724</v>
      </c>
      <c r="C28" s="42" t="e">
        <f>(C2+C4+C7+C8+C9+C10+C11+C12+C13+C15+C16+C17+C18+C20+C21+C23+C25)*1000</f>
        <v>#REF!</v>
      </c>
    </row>
    <row r="29" spans="1:8" x14ac:dyDescent="0.25">
      <c r="A29" s="79" t="s">
        <v>133</v>
      </c>
      <c r="B29" s="80">
        <v>360.68590377119841</v>
      </c>
      <c r="C29" s="76">
        <f>'Coûts annuel génération élec'!AP26</f>
        <v>357.53655930400004</v>
      </c>
    </row>
    <row r="30" spans="1:8" x14ac:dyDescent="0.25">
      <c r="A30" s="77" t="s">
        <v>134</v>
      </c>
      <c r="B30" s="80">
        <v>28.099482605991597</v>
      </c>
      <c r="C30" s="76">
        <f>D6</f>
        <v>11.074231482416664</v>
      </c>
    </row>
    <row r="31" spans="1:8" x14ac:dyDescent="0.25">
      <c r="A31" s="77" t="s">
        <v>148</v>
      </c>
      <c r="B31" s="78">
        <v>53.312821728000003</v>
      </c>
    </row>
    <row r="32" spans="1:8" x14ac:dyDescent="0.25">
      <c r="A32" s="77" t="s">
        <v>135</v>
      </c>
      <c r="B32" s="80">
        <v>2241.2852778656193</v>
      </c>
      <c r="C32" s="76">
        <f>'Coûts annuels réseaux et stocka'!AP15</f>
        <v>1849.8172916161673</v>
      </c>
    </row>
    <row r="33" spans="1:3" x14ac:dyDescent="0.25">
      <c r="A33" s="77" t="s">
        <v>136</v>
      </c>
      <c r="B33" s="80">
        <v>11117.5</v>
      </c>
      <c r="C33" s="76">
        <f>'Coûts annuels réseaux et stocka'!AP10</f>
        <v>11117.5</v>
      </c>
    </row>
    <row r="34" spans="1:3" x14ac:dyDescent="0.25">
      <c r="A34" s="77" t="s">
        <v>137</v>
      </c>
      <c r="B34" s="78">
        <v>2645.4776418603101</v>
      </c>
      <c r="C34" s="76">
        <f>(C21+C3)*1000</f>
        <v>10.528586498783927</v>
      </c>
    </row>
    <row r="35" spans="1:3" x14ac:dyDescent="0.25">
      <c r="A35" s="77" t="s">
        <v>138</v>
      </c>
      <c r="B35" s="78">
        <v>578.040751</v>
      </c>
      <c r="C35" s="76">
        <f>C5*1000</f>
        <v>303.09999999999997</v>
      </c>
    </row>
    <row r="36" spans="1:3" x14ac:dyDescent="0.25">
      <c r="A36" s="77" t="s">
        <v>139</v>
      </c>
      <c r="B36" s="78">
        <v>746.58371097599593</v>
      </c>
      <c r="C36" s="76">
        <f>C24*1000</f>
        <v>496.07907777377045</v>
      </c>
    </row>
    <row r="37" spans="1:3" x14ac:dyDescent="0.25">
      <c r="A37" s="77" t="s">
        <v>140</v>
      </c>
      <c r="B37" s="78">
        <v>0</v>
      </c>
      <c r="C37" s="76">
        <f>(C14+C19+C23)*1000</f>
        <v>1097.5455888168656</v>
      </c>
    </row>
    <row r="38" spans="1:3" x14ac:dyDescent="0.25">
      <c r="A38" s="77" t="s">
        <v>149</v>
      </c>
      <c r="B38" s="78">
        <v>0</v>
      </c>
      <c r="C38" s="76"/>
    </row>
    <row r="39" spans="1:3" x14ac:dyDescent="0.25">
      <c r="A39" s="77" t="s">
        <v>150</v>
      </c>
      <c r="B39" s="78">
        <v>0</v>
      </c>
      <c r="C39" s="76"/>
    </row>
    <row r="40" spans="1:3" x14ac:dyDescent="0.25">
      <c r="A40" s="77" t="s">
        <v>141</v>
      </c>
      <c r="B40" s="80">
        <v>450</v>
      </c>
      <c r="C40" s="76">
        <f>'Coûts annuels réseaux et stocka'!AP20</f>
        <v>453.5</v>
      </c>
    </row>
    <row r="41" spans="1:3" x14ac:dyDescent="0.25">
      <c r="A41" s="81" t="s">
        <v>151</v>
      </c>
      <c r="B41" s="82">
        <v>50406.405499187837</v>
      </c>
    </row>
    <row r="42" spans="1:3" x14ac:dyDescent="0.25">
      <c r="A42" s="79" t="s">
        <v>152</v>
      </c>
      <c r="B42" s="78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5"/>
  <sheetViews>
    <sheetView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C29" sqref="C29"/>
    </sheetView>
  </sheetViews>
  <sheetFormatPr baseColWidth="10" defaultRowHeight="15" x14ac:dyDescent="0.25"/>
  <cols>
    <col min="1" max="1" width="26.7109375" bestFit="1" customWidth="1"/>
    <col min="2" max="2" width="16.42578125" bestFit="1" customWidth="1"/>
    <col min="3" max="3" width="21.5703125" customWidth="1"/>
  </cols>
  <sheetData>
    <row r="1" spans="1:3" x14ac:dyDescent="0.25">
      <c r="B1" s="141"/>
      <c r="C1" s="141"/>
    </row>
    <row r="2" spans="1:3" s="66" customFormat="1" ht="44.45" customHeight="1" x14ac:dyDescent="0.25">
      <c r="B2" s="67" t="s">
        <v>195</v>
      </c>
      <c r="C2" s="67" t="s">
        <v>156</v>
      </c>
    </row>
    <row r="3" spans="1:3" x14ac:dyDescent="0.25">
      <c r="A3" t="s">
        <v>57</v>
      </c>
      <c r="B3" s="92">
        <v>22346034.956500001</v>
      </c>
      <c r="C3" s="83">
        <f>(B3*LCOE!AM3/1000000)-'Capacités installées'!C29</f>
        <v>1206.685887651</v>
      </c>
    </row>
    <row r="4" spans="1:3" x14ac:dyDescent="0.25">
      <c r="A4" t="s">
        <v>58</v>
      </c>
      <c r="B4" s="92">
        <v>0.74300000000000899</v>
      </c>
      <c r="C4" s="83"/>
    </row>
    <row r="5" spans="1:3" x14ac:dyDescent="0.25">
      <c r="A5" t="s">
        <v>21</v>
      </c>
      <c r="B5" s="92">
        <v>3758040</v>
      </c>
      <c r="C5" s="83">
        <f>B5*LCOE!AM4/1000000</f>
        <v>225.48240000000001</v>
      </c>
    </row>
    <row r="6" spans="1:3" x14ac:dyDescent="0.25">
      <c r="A6" t="s">
        <v>59</v>
      </c>
      <c r="B6" s="92">
        <v>11778487.3365</v>
      </c>
      <c r="C6" s="84"/>
    </row>
    <row r="7" spans="1:3" x14ac:dyDescent="0.25">
      <c r="A7" t="s">
        <v>61</v>
      </c>
      <c r="B7" s="92">
        <v>20821078.7663</v>
      </c>
      <c r="C7" s="83">
        <f>B7*LCOE!AM13/1000000</f>
        <v>1769.7916951355</v>
      </c>
    </row>
    <row r="8" spans="1:3" x14ac:dyDescent="0.25">
      <c r="A8" t="s">
        <v>62</v>
      </c>
      <c r="B8" s="92">
        <v>32521247.514199901</v>
      </c>
      <c r="C8" s="83">
        <f>B8*LCOE!AM12/1000000</f>
        <v>1951.274850851994</v>
      </c>
    </row>
    <row r="9" spans="1:3" x14ac:dyDescent="0.25">
      <c r="A9" t="s">
        <v>63</v>
      </c>
      <c r="B9" s="92">
        <v>135822941.46389899</v>
      </c>
      <c r="C9" s="83">
        <f>B9*LCOE!AM6/1000000</f>
        <v>8828.4911951534341</v>
      </c>
    </row>
    <row r="10" spans="1:3" x14ac:dyDescent="0.25">
      <c r="A10" t="s">
        <v>64</v>
      </c>
      <c r="B10" s="92">
        <v>47807887.734099999</v>
      </c>
      <c r="C10" s="83">
        <f>B10*LCOE!AM7/1000000</f>
        <v>3107.5127027164999</v>
      </c>
    </row>
    <row r="11" spans="1:3" x14ac:dyDescent="0.25">
      <c r="A11" t="s">
        <v>65</v>
      </c>
      <c r="B11" s="92">
        <v>15121707.2428001</v>
      </c>
      <c r="C11" s="83">
        <f>B11*LCOE!AM9/1000000</f>
        <v>1209.7365794240079</v>
      </c>
    </row>
    <row r="12" spans="1:3" x14ac:dyDescent="0.25">
      <c r="A12" t="s">
        <v>15</v>
      </c>
      <c r="B12" s="92">
        <v>483876.24</v>
      </c>
      <c r="C12" s="83">
        <f>B12*LCOE!AM16/1000000</f>
        <v>77.420198400000004</v>
      </c>
    </row>
    <row r="13" spans="1:3" x14ac:dyDescent="0.25">
      <c r="A13" t="s">
        <v>66</v>
      </c>
      <c r="B13" s="92">
        <v>0</v>
      </c>
      <c r="C13" s="83"/>
    </row>
    <row r="14" spans="1:3" s="65" customFormat="1" x14ac:dyDescent="0.25">
      <c r="A14" t="s">
        <v>67</v>
      </c>
      <c r="B14" s="92">
        <v>44316673.700099804</v>
      </c>
      <c r="C14" s="83"/>
    </row>
    <row r="15" spans="1:3" x14ac:dyDescent="0.25">
      <c r="A15" t="s">
        <v>68</v>
      </c>
      <c r="B15" s="92">
        <v>0</v>
      </c>
      <c r="C15" s="83"/>
    </row>
    <row r="16" spans="1:3" x14ac:dyDescent="0.25">
      <c r="A16" t="s">
        <v>69</v>
      </c>
      <c r="B16" s="92">
        <v>27388988.898400702</v>
      </c>
      <c r="C16" s="83"/>
    </row>
    <row r="17" spans="1:3" x14ac:dyDescent="0.25">
      <c r="A17" t="s">
        <v>70</v>
      </c>
      <c r="B17" s="92">
        <v>33875129.009800799</v>
      </c>
      <c r="C17" s="83"/>
    </row>
    <row r="18" spans="1:3" x14ac:dyDescent="0.25">
      <c r="A18" t="s">
        <v>18</v>
      </c>
      <c r="B18" s="92">
        <v>1182600</v>
      </c>
      <c r="C18" s="83">
        <f>B18*LCOE!AM17/1000000</f>
        <v>68.590800000000002</v>
      </c>
    </row>
    <row r="19" spans="1:3" s="65" customFormat="1" x14ac:dyDescent="0.25">
      <c r="A19" t="s">
        <v>71</v>
      </c>
      <c r="B19" s="92">
        <v>2.2099999999999901E-2</v>
      </c>
      <c r="C19" s="83"/>
    </row>
    <row r="20" spans="1:3" x14ac:dyDescent="0.25">
      <c r="A20" t="s">
        <v>72</v>
      </c>
      <c r="B20" s="92">
        <v>0</v>
      </c>
      <c r="C20" s="83"/>
    </row>
    <row r="21" spans="1:3" x14ac:dyDescent="0.25">
      <c r="A21" t="s">
        <v>74</v>
      </c>
      <c r="B21" s="92">
        <v>496770.2206</v>
      </c>
      <c r="C21" s="83">
        <f>B21*LCOE!AM14/1000000</f>
        <v>149.03106618000001</v>
      </c>
    </row>
    <row r="22" spans="1:3" s="65" customFormat="1" x14ac:dyDescent="0.25">
      <c r="A22" t="s">
        <v>75</v>
      </c>
      <c r="B22" s="92">
        <v>43097293.639400698</v>
      </c>
      <c r="C22" s="83"/>
    </row>
    <row r="23" spans="1:3" x14ac:dyDescent="0.25">
      <c r="A23" t="s">
        <v>76</v>
      </c>
      <c r="B23" s="92">
        <v>7829017.7002999904</v>
      </c>
      <c r="C23" s="84"/>
    </row>
    <row r="24" spans="1:3" x14ac:dyDescent="0.25">
      <c r="A24" t="s">
        <v>77</v>
      </c>
      <c r="B24" s="92">
        <v>8029806.2086001504</v>
      </c>
      <c r="C24" s="83">
        <f>B24*LCOE!AM5/1000000</f>
        <v>401.49031043000753</v>
      </c>
    </row>
    <row r="26" spans="1:3" s="70" customFormat="1" x14ac:dyDescent="0.25"/>
    <row r="27" spans="1:3" x14ac:dyDescent="0.25">
      <c r="B27" s="71"/>
      <c r="C27" s="13"/>
    </row>
    <row r="28" spans="1:3" x14ac:dyDescent="0.25">
      <c r="B28" s="69"/>
      <c r="C28" s="69"/>
    </row>
    <row r="29" spans="1:3" x14ac:dyDescent="0.25">
      <c r="B29" s="69"/>
      <c r="C29" s="69"/>
    </row>
    <row r="31" spans="1:3" x14ac:dyDescent="0.25">
      <c r="B31" s="69"/>
      <c r="C31" s="69"/>
    </row>
    <row r="34" spans="2:3" x14ac:dyDescent="0.25">
      <c r="B34" s="69"/>
      <c r="C34" s="69"/>
    </row>
    <row r="35" spans="2:3" x14ac:dyDescent="0.25">
      <c r="B35" s="69"/>
      <c r="C35" s="69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Synthèse format 3ME</vt:lpstr>
      <vt:lpstr>Coûts annuel génération élec</vt:lpstr>
      <vt:lpstr>Coûts annuels réseaux et stocka</vt:lpstr>
      <vt:lpstr>Données capacités de production</vt:lpstr>
      <vt:lpstr>Chronique de production</vt:lpstr>
      <vt:lpstr>Données capacités de stockage</vt:lpstr>
      <vt:lpstr>LCOE</vt:lpstr>
      <vt:lpstr>Capacités installées</vt:lpstr>
      <vt:lpstr>Production</vt:lpstr>
      <vt:lpstr>Linéarisation mix</vt:lpstr>
      <vt:lpstr>Structure de coûts RTE</vt:lpstr>
      <vt:lpstr>Données Linky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2016-03-19T18:38:43Z</dcterms:modified>
</cp:coreProperties>
</file>