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345" windowWidth="14805" windowHeight="7770"/>
  </bookViews>
  <sheets>
    <sheet name="Synthèse format 3ME" sheetId="17" r:id="rId1"/>
    <sheet name="Coûts annuel génération élec" sheetId="4" r:id="rId2"/>
    <sheet name="Coûts annuels réseaux et stocka" sheetId="1" r:id="rId3"/>
    <sheet name="Données capacités de production" sheetId="12" r:id="rId4"/>
    <sheet name="Chronique de production" sheetId="16" r:id="rId5"/>
    <sheet name="Données capacités de stockage" sheetId="7" r:id="rId6"/>
    <sheet name="LCOE" sheetId="2" r:id="rId7"/>
    <sheet name="Capacités installées" sheetId="3" r:id="rId8"/>
    <sheet name="Production" sheetId="14" r:id="rId9"/>
    <sheet name="Linéarisation mix" sheetId="15" r:id="rId10"/>
    <sheet name="Structure de coûts RTE" sheetId="5" r:id="rId11"/>
    <sheet name="Données Linky" sheetId="6" r:id="rId12"/>
  </sheets>
  <calcPr calcId="145621"/>
</workbook>
</file>

<file path=xl/calcChain.xml><?xml version="1.0" encoding="utf-8"?>
<calcChain xmlns="http://schemas.openxmlformats.org/spreadsheetml/2006/main">
  <c r="AM20" i="12" l="1"/>
  <c r="AJ42" i="17" l="1"/>
  <c r="AI42" i="17"/>
  <c r="AI69" i="17"/>
  <c r="M29" i="7"/>
  <c r="N65" i="7"/>
  <c r="M63" i="7"/>
  <c r="M66" i="7"/>
  <c r="Q4" i="12" l="1"/>
  <c r="R4" i="12"/>
  <c r="S4" i="12"/>
  <c r="T4" i="12"/>
  <c r="U4" i="12"/>
  <c r="V4" i="12"/>
  <c r="W4" i="12"/>
  <c r="X4" i="12"/>
  <c r="Y4" i="12"/>
  <c r="Z4" i="12"/>
  <c r="AA4" i="12"/>
  <c r="AB4" i="12"/>
  <c r="AC4" i="12"/>
  <c r="AD4" i="12"/>
  <c r="AE4" i="12"/>
  <c r="AF4" i="12"/>
  <c r="AG4" i="12"/>
  <c r="AH4" i="12"/>
  <c r="AI4" i="12"/>
  <c r="AJ4" i="12"/>
  <c r="AK4" i="12"/>
  <c r="AL4" i="12"/>
  <c r="AM4" i="12"/>
  <c r="P4" i="12"/>
  <c r="L4" i="12"/>
  <c r="M4" i="12"/>
  <c r="N4" i="12"/>
  <c r="O4" i="12"/>
  <c r="D4" i="12"/>
  <c r="E4" i="12"/>
  <c r="F4" i="12"/>
  <c r="G4" i="12"/>
  <c r="H4" i="12"/>
  <c r="I4" i="12"/>
  <c r="J4" i="12"/>
  <c r="K4" i="12"/>
  <c r="C4" i="12"/>
  <c r="B4" i="12"/>
  <c r="O2" i="16"/>
  <c r="P2" i="16"/>
  <c r="Q2" i="16"/>
  <c r="R2" i="16"/>
  <c r="S2" i="16"/>
  <c r="T2" i="16"/>
  <c r="U2" i="16"/>
  <c r="V2" i="16"/>
  <c r="W2" i="16"/>
  <c r="X2" i="16"/>
  <c r="Y2" i="16"/>
  <c r="Z2" i="16"/>
  <c r="AA2" i="16"/>
  <c r="AB2" i="16"/>
  <c r="AC2" i="16"/>
  <c r="AD2" i="16"/>
  <c r="AE2" i="16"/>
  <c r="AF2" i="16"/>
  <c r="AG2" i="16"/>
  <c r="AH2" i="16"/>
  <c r="AI2" i="16"/>
  <c r="AJ2" i="16"/>
  <c r="AK2" i="16"/>
  <c r="AL2" i="16"/>
  <c r="AM2" i="16"/>
  <c r="E2" i="16"/>
  <c r="F2" i="16"/>
  <c r="G2" i="16"/>
  <c r="H2" i="16"/>
  <c r="I2" i="16"/>
  <c r="J2" i="16"/>
  <c r="K2" i="16"/>
  <c r="L2" i="16"/>
  <c r="M2" i="16"/>
  <c r="N2" i="16"/>
  <c r="C2" i="16"/>
  <c r="D2" i="16"/>
  <c r="B2" i="16"/>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AH3" i="16"/>
  <c r="AI3" i="16"/>
  <c r="AJ3" i="16"/>
  <c r="AK3" i="16"/>
  <c r="AL3" i="16"/>
  <c r="AM3" i="16"/>
  <c r="B3" i="16"/>
  <c r="AE23" i="7" l="1"/>
  <c r="AF23" i="7" s="1"/>
  <c r="AG23" i="7" s="1"/>
  <c r="AH23" i="7" s="1"/>
  <c r="AI23" i="7" s="1"/>
  <c r="AJ23" i="7" s="1"/>
  <c r="AK23" i="7" s="1"/>
  <c r="AL23" i="7" s="1"/>
  <c r="AE58" i="7"/>
  <c r="AF58" i="7" s="1"/>
  <c r="AG58" i="7" s="1"/>
  <c r="AH58" i="7" s="1"/>
  <c r="AI58" i="7" s="1"/>
  <c r="AJ58" i="7" s="1"/>
  <c r="AK58" i="7" s="1"/>
  <c r="AL58" i="7" s="1"/>
  <c r="AE56" i="7"/>
  <c r="AF56" i="7" s="1"/>
  <c r="AG56" i="7" s="1"/>
  <c r="AH56" i="7" s="1"/>
  <c r="AI56" i="7" s="1"/>
  <c r="AJ56" i="7" s="1"/>
  <c r="AK56" i="7" s="1"/>
  <c r="AL56" i="7" s="1"/>
  <c r="D14" i="2" l="1"/>
  <c r="E14" i="2" s="1"/>
  <c r="F14" i="2" s="1"/>
  <c r="G14" i="2" s="1"/>
  <c r="H14" i="2" s="1"/>
  <c r="I14" i="2" s="1"/>
  <c r="J14" i="2" s="1"/>
  <c r="K14" i="2" s="1"/>
  <c r="L14" i="2" s="1"/>
  <c r="M14" i="2" s="1"/>
  <c r="N14" i="2" s="1"/>
  <c r="O14" i="2" s="1"/>
  <c r="P14" i="2" s="1"/>
  <c r="Q14" i="2" s="1"/>
  <c r="R14" i="2" s="1"/>
  <c r="C14" i="2"/>
  <c r="D13" i="2"/>
  <c r="E13" i="2" s="1"/>
  <c r="F13" i="2" s="1"/>
  <c r="G13" i="2" s="1"/>
  <c r="H13" i="2" s="1"/>
  <c r="I13" i="2" s="1"/>
  <c r="J13" i="2" s="1"/>
  <c r="K13" i="2" s="1"/>
  <c r="L13" i="2" s="1"/>
  <c r="M13" i="2" s="1"/>
  <c r="N13" i="2" s="1"/>
  <c r="O13" i="2" s="1"/>
  <c r="P13" i="2" s="1"/>
  <c r="Q13" i="2" s="1"/>
  <c r="R13" i="2" s="1"/>
  <c r="C13" i="2"/>
  <c r="C12" i="2"/>
  <c r="D12" i="2" s="1"/>
  <c r="E12" i="2" s="1"/>
  <c r="F12" i="2" s="1"/>
  <c r="G12" i="2" s="1"/>
  <c r="H12" i="2" s="1"/>
  <c r="I12" i="2" s="1"/>
  <c r="J12" i="2" s="1"/>
  <c r="K12" i="2" s="1"/>
  <c r="L12" i="2" s="1"/>
  <c r="M12" i="2" s="1"/>
  <c r="N12" i="2" s="1"/>
  <c r="O12" i="2" s="1"/>
  <c r="P12" i="2" s="1"/>
  <c r="Q12" i="2" s="1"/>
  <c r="R12" i="2" s="1"/>
  <c r="D7" i="2"/>
  <c r="E7" i="2" s="1"/>
  <c r="F7" i="2" s="1"/>
  <c r="G7" i="2" s="1"/>
  <c r="H7" i="2" s="1"/>
  <c r="I7" i="2" s="1"/>
  <c r="J7" i="2" s="1"/>
  <c r="K7" i="2" s="1"/>
  <c r="L7" i="2" s="1"/>
  <c r="M7" i="2" s="1"/>
  <c r="N7" i="2" s="1"/>
  <c r="O7" i="2" s="1"/>
  <c r="P7" i="2" s="1"/>
  <c r="Q7" i="2" s="1"/>
  <c r="R7" i="2" s="1"/>
  <c r="C7" i="2"/>
  <c r="C6" i="2"/>
  <c r="D6" i="2" s="1"/>
  <c r="E6" i="2" s="1"/>
  <c r="F6" i="2" s="1"/>
  <c r="G6" i="2" s="1"/>
  <c r="H6" i="2" s="1"/>
  <c r="I6" i="2" s="1"/>
  <c r="J6" i="2" s="1"/>
  <c r="K6" i="2" s="1"/>
  <c r="L6" i="2" s="1"/>
  <c r="M6" i="2" s="1"/>
  <c r="N6" i="2" s="1"/>
  <c r="O6" i="2" s="1"/>
  <c r="P6" i="2" s="1"/>
  <c r="Q6" i="2" s="1"/>
  <c r="R6" i="2" s="1"/>
  <c r="T14" i="2"/>
  <c r="U14" i="2" s="1"/>
  <c r="V14" i="2" s="1"/>
  <c r="W14" i="2" s="1"/>
  <c r="X14" i="2" s="1"/>
  <c r="Y14" i="2" s="1"/>
  <c r="Z14" i="2" s="1"/>
  <c r="AA14" i="2" s="1"/>
  <c r="AB14" i="2" s="1"/>
  <c r="AC14" i="2" s="1"/>
  <c r="AD14" i="2" s="1"/>
  <c r="AE14" i="2" s="1"/>
  <c r="AF14" i="2" s="1"/>
  <c r="AG14" i="2" s="1"/>
  <c r="AH14" i="2" s="1"/>
  <c r="AI14" i="2" s="1"/>
  <c r="AJ14" i="2" s="1"/>
  <c r="AK14" i="2" s="1"/>
  <c r="AL14" i="2" s="1"/>
  <c r="T13" i="2"/>
  <c r="U13" i="2" s="1"/>
  <c r="V13" i="2" s="1"/>
  <c r="W13" i="2" s="1"/>
  <c r="X13" i="2" s="1"/>
  <c r="Y13" i="2" s="1"/>
  <c r="Z13" i="2" s="1"/>
  <c r="AA13" i="2" s="1"/>
  <c r="AB13" i="2" s="1"/>
  <c r="AC13" i="2" s="1"/>
  <c r="AD13" i="2" s="1"/>
  <c r="AE13" i="2" s="1"/>
  <c r="AF13" i="2" s="1"/>
  <c r="AG13" i="2" s="1"/>
  <c r="AH13" i="2" s="1"/>
  <c r="AI13" i="2" s="1"/>
  <c r="AJ13" i="2" s="1"/>
  <c r="AK13" i="2" s="1"/>
  <c r="AL13" i="2" s="1"/>
  <c r="T12" i="2"/>
  <c r="U12" i="2" s="1"/>
  <c r="V12" i="2" s="1"/>
  <c r="W12" i="2" s="1"/>
  <c r="X12" i="2" s="1"/>
  <c r="Y12" i="2" s="1"/>
  <c r="Z12" i="2" s="1"/>
  <c r="AA12" i="2" s="1"/>
  <c r="AB12" i="2" s="1"/>
  <c r="AC12" i="2" s="1"/>
  <c r="AD12" i="2" s="1"/>
  <c r="AE12" i="2" s="1"/>
  <c r="AF12" i="2" s="1"/>
  <c r="AG12" i="2" s="1"/>
  <c r="AH12" i="2" s="1"/>
  <c r="AI12" i="2" s="1"/>
  <c r="AJ12" i="2" s="1"/>
  <c r="AK12" i="2" s="1"/>
  <c r="AL12" i="2" s="1"/>
  <c r="T7" i="2"/>
  <c r="U7" i="2" s="1"/>
  <c r="V7" i="2" s="1"/>
  <c r="W7" i="2" s="1"/>
  <c r="X7" i="2" s="1"/>
  <c r="Y7" i="2" s="1"/>
  <c r="Z7" i="2" s="1"/>
  <c r="AA7" i="2" s="1"/>
  <c r="AB7" i="2" s="1"/>
  <c r="AC7" i="2" s="1"/>
  <c r="AD7" i="2" s="1"/>
  <c r="AE7" i="2" s="1"/>
  <c r="AF7" i="2" s="1"/>
  <c r="AG7" i="2" s="1"/>
  <c r="AH7" i="2" s="1"/>
  <c r="AI7" i="2" s="1"/>
  <c r="AJ7" i="2" s="1"/>
  <c r="AK7" i="2" s="1"/>
  <c r="AL7" i="2" s="1"/>
  <c r="T6" i="2"/>
  <c r="U6" i="2" s="1"/>
  <c r="V6" i="2" s="1"/>
  <c r="W6" i="2" s="1"/>
  <c r="X6" i="2" s="1"/>
  <c r="Y6" i="2" s="1"/>
  <c r="Z6" i="2" s="1"/>
  <c r="AA6" i="2" s="1"/>
  <c r="AB6" i="2" s="1"/>
  <c r="AC6" i="2" s="1"/>
  <c r="AD6" i="2" s="1"/>
  <c r="AE6" i="2" s="1"/>
  <c r="AF6" i="2" s="1"/>
  <c r="AG6" i="2" s="1"/>
  <c r="AH6" i="2" s="1"/>
  <c r="AI6" i="2" s="1"/>
  <c r="AJ6" i="2" s="1"/>
  <c r="AK6" i="2" s="1"/>
  <c r="AL6" i="2" s="1"/>
  <c r="H15" i="12"/>
  <c r="I15" i="12"/>
  <c r="J15" i="12"/>
  <c r="K15" i="12" s="1"/>
  <c r="G15" i="12"/>
  <c r="T23" i="2" l="1"/>
  <c r="U23" i="2" s="1"/>
  <c r="V23" i="2" s="1"/>
  <c r="W23" i="2" s="1"/>
  <c r="X23" i="2" s="1"/>
  <c r="Y23" i="2" s="1"/>
  <c r="Z23" i="2" s="1"/>
  <c r="AA23" i="2" s="1"/>
  <c r="AB23" i="2" s="1"/>
  <c r="AC23" i="2" s="1"/>
  <c r="AD23" i="2" s="1"/>
  <c r="AE23" i="2" s="1"/>
  <c r="AF23" i="2" s="1"/>
  <c r="AG23" i="2" s="1"/>
  <c r="AH23" i="2" s="1"/>
  <c r="AI23" i="2" s="1"/>
  <c r="AJ23" i="2" s="1"/>
  <c r="AK23" i="2" s="1"/>
  <c r="AL23" i="2" s="1"/>
  <c r="T22" i="2"/>
  <c r="U22" i="2" s="1"/>
  <c r="V22" i="2" s="1"/>
  <c r="W22" i="2" s="1"/>
  <c r="X22" i="2" s="1"/>
  <c r="Y22" i="2" s="1"/>
  <c r="Z22" i="2" s="1"/>
  <c r="AA22" i="2" s="1"/>
  <c r="AB22" i="2" s="1"/>
  <c r="AC22" i="2" s="1"/>
  <c r="AD22" i="2" s="1"/>
  <c r="AE22" i="2" s="1"/>
  <c r="AF22" i="2" s="1"/>
  <c r="AG22" i="2" s="1"/>
  <c r="AH22" i="2" s="1"/>
  <c r="AI22" i="2" s="1"/>
  <c r="AJ22" i="2" s="1"/>
  <c r="AK22" i="2" s="1"/>
  <c r="AL22" i="2" s="1"/>
  <c r="T19" i="2"/>
  <c r="U19" i="2" s="1"/>
  <c r="V19" i="2" s="1"/>
  <c r="W19" i="2" s="1"/>
  <c r="X19" i="2" s="1"/>
  <c r="Y19" i="2" s="1"/>
  <c r="Z19" i="2" s="1"/>
  <c r="AA19" i="2" s="1"/>
  <c r="AB19" i="2" s="1"/>
  <c r="AC19" i="2" s="1"/>
  <c r="AD19" i="2" s="1"/>
  <c r="AE19" i="2" s="1"/>
  <c r="AF19" i="2" s="1"/>
  <c r="AG19" i="2" s="1"/>
  <c r="AH19" i="2" s="1"/>
  <c r="AI19" i="2" s="1"/>
  <c r="AJ19" i="2" s="1"/>
  <c r="AK19" i="2" s="1"/>
  <c r="AL19" i="2" s="1"/>
  <c r="T18" i="2"/>
  <c r="U18" i="2" s="1"/>
  <c r="V18" i="2" s="1"/>
  <c r="W18" i="2" s="1"/>
  <c r="X18" i="2" s="1"/>
  <c r="Y18" i="2" s="1"/>
  <c r="Z18" i="2" s="1"/>
  <c r="AA18" i="2" s="1"/>
  <c r="AB18" i="2" s="1"/>
  <c r="AC18" i="2" s="1"/>
  <c r="AD18" i="2" s="1"/>
  <c r="AE18" i="2" s="1"/>
  <c r="AF18" i="2" s="1"/>
  <c r="AG18" i="2" s="1"/>
  <c r="AH18" i="2" s="1"/>
  <c r="AI18" i="2" s="1"/>
  <c r="AJ18" i="2" s="1"/>
  <c r="AK18" i="2" s="1"/>
  <c r="AL18" i="2" s="1"/>
  <c r="T16" i="2"/>
  <c r="U16" i="2" s="1"/>
  <c r="V16" i="2" s="1"/>
  <c r="W16" i="2" s="1"/>
  <c r="X16" i="2" s="1"/>
  <c r="Y16" i="2" s="1"/>
  <c r="Z16" i="2" s="1"/>
  <c r="AA16" i="2" s="1"/>
  <c r="AB16" i="2" s="1"/>
  <c r="AC16" i="2" s="1"/>
  <c r="AD16" i="2" s="1"/>
  <c r="AE16" i="2" s="1"/>
  <c r="AF16" i="2" s="1"/>
  <c r="AG16" i="2" s="1"/>
  <c r="AH16" i="2" s="1"/>
  <c r="AI16" i="2" s="1"/>
  <c r="AJ16" i="2" s="1"/>
  <c r="AK16" i="2" s="1"/>
  <c r="AL16" i="2" s="1"/>
  <c r="T11" i="2"/>
  <c r="U11" i="2" s="1"/>
  <c r="V11" i="2" s="1"/>
  <c r="W11" i="2" s="1"/>
  <c r="X11" i="2" s="1"/>
  <c r="Y11" i="2" s="1"/>
  <c r="Z11" i="2" s="1"/>
  <c r="AA11" i="2" s="1"/>
  <c r="AB11" i="2" s="1"/>
  <c r="AC11" i="2" s="1"/>
  <c r="AD11" i="2" s="1"/>
  <c r="AE11" i="2" s="1"/>
  <c r="AF11" i="2" s="1"/>
  <c r="AG11" i="2" s="1"/>
  <c r="AH11" i="2" s="1"/>
  <c r="AI11" i="2" s="1"/>
  <c r="AJ11" i="2" s="1"/>
  <c r="AK11" i="2" s="1"/>
  <c r="AL11" i="2" s="1"/>
  <c r="T10" i="2"/>
  <c r="U10" i="2" s="1"/>
  <c r="V10" i="2" s="1"/>
  <c r="W10" i="2" s="1"/>
  <c r="X10" i="2" s="1"/>
  <c r="Y10" i="2" s="1"/>
  <c r="Z10" i="2" s="1"/>
  <c r="AA10" i="2" s="1"/>
  <c r="AB10" i="2" s="1"/>
  <c r="AC10" i="2" s="1"/>
  <c r="AD10" i="2" s="1"/>
  <c r="AE10" i="2" s="1"/>
  <c r="AF10" i="2" s="1"/>
  <c r="AG10" i="2" s="1"/>
  <c r="AH10" i="2" s="1"/>
  <c r="AI10" i="2" s="1"/>
  <c r="AJ10" i="2" s="1"/>
  <c r="AK10" i="2" s="1"/>
  <c r="AL10" i="2" s="1"/>
  <c r="T9" i="2"/>
  <c r="U9" i="2" s="1"/>
  <c r="V9" i="2" s="1"/>
  <c r="W9" i="2" s="1"/>
  <c r="X9" i="2" s="1"/>
  <c r="Y9" i="2" s="1"/>
  <c r="Z9" i="2" s="1"/>
  <c r="AA9" i="2" s="1"/>
  <c r="AB9" i="2" s="1"/>
  <c r="AC9" i="2" s="1"/>
  <c r="AD9" i="2" s="1"/>
  <c r="AE9" i="2" s="1"/>
  <c r="AF9" i="2" s="1"/>
  <c r="AG9" i="2" s="1"/>
  <c r="AH9" i="2" s="1"/>
  <c r="AI9" i="2" s="1"/>
  <c r="AJ9" i="2" s="1"/>
  <c r="AK9" i="2" s="1"/>
  <c r="AL9" i="2" s="1"/>
  <c r="T5" i="2"/>
  <c r="U5" i="2" s="1"/>
  <c r="V5" i="2" s="1"/>
  <c r="W5" i="2" s="1"/>
  <c r="X5" i="2" s="1"/>
  <c r="Y5" i="2" s="1"/>
  <c r="Z5" i="2" s="1"/>
  <c r="AA5" i="2" s="1"/>
  <c r="AB5" i="2" s="1"/>
  <c r="AC5" i="2" s="1"/>
  <c r="AD5" i="2" s="1"/>
  <c r="AE5" i="2" s="1"/>
  <c r="AF5" i="2" s="1"/>
  <c r="AG5" i="2" s="1"/>
  <c r="AH5" i="2" s="1"/>
  <c r="AI5" i="2" s="1"/>
  <c r="AJ5" i="2" s="1"/>
  <c r="AK5" i="2" s="1"/>
  <c r="AL5" i="2" s="1"/>
  <c r="U17" i="2"/>
  <c r="V17" i="2"/>
  <c r="W17" i="2"/>
  <c r="X17" i="2" s="1"/>
  <c r="Y17" i="2" s="1"/>
  <c r="Z17" i="2" s="1"/>
  <c r="AA17" i="2" s="1"/>
  <c r="AB17" i="2" s="1"/>
  <c r="AC17" i="2" s="1"/>
  <c r="AD17" i="2" s="1"/>
  <c r="AE17" i="2" s="1"/>
  <c r="AF17" i="2" s="1"/>
  <c r="AG17" i="2" s="1"/>
  <c r="AH17" i="2" s="1"/>
  <c r="AI17" i="2" s="1"/>
  <c r="AJ17" i="2" s="1"/>
  <c r="AK17" i="2" s="1"/>
  <c r="AL17" i="2" s="1"/>
  <c r="T17" i="2"/>
  <c r="D23" i="2"/>
  <c r="E23" i="2" s="1"/>
  <c r="F23" i="2" s="1"/>
  <c r="G23" i="2" s="1"/>
  <c r="H23" i="2" s="1"/>
  <c r="I23" i="2" s="1"/>
  <c r="J23" i="2" s="1"/>
  <c r="K23" i="2" s="1"/>
  <c r="L23" i="2" s="1"/>
  <c r="M23" i="2" s="1"/>
  <c r="N23" i="2" s="1"/>
  <c r="O23" i="2" s="1"/>
  <c r="P23" i="2" s="1"/>
  <c r="Q23" i="2" s="1"/>
  <c r="R23" i="2" s="1"/>
  <c r="C23" i="2"/>
  <c r="D22" i="2"/>
  <c r="E22" i="2" s="1"/>
  <c r="F22" i="2" s="1"/>
  <c r="G22" i="2" s="1"/>
  <c r="H22" i="2" s="1"/>
  <c r="I22" i="2" s="1"/>
  <c r="J22" i="2" s="1"/>
  <c r="K22" i="2" s="1"/>
  <c r="L22" i="2" s="1"/>
  <c r="M22" i="2" s="1"/>
  <c r="N22" i="2" s="1"/>
  <c r="O22" i="2" s="1"/>
  <c r="P22" i="2" s="1"/>
  <c r="Q22" i="2" s="1"/>
  <c r="R22" i="2" s="1"/>
  <c r="C22" i="2"/>
  <c r="D19" i="2"/>
  <c r="E19" i="2" s="1"/>
  <c r="F19" i="2" s="1"/>
  <c r="G19" i="2" s="1"/>
  <c r="H19" i="2" s="1"/>
  <c r="I19" i="2" s="1"/>
  <c r="J19" i="2" s="1"/>
  <c r="K19" i="2" s="1"/>
  <c r="L19" i="2" s="1"/>
  <c r="M19" i="2" s="1"/>
  <c r="N19" i="2" s="1"/>
  <c r="O19" i="2" s="1"/>
  <c r="P19" i="2" s="1"/>
  <c r="Q19" i="2" s="1"/>
  <c r="R19" i="2" s="1"/>
  <c r="C19" i="2"/>
  <c r="D18" i="2"/>
  <c r="E18" i="2" s="1"/>
  <c r="F18" i="2" s="1"/>
  <c r="G18" i="2" s="1"/>
  <c r="H18" i="2" s="1"/>
  <c r="I18" i="2" s="1"/>
  <c r="J18" i="2" s="1"/>
  <c r="K18" i="2" s="1"/>
  <c r="L18" i="2" s="1"/>
  <c r="M18" i="2" s="1"/>
  <c r="N18" i="2" s="1"/>
  <c r="O18" i="2" s="1"/>
  <c r="P18" i="2" s="1"/>
  <c r="Q18" i="2" s="1"/>
  <c r="R18" i="2" s="1"/>
  <c r="C18" i="2"/>
  <c r="D16" i="2"/>
  <c r="E16" i="2" s="1"/>
  <c r="F16" i="2" s="1"/>
  <c r="G16" i="2" s="1"/>
  <c r="H16" i="2" s="1"/>
  <c r="I16" i="2" s="1"/>
  <c r="J16" i="2" s="1"/>
  <c r="K16" i="2" s="1"/>
  <c r="L16" i="2" s="1"/>
  <c r="M16" i="2" s="1"/>
  <c r="N16" i="2" s="1"/>
  <c r="O16" i="2" s="1"/>
  <c r="P16" i="2" s="1"/>
  <c r="Q16" i="2" s="1"/>
  <c r="R16" i="2" s="1"/>
  <c r="C16" i="2"/>
  <c r="D11" i="2"/>
  <c r="E11" i="2" s="1"/>
  <c r="F11" i="2" s="1"/>
  <c r="G11" i="2" s="1"/>
  <c r="H11" i="2" s="1"/>
  <c r="I11" i="2" s="1"/>
  <c r="J11" i="2" s="1"/>
  <c r="K11" i="2" s="1"/>
  <c r="L11" i="2" s="1"/>
  <c r="M11" i="2" s="1"/>
  <c r="N11" i="2" s="1"/>
  <c r="O11" i="2" s="1"/>
  <c r="P11" i="2" s="1"/>
  <c r="Q11" i="2" s="1"/>
  <c r="R11" i="2" s="1"/>
  <c r="C11" i="2"/>
  <c r="C10" i="2"/>
  <c r="D10" i="2" s="1"/>
  <c r="E10" i="2" s="1"/>
  <c r="F10" i="2" s="1"/>
  <c r="G10" i="2" s="1"/>
  <c r="H10" i="2" s="1"/>
  <c r="I10" i="2" s="1"/>
  <c r="J10" i="2" s="1"/>
  <c r="K10" i="2" s="1"/>
  <c r="L10" i="2" s="1"/>
  <c r="M10" i="2" s="1"/>
  <c r="N10" i="2" s="1"/>
  <c r="O10" i="2" s="1"/>
  <c r="P10" i="2" s="1"/>
  <c r="Q10" i="2" s="1"/>
  <c r="R10" i="2" s="1"/>
  <c r="D9" i="2"/>
  <c r="E9" i="2" s="1"/>
  <c r="F9" i="2" s="1"/>
  <c r="G9" i="2" s="1"/>
  <c r="H9" i="2" s="1"/>
  <c r="I9" i="2" s="1"/>
  <c r="J9" i="2" s="1"/>
  <c r="K9" i="2" s="1"/>
  <c r="L9" i="2" s="1"/>
  <c r="M9" i="2" s="1"/>
  <c r="N9" i="2" s="1"/>
  <c r="O9" i="2" s="1"/>
  <c r="P9" i="2" s="1"/>
  <c r="Q9" i="2" s="1"/>
  <c r="R9" i="2" s="1"/>
  <c r="C9" i="2"/>
  <c r="C5" i="2"/>
  <c r="D5" i="2" s="1"/>
  <c r="E5" i="2" s="1"/>
  <c r="F5" i="2" s="1"/>
  <c r="G5" i="2" s="1"/>
  <c r="H5" i="2" s="1"/>
  <c r="I5" i="2" s="1"/>
  <c r="J5" i="2" s="1"/>
  <c r="K5" i="2" s="1"/>
  <c r="L5" i="2" s="1"/>
  <c r="M5" i="2" s="1"/>
  <c r="N5" i="2" s="1"/>
  <c r="O5" i="2" s="1"/>
  <c r="P5" i="2" s="1"/>
  <c r="Q5" i="2" s="1"/>
  <c r="R5" i="2" s="1"/>
  <c r="D17" i="2"/>
  <c r="E17" i="2"/>
  <c r="F17" i="2"/>
  <c r="G17" i="2" s="1"/>
  <c r="H17" i="2" s="1"/>
  <c r="I17" i="2" s="1"/>
  <c r="J17" i="2" s="1"/>
  <c r="K17" i="2" s="1"/>
  <c r="L17" i="2" s="1"/>
  <c r="M17" i="2" s="1"/>
  <c r="N17" i="2" s="1"/>
  <c r="O17" i="2" s="1"/>
  <c r="P17" i="2" s="1"/>
  <c r="Q17" i="2" s="1"/>
  <c r="R17" i="2" s="1"/>
  <c r="C17" i="2"/>
  <c r="E36" i="2"/>
  <c r="D47" i="7"/>
  <c r="E47" i="7" s="1"/>
  <c r="F47" i="7" s="1"/>
  <c r="G47" i="7" s="1"/>
  <c r="H47" i="7" s="1"/>
  <c r="I47" i="7" s="1"/>
  <c r="J47" i="7" s="1"/>
  <c r="K47" i="7" s="1"/>
  <c r="L47" i="7" s="1"/>
  <c r="M47" i="7" s="1"/>
  <c r="N47" i="7" s="1"/>
  <c r="O47" i="7" s="1"/>
  <c r="P47" i="7" s="1"/>
  <c r="C47" i="7"/>
  <c r="L11" i="7"/>
  <c r="T27" i="7"/>
  <c r="U27" i="7" s="1"/>
  <c r="V27" i="7" s="1"/>
  <c r="W27" i="7" s="1"/>
  <c r="X27" i="7" s="1"/>
  <c r="Y27" i="7" s="1"/>
  <c r="Z27" i="7" s="1"/>
  <c r="AA27" i="7" s="1"/>
  <c r="AB27" i="7" s="1"/>
  <c r="AC27" i="7" s="1"/>
  <c r="AD27" i="7" s="1"/>
  <c r="AE27" i="7" s="1"/>
  <c r="AF27" i="7" s="1"/>
  <c r="AG27" i="7" s="1"/>
  <c r="AH27" i="7" s="1"/>
  <c r="AI27" i="7" s="1"/>
  <c r="AJ27" i="7" s="1"/>
  <c r="AK27" i="7" s="1"/>
  <c r="AL27" i="7" s="1"/>
  <c r="T26" i="7"/>
  <c r="U26" i="7" s="1"/>
  <c r="V26" i="7" s="1"/>
  <c r="W26" i="7" s="1"/>
  <c r="X26" i="7" s="1"/>
  <c r="Y26" i="7" s="1"/>
  <c r="Z26" i="7" s="1"/>
  <c r="AA26" i="7" s="1"/>
  <c r="AB26" i="7" s="1"/>
  <c r="AC26" i="7" s="1"/>
  <c r="AD26" i="7" s="1"/>
  <c r="AE26" i="7" s="1"/>
  <c r="AF26" i="7" s="1"/>
  <c r="AG26" i="7" s="1"/>
  <c r="AH26" i="7" s="1"/>
  <c r="AI26" i="7" s="1"/>
  <c r="AJ26" i="7" s="1"/>
  <c r="AK26" i="7" s="1"/>
  <c r="AL26" i="7" s="1"/>
  <c r="D27" i="7"/>
  <c r="E27" i="7" s="1"/>
  <c r="F27" i="7" s="1"/>
  <c r="G27" i="7" s="1"/>
  <c r="H27" i="7" s="1"/>
  <c r="I27" i="7" s="1"/>
  <c r="J27" i="7" s="1"/>
  <c r="K27" i="7" s="1"/>
  <c r="L27" i="7" s="1"/>
  <c r="M27" i="7" s="1"/>
  <c r="N27" i="7" s="1"/>
  <c r="O27" i="7" s="1"/>
  <c r="P27" i="7" s="1"/>
  <c r="Q27" i="7" s="1"/>
  <c r="R27" i="7" s="1"/>
  <c r="C27" i="7"/>
  <c r="D26" i="7"/>
  <c r="E26" i="7" s="1"/>
  <c r="F26" i="7" s="1"/>
  <c r="G26" i="7" s="1"/>
  <c r="H26" i="7" s="1"/>
  <c r="I26" i="7" s="1"/>
  <c r="J26" i="7" s="1"/>
  <c r="K26" i="7" s="1"/>
  <c r="L26" i="7" s="1"/>
  <c r="M26" i="7" s="1"/>
  <c r="N26" i="7" s="1"/>
  <c r="O26" i="7" s="1"/>
  <c r="P26" i="7" s="1"/>
  <c r="Q26" i="7" s="1"/>
  <c r="R26" i="7" s="1"/>
  <c r="C26" i="7"/>
  <c r="P15" i="7"/>
  <c r="W15" i="7"/>
  <c r="T15" i="7"/>
  <c r="U15" i="7" s="1"/>
  <c r="V15" i="7" s="1"/>
  <c r="X15" i="7" s="1"/>
  <c r="Y15" i="7" s="1"/>
  <c r="Z15" i="7" s="1"/>
  <c r="AA15" i="7" s="1"/>
  <c r="AB15" i="7" s="1"/>
  <c r="AC15" i="7" s="1"/>
  <c r="AD15" i="7" s="1"/>
  <c r="AE15" i="7" s="1"/>
  <c r="AF15" i="7" s="1"/>
  <c r="AG15" i="7" s="1"/>
  <c r="AH15" i="7" s="1"/>
  <c r="AI15" i="7" s="1"/>
  <c r="AJ15" i="7" s="1"/>
  <c r="AK15" i="7" s="1"/>
  <c r="AL15" i="7" s="1"/>
  <c r="U14" i="7"/>
  <c r="V14" i="7"/>
  <c r="W14" i="7"/>
  <c r="X14" i="7" s="1"/>
  <c r="Y14" i="7" s="1"/>
  <c r="Z14" i="7" s="1"/>
  <c r="AA14" i="7" s="1"/>
  <c r="AB14" i="7" s="1"/>
  <c r="AC14" i="7" s="1"/>
  <c r="AD14" i="7" s="1"/>
  <c r="AE14" i="7" s="1"/>
  <c r="AF14" i="7" s="1"/>
  <c r="AG14" i="7" s="1"/>
  <c r="AH14" i="7" s="1"/>
  <c r="AI14" i="7" s="1"/>
  <c r="AJ14" i="7" s="1"/>
  <c r="AK14" i="7" s="1"/>
  <c r="AL14" i="7" s="1"/>
  <c r="T14" i="7"/>
  <c r="D15" i="7"/>
  <c r="E15" i="7" s="1"/>
  <c r="F15" i="7" s="1"/>
  <c r="G15" i="7" s="1"/>
  <c r="H15" i="7" s="1"/>
  <c r="I15" i="7" s="1"/>
  <c r="J15" i="7" s="1"/>
  <c r="K15" i="7" s="1"/>
  <c r="L15" i="7" s="1"/>
  <c r="M15" i="7" s="1"/>
  <c r="N15" i="7" s="1"/>
  <c r="O15" i="7" s="1"/>
  <c r="Q15" i="7" s="1"/>
  <c r="R15" i="7" s="1"/>
  <c r="C15" i="7"/>
  <c r="D14" i="7"/>
  <c r="E14" i="7"/>
  <c r="F14" i="7"/>
  <c r="G14" i="7" s="1"/>
  <c r="H14" i="7" s="1"/>
  <c r="I14" i="7" s="1"/>
  <c r="J14" i="7" s="1"/>
  <c r="K14" i="7" s="1"/>
  <c r="L14" i="7" s="1"/>
  <c r="M14" i="7" s="1"/>
  <c r="N14" i="7" s="1"/>
  <c r="O14" i="7" s="1"/>
  <c r="P14" i="7" s="1"/>
  <c r="Q14" i="7" s="1"/>
  <c r="R14" i="7" s="1"/>
  <c r="C14" i="7"/>
  <c r="AG11" i="7"/>
  <c r="AH11" i="7" s="1"/>
  <c r="AI11" i="7" s="1"/>
  <c r="AJ11" i="7" s="1"/>
  <c r="AK11" i="7" s="1"/>
  <c r="AL11" i="7" s="1"/>
  <c r="AF11" i="7"/>
  <c r="O11" i="7"/>
  <c r="P11" i="7" s="1"/>
  <c r="Q11" i="7" s="1"/>
  <c r="R11" i="7" s="1"/>
  <c r="S11" i="7" s="1"/>
  <c r="T11" i="7" s="1"/>
  <c r="U11" i="7" s="1"/>
  <c r="V11" i="7" s="1"/>
  <c r="W11" i="7" s="1"/>
  <c r="X11" i="7" s="1"/>
  <c r="Y11" i="7" s="1"/>
  <c r="Z11" i="7" s="1"/>
  <c r="AA11" i="7" s="1"/>
  <c r="AB11" i="7" s="1"/>
  <c r="AC11" i="7" s="1"/>
  <c r="AD11" i="7" s="1"/>
  <c r="N11" i="7"/>
  <c r="D11" i="7"/>
  <c r="E11" i="7"/>
  <c r="F11" i="7"/>
  <c r="G11" i="7" s="1"/>
  <c r="H11" i="7" s="1"/>
  <c r="I11" i="7" s="1"/>
  <c r="J11" i="7" s="1"/>
  <c r="K11" i="7" s="1"/>
  <c r="C11" i="7"/>
  <c r="G45" i="1"/>
  <c r="H45" i="1" s="1"/>
  <c r="I45" i="1" s="1"/>
  <c r="J45" i="1" s="1"/>
  <c r="K45" i="1" s="1"/>
  <c r="L45" i="1" s="1"/>
  <c r="M45" i="1" s="1"/>
  <c r="N45" i="1" s="1"/>
  <c r="O45" i="1" s="1"/>
  <c r="P45" i="1" s="1"/>
  <c r="Q45" i="1" s="1"/>
  <c r="R45" i="1" s="1"/>
  <c r="S45" i="1" s="1"/>
  <c r="T45" i="1" s="1"/>
  <c r="U45" i="1" s="1"/>
  <c r="F45" i="1" l="1"/>
  <c r="X27" i="1"/>
  <c r="Y27" i="1"/>
  <c r="Z27" i="1"/>
  <c r="AA27" i="1" s="1"/>
  <c r="AB27" i="1" s="1"/>
  <c r="AC27" i="1" s="1"/>
  <c r="AD27" i="1" s="1"/>
  <c r="AE27" i="1" s="1"/>
  <c r="AF27" i="1" s="1"/>
  <c r="AG27" i="1" s="1"/>
  <c r="AH27" i="1" s="1"/>
  <c r="AI27" i="1" s="1"/>
  <c r="AJ27" i="1" s="1"/>
  <c r="AK27" i="1" s="1"/>
  <c r="AL27" i="1" s="1"/>
  <c r="AM27" i="1" s="1"/>
  <c r="AN27" i="1" s="1"/>
  <c r="AO27" i="1" s="1"/>
  <c r="W27" i="1"/>
  <c r="D27" i="1"/>
  <c r="E27" i="1"/>
  <c r="F27" i="1"/>
  <c r="G27" i="1" s="1"/>
  <c r="H27" i="1" s="1"/>
  <c r="I27" i="1" s="1"/>
  <c r="J27" i="1" s="1"/>
  <c r="K27" i="1" s="1"/>
  <c r="L27" i="1" s="1"/>
  <c r="M27" i="1" s="1"/>
  <c r="N27" i="1" s="1"/>
  <c r="O27" i="1" s="1"/>
  <c r="P27" i="1" s="1"/>
  <c r="Q27" i="1" s="1"/>
  <c r="R27" i="1" s="1"/>
  <c r="S27" i="1" s="1"/>
  <c r="T27" i="1" s="1"/>
  <c r="U27" i="1" s="1"/>
  <c r="C27" i="1"/>
  <c r="AJ16" i="1"/>
  <c r="AK16" i="1"/>
  <c r="AL16" i="1"/>
  <c r="AM16" i="1" s="1"/>
  <c r="AJ17" i="1"/>
  <c r="AK17" i="1"/>
  <c r="AL17" i="1"/>
  <c r="AM17" i="1" s="1"/>
  <c r="AJ18" i="1"/>
  <c r="AK18" i="1"/>
  <c r="AL18" i="1"/>
  <c r="AM18" i="1" s="1"/>
  <c r="AI17" i="1"/>
  <c r="AI18" i="1"/>
  <c r="AI16" i="1"/>
  <c r="AH16" i="1"/>
  <c r="R16" i="1"/>
  <c r="S16" i="1"/>
  <c r="T16" i="1"/>
  <c r="U16" i="1" s="1"/>
  <c r="V16" i="1" s="1"/>
  <c r="W16" i="1" s="1"/>
  <c r="X16" i="1" s="1"/>
  <c r="Y16" i="1" s="1"/>
  <c r="Z16" i="1" s="1"/>
  <c r="AA16" i="1" s="1"/>
  <c r="AB16" i="1" s="1"/>
  <c r="AC16" i="1" s="1"/>
  <c r="AD16" i="1" s="1"/>
  <c r="AE16" i="1" s="1"/>
  <c r="AF16" i="1" s="1"/>
  <c r="AG16" i="1" s="1"/>
  <c r="R17" i="1"/>
  <c r="S17" i="1"/>
  <c r="T17" i="1"/>
  <c r="U17" i="1" s="1"/>
  <c r="V17" i="1" s="1"/>
  <c r="W17" i="1" s="1"/>
  <c r="X17" i="1" s="1"/>
  <c r="Y17" i="1" s="1"/>
  <c r="Z17" i="1" s="1"/>
  <c r="AA17" i="1" s="1"/>
  <c r="AB17" i="1" s="1"/>
  <c r="AC17" i="1" s="1"/>
  <c r="AD17" i="1" s="1"/>
  <c r="AE17" i="1" s="1"/>
  <c r="AF17" i="1" s="1"/>
  <c r="AG17" i="1" s="1"/>
  <c r="R18" i="1"/>
  <c r="S18" i="1"/>
  <c r="T18" i="1"/>
  <c r="U18" i="1" s="1"/>
  <c r="V18" i="1" s="1"/>
  <c r="W18" i="1" s="1"/>
  <c r="X18" i="1" s="1"/>
  <c r="Y18" i="1" s="1"/>
  <c r="Z18" i="1" s="1"/>
  <c r="AA18" i="1" s="1"/>
  <c r="AB18" i="1" s="1"/>
  <c r="AC18" i="1" s="1"/>
  <c r="AD18" i="1" s="1"/>
  <c r="AE18" i="1" s="1"/>
  <c r="AF18" i="1" s="1"/>
  <c r="AG18" i="1" s="1"/>
  <c r="Q17" i="1"/>
  <c r="Q18" i="1"/>
  <c r="Q16" i="1"/>
  <c r="G16" i="1"/>
  <c r="H16" i="1"/>
  <c r="I16" i="1"/>
  <c r="J16" i="1" s="1"/>
  <c r="K16" i="1" s="1"/>
  <c r="L16" i="1" s="1"/>
  <c r="M16" i="1" s="1"/>
  <c r="N16" i="1" s="1"/>
  <c r="O16" i="1" s="1"/>
  <c r="G17" i="1"/>
  <c r="H17" i="1"/>
  <c r="I17" i="1" s="1"/>
  <c r="J17" i="1" s="1"/>
  <c r="K17" i="1" s="1"/>
  <c r="L17" i="1" s="1"/>
  <c r="M17" i="1" s="1"/>
  <c r="N17" i="1" s="1"/>
  <c r="O17" i="1" s="1"/>
  <c r="G18" i="1"/>
  <c r="H18" i="1" s="1"/>
  <c r="I18" i="1" s="1"/>
  <c r="J18" i="1" s="1"/>
  <c r="K18" i="1" s="1"/>
  <c r="L18" i="1" s="1"/>
  <c r="M18" i="1" s="1"/>
  <c r="N18" i="1" s="1"/>
  <c r="O18" i="1" s="1"/>
  <c r="F18" i="1"/>
  <c r="F17" i="1"/>
  <c r="F16" i="1"/>
  <c r="F39" i="4"/>
  <c r="G39" i="4"/>
  <c r="H39" i="4"/>
  <c r="I39" i="4"/>
  <c r="J39" i="4"/>
  <c r="K39" i="4"/>
  <c r="L39" i="4"/>
  <c r="M39" i="4"/>
  <c r="N39" i="4"/>
  <c r="O39" i="4"/>
  <c r="P39" i="4"/>
  <c r="Q39" i="4"/>
  <c r="R39" i="4"/>
  <c r="S39" i="4"/>
  <c r="T39" i="4"/>
  <c r="U39" i="4"/>
  <c r="V39" i="4"/>
  <c r="W39" i="4"/>
  <c r="X39" i="4"/>
  <c r="Y39" i="4"/>
  <c r="Z39" i="4"/>
  <c r="AA39" i="4"/>
  <c r="AB39" i="4"/>
  <c r="AC39" i="4"/>
  <c r="AD39" i="4"/>
  <c r="AE39" i="4"/>
  <c r="AF39" i="4"/>
  <c r="AG39" i="4"/>
  <c r="AH39" i="4"/>
  <c r="AI39" i="4"/>
  <c r="AJ39" i="4"/>
  <c r="AK39" i="4"/>
  <c r="AL39" i="4"/>
  <c r="AM39" i="4"/>
  <c r="AN39" i="4"/>
  <c r="AO39" i="4"/>
  <c r="AP39" i="4"/>
  <c r="F40" i="4"/>
  <c r="G40" i="4"/>
  <c r="H40" i="4"/>
  <c r="I40" i="4"/>
  <c r="J40" i="4"/>
  <c r="K40" i="4"/>
  <c r="L40" i="4"/>
  <c r="M40" i="4"/>
  <c r="N40" i="4"/>
  <c r="O40" i="4"/>
  <c r="P40" i="4"/>
  <c r="Q40" i="4"/>
  <c r="R40" i="4"/>
  <c r="S40" i="4"/>
  <c r="T40" i="4"/>
  <c r="U40" i="4"/>
  <c r="V40" i="4"/>
  <c r="W40" i="4"/>
  <c r="X40" i="4"/>
  <c r="Y40" i="4"/>
  <c r="Z40" i="4"/>
  <c r="AA40" i="4"/>
  <c r="AB40" i="4"/>
  <c r="AC40" i="4"/>
  <c r="AD40" i="4"/>
  <c r="AE40" i="4"/>
  <c r="AF40" i="4"/>
  <c r="AG40" i="4"/>
  <c r="AH40" i="4"/>
  <c r="AI40" i="4"/>
  <c r="AJ40" i="4"/>
  <c r="AK40" i="4"/>
  <c r="AL40" i="4"/>
  <c r="AM40" i="4"/>
  <c r="AN40" i="4"/>
  <c r="AO40" i="4"/>
  <c r="AP40" i="4"/>
  <c r="E40" i="4"/>
  <c r="E39" i="4"/>
  <c r="B92" i="12"/>
  <c r="C92" i="12"/>
  <c r="D92" i="12"/>
  <c r="E92" i="12"/>
  <c r="F92" i="12"/>
  <c r="G92" i="12"/>
  <c r="H92" i="12"/>
  <c r="I92" i="12"/>
  <c r="J92" i="12"/>
  <c r="K92" i="12"/>
  <c r="L92" i="12"/>
  <c r="M92" i="12"/>
  <c r="N92" i="12"/>
  <c r="O92" i="12"/>
  <c r="P92" i="12"/>
  <c r="Q92" i="12"/>
  <c r="R92" i="12"/>
  <c r="S92" i="12"/>
  <c r="T92" i="12"/>
  <c r="U92" i="12"/>
  <c r="V92" i="12"/>
  <c r="W92" i="12"/>
  <c r="X92" i="12"/>
  <c r="Y92" i="12"/>
  <c r="Z92" i="12"/>
  <c r="AA92" i="12"/>
  <c r="AB92" i="12"/>
  <c r="AC92" i="12"/>
  <c r="AD92" i="12"/>
  <c r="AE92" i="12"/>
  <c r="AF92" i="12"/>
  <c r="AG92" i="12"/>
  <c r="AH92" i="12"/>
  <c r="AI92" i="12"/>
  <c r="AJ92" i="12"/>
  <c r="AK92" i="12"/>
  <c r="AL92" i="12"/>
  <c r="AM92" i="12"/>
  <c r="AM82" i="12"/>
  <c r="C88" i="12"/>
  <c r="S88" i="12"/>
  <c r="T88" i="12"/>
  <c r="AM88" i="12"/>
  <c r="B88" i="12"/>
  <c r="C79" i="12" l="1"/>
  <c r="U88" i="12"/>
  <c r="D77" i="12"/>
  <c r="E77" i="12" s="1"/>
  <c r="C77" i="12"/>
  <c r="AM77" i="12"/>
  <c r="AM87" i="12" s="1"/>
  <c r="C87" i="12"/>
  <c r="B87" i="12"/>
  <c r="C89" i="12" s="1"/>
  <c r="AM93" i="12"/>
  <c r="C15" i="14"/>
  <c r="C13" i="14"/>
  <c r="AR17" i="2"/>
  <c r="D88" i="12" l="1"/>
  <c r="E87" i="12"/>
  <c r="F77" i="12"/>
  <c r="G77" i="12" s="1"/>
  <c r="H77" i="12" s="1"/>
  <c r="I77" i="12" s="1"/>
  <c r="J77" i="12" s="1"/>
  <c r="K77" i="12" s="1"/>
  <c r="L77" i="12" s="1"/>
  <c r="M77" i="12" s="1"/>
  <c r="N77" i="12" s="1"/>
  <c r="O77" i="12" s="1"/>
  <c r="P77" i="12" s="1"/>
  <c r="Q77" i="12" s="1"/>
  <c r="R77" i="12" s="1"/>
  <c r="S77" i="12" s="1"/>
  <c r="T77" i="12" s="1"/>
  <c r="U77" i="12" s="1"/>
  <c r="V77" i="12" s="1"/>
  <c r="W77" i="12" s="1"/>
  <c r="X77" i="12" s="1"/>
  <c r="Y77" i="12" s="1"/>
  <c r="Z77" i="12" s="1"/>
  <c r="AA77" i="12" s="1"/>
  <c r="AB77" i="12" s="1"/>
  <c r="AC77" i="12" s="1"/>
  <c r="AD77" i="12" s="1"/>
  <c r="AE77" i="12" s="1"/>
  <c r="AF77" i="12" s="1"/>
  <c r="AG77" i="12" s="1"/>
  <c r="AH77" i="12" s="1"/>
  <c r="AI77" i="12" s="1"/>
  <c r="AJ77" i="12" s="1"/>
  <c r="AK77" i="12" s="1"/>
  <c r="AL77" i="12" s="1"/>
  <c r="D87" i="12"/>
  <c r="G87" i="12"/>
  <c r="D89" i="12"/>
  <c r="F87" i="12"/>
  <c r="AM90" i="12"/>
  <c r="V88" i="12" l="1"/>
  <c r="E88" i="12"/>
  <c r="E89" i="12"/>
  <c r="F89" i="12" s="1"/>
  <c r="G89" i="12" s="1"/>
  <c r="H87" i="12"/>
  <c r="H89" i="12" s="1"/>
  <c r="W88" i="12" l="1"/>
  <c r="F88" i="12"/>
  <c r="I87" i="12"/>
  <c r="I89" i="12" s="1"/>
  <c r="X88" i="12" l="1"/>
  <c r="G88" i="12"/>
  <c r="J87" i="12"/>
  <c r="J89" i="12" s="1"/>
  <c r="Y88" i="12" l="1"/>
  <c r="H88" i="12"/>
  <c r="K87" i="12"/>
  <c r="K89" i="12" s="1"/>
  <c r="Z88" i="12" l="1"/>
  <c r="I88" i="12"/>
  <c r="L87" i="12"/>
  <c r="L89" i="12" s="1"/>
  <c r="AA88" i="12" l="1"/>
  <c r="J88" i="12"/>
  <c r="M87" i="12"/>
  <c r="M89" i="12" s="1"/>
  <c r="AB88" i="12" l="1"/>
  <c r="K88" i="12"/>
  <c r="N87" i="12"/>
  <c r="N89" i="12"/>
  <c r="AC88" i="12" l="1"/>
  <c r="L88" i="12"/>
  <c r="O87" i="12"/>
  <c r="O89" i="12" s="1"/>
  <c r="AD88" i="12" l="1"/>
  <c r="M88" i="12"/>
  <c r="P87" i="12"/>
  <c r="P89" i="12"/>
  <c r="AE88" i="12" l="1"/>
  <c r="N88" i="12"/>
  <c r="Q89" i="12"/>
  <c r="Q87" i="12"/>
  <c r="AF88" i="12" l="1"/>
  <c r="O88" i="12"/>
  <c r="R87" i="12"/>
  <c r="R89" i="12"/>
  <c r="AG88" i="12" l="1"/>
  <c r="P88" i="12"/>
  <c r="S87" i="12"/>
  <c r="S89" i="12" s="1"/>
  <c r="AH88" i="12" l="1"/>
  <c r="R88" i="12"/>
  <c r="Q88" i="12"/>
  <c r="T87" i="12"/>
  <c r="T89" i="12" s="1"/>
  <c r="AI88" i="12" l="1"/>
  <c r="U87" i="12"/>
  <c r="U89" i="12" s="1"/>
  <c r="AJ88" i="12" l="1"/>
  <c r="V89" i="12"/>
  <c r="V87" i="12"/>
  <c r="AL88" i="12" l="1"/>
  <c r="AK88" i="12"/>
  <c r="W89" i="12"/>
  <c r="W87" i="12"/>
  <c r="X89" i="12" l="1"/>
  <c r="X87" i="12"/>
  <c r="Y87" i="12" l="1"/>
  <c r="Y89" i="12" s="1"/>
  <c r="Z87" i="12" l="1"/>
  <c r="Z89" i="12" s="1"/>
  <c r="AA87" i="12" l="1"/>
  <c r="AA89" i="12" s="1"/>
  <c r="AB87" i="12" l="1"/>
  <c r="AB89" i="12" s="1"/>
  <c r="AC89" i="12" l="1"/>
  <c r="AC87" i="12"/>
  <c r="AD89" i="12" l="1"/>
  <c r="AD87" i="12"/>
  <c r="AE87" i="12" l="1"/>
  <c r="AE89" i="12" s="1"/>
  <c r="AF87" i="12" l="1"/>
  <c r="AF89" i="12" s="1"/>
  <c r="AG87" i="12" l="1"/>
  <c r="AG89" i="12" s="1"/>
  <c r="AH87" i="12" l="1"/>
  <c r="AH89" i="12" s="1"/>
  <c r="AI87" i="12" l="1"/>
  <c r="AI89" i="12" s="1"/>
  <c r="AJ87" i="12" l="1"/>
  <c r="AJ89" i="12" s="1"/>
  <c r="AK87" i="12" l="1"/>
  <c r="AK89" i="12" s="1"/>
  <c r="AL89" i="12" s="1"/>
  <c r="AM89" i="12" s="1"/>
  <c r="AL87" i="12"/>
  <c r="F113" i="17" l="1"/>
  <c r="C90" i="17"/>
  <c r="D90" i="17"/>
  <c r="E90" i="17"/>
  <c r="F90" i="17"/>
  <c r="G90" i="17"/>
  <c r="H90" i="17"/>
  <c r="I90" i="17"/>
  <c r="J90" i="17"/>
  <c r="K90" i="17"/>
  <c r="L90" i="17"/>
  <c r="M90" i="17"/>
  <c r="N90" i="17"/>
  <c r="O90" i="17"/>
  <c r="P90" i="17"/>
  <c r="Q90" i="17"/>
  <c r="R90" i="17"/>
  <c r="S90" i="17"/>
  <c r="T90" i="17"/>
  <c r="U90" i="17"/>
  <c r="V90" i="17"/>
  <c r="W90" i="17"/>
  <c r="X90" i="17"/>
  <c r="Y90" i="17"/>
  <c r="Z90" i="17"/>
  <c r="AA90" i="17"/>
  <c r="AB90" i="17"/>
  <c r="AC90" i="17"/>
  <c r="AD90" i="17"/>
  <c r="AM90" i="17"/>
  <c r="C92" i="17"/>
  <c r="D92" i="17"/>
  <c r="E92" i="17"/>
  <c r="F92" i="17"/>
  <c r="G92" i="17"/>
  <c r="H92" i="17"/>
  <c r="I92" i="17"/>
  <c r="J92" i="17"/>
  <c r="K92" i="17"/>
  <c r="L92" i="17"/>
  <c r="M92" i="17"/>
  <c r="N92" i="17"/>
  <c r="O92" i="17"/>
  <c r="P92" i="17"/>
  <c r="Q92" i="17"/>
  <c r="R92" i="17"/>
  <c r="S92" i="17"/>
  <c r="T92" i="17"/>
  <c r="U92" i="17"/>
  <c r="V92" i="17"/>
  <c r="W92" i="17"/>
  <c r="X92" i="17"/>
  <c r="Y92" i="17"/>
  <c r="Z92" i="17"/>
  <c r="AA92" i="17"/>
  <c r="AB92" i="17"/>
  <c r="AC92" i="17"/>
  <c r="AD92" i="17"/>
  <c r="AE92" i="17"/>
  <c r="AF92" i="17"/>
  <c r="AG92" i="17"/>
  <c r="AH92" i="17"/>
  <c r="AI92" i="17"/>
  <c r="AJ92" i="17"/>
  <c r="AK92" i="17"/>
  <c r="AL92" i="17"/>
  <c r="AM92" i="17"/>
  <c r="C93" i="17"/>
  <c r="D93" i="17"/>
  <c r="E93" i="17"/>
  <c r="F93" i="17"/>
  <c r="G93" i="17"/>
  <c r="H93" i="17"/>
  <c r="I93" i="17"/>
  <c r="J93" i="17"/>
  <c r="K93" i="17"/>
  <c r="L93" i="17"/>
  <c r="M93" i="17"/>
  <c r="N93" i="17"/>
  <c r="O93" i="17"/>
  <c r="P93" i="17"/>
  <c r="Q93" i="17"/>
  <c r="R93" i="17"/>
  <c r="S93" i="17"/>
  <c r="T93" i="17"/>
  <c r="U93" i="17"/>
  <c r="V93" i="17"/>
  <c r="W93" i="17"/>
  <c r="X93" i="17"/>
  <c r="Y93" i="17"/>
  <c r="Z93" i="17"/>
  <c r="AA93" i="17"/>
  <c r="AB93" i="17"/>
  <c r="AC93" i="17"/>
  <c r="AD93" i="17"/>
  <c r="AE93" i="17"/>
  <c r="AF93" i="17"/>
  <c r="AG93" i="17"/>
  <c r="AH93" i="17"/>
  <c r="AI93" i="17"/>
  <c r="AJ93" i="17"/>
  <c r="AK93" i="17"/>
  <c r="AL93" i="17"/>
  <c r="AM93" i="17"/>
  <c r="C94" i="17"/>
  <c r="D94" i="17"/>
  <c r="E94" i="17"/>
  <c r="F94" i="17"/>
  <c r="G94" i="17"/>
  <c r="H94" i="17"/>
  <c r="I94" i="17"/>
  <c r="J94" i="17"/>
  <c r="K94" i="17"/>
  <c r="L94" i="17"/>
  <c r="M94" i="17"/>
  <c r="N94" i="17"/>
  <c r="O94" i="17"/>
  <c r="P94" i="17"/>
  <c r="Q94" i="17"/>
  <c r="R94" i="17"/>
  <c r="S94" i="17"/>
  <c r="T94" i="17"/>
  <c r="U94" i="17"/>
  <c r="V94" i="17"/>
  <c r="W94" i="17"/>
  <c r="X94" i="17"/>
  <c r="Y94" i="17"/>
  <c r="Z94" i="17"/>
  <c r="AA94" i="17"/>
  <c r="AB94" i="17"/>
  <c r="AC94" i="17"/>
  <c r="AD94" i="17"/>
  <c r="AE94" i="17"/>
  <c r="AF94" i="17"/>
  <c r="AG94" i="17"/>
  <c r="AH94" i="17"/>
  <c r="AI94" i="17"/>
  <c r="AJ94" i="17"/>
  <c r="AK94" i="17"/>
  <c r="AL94" i="17"/>
  <c r="AM94" i="17"/>
  <c r="C95" i="17"/>
  <c r="D95" i="17"/>
  <c r="E95" i="17"/>
  <c r="F95" i="17"/>
  <c r="G95" i="17"/>
  <c r="H95" i="17"/>
  <c r="I95" i="17"/>
  <c r="J95" i="17"/>
  <c r="K95" i="17"/>
  <c r="L95" i="17"/>
  <c r="M95" i="17"/>
  <c r="N95" i="17"/>
  <c r="O95" i="17"/>
  <c r="P95" i="17"/>
  <c r="Q95" i="17"/>
  <c r="R95" i="17"/>
  <c r="S95" i="17"/>
  <c r="T95" i="17"/>
  <c r="U95" i="17"/>
  <c r="V95" i="17"/>
  <c r="W95" i="17"/>
  <c r="X95" i="17"/>
  <c r="Y95" i="17"/>
  <c r="Z95" i="17"/>
  <c r="AA95" i="17"/>
  <c r="AB95" i="17"/>
  <c r="AC95" i="17"/>
  <c r="AD95" i="17"/>
  <c r="AE95" i="17"/>
  <c r="AF95" i="17"/>
  <c r="AG95" i="17"/>
  <c r="AH95" i="17"/>
  <c r="AI95" i="17"/>
  <c r="AJ95" i="17"/>
  <c r="AK95" i="17"/>
  <c r="AL95" i="17"/>
  <c r="AM95" i="17"/>
  <c r="B95" i="17"/>
  <c r="B94" i="17"/>
  <c r="B93" i="17"/>
  <c r="B92" i="17"/>
  <c r="B90" i="17"/>
  <c r="AP46" i="1" l="1"/>
  <c r="V45" i="1"/>
  <c r="E45" i="1"/>
  <c r="AJ45" i="1"/>
  <c r="Y45" i="1"/>
  <c r="AN45" i="1" l="1"/>
  <c r="AB45" i="1"/>
  <c r="AK45" i="1"/>
  <c r="AC45" i="1"/>
  <c r="AO45" i="1"/>
  <c r="Y46" i="1"/>
  <c r="Y44" i="1" s="1"/>
  <c r="AM45" i="1"/>
  <c r="AG45" i="1"/>
  <c r="AJ46" i="1"/>
  <c r="AJ44" i="1" s="1"/>
  <c r="X45" i="1"/>
  <c r="AF45" i="1"/>
  <c r="Z45" i="1"/>
  <c r="AD45" i="1"/>
  <c r="AH45" i="1"/>
  <c r="AL45" i="1"/>
  <c r="AP45" i="1"/>
  <c r="AP44" i="1" s="1"/>
  <c r="W45" i="1"/>
  <c r="AA45" i="1"/>
  <c r="AE45" i="1"/>
  <c r="AI45" i="1"/>
  <c r="W46" i="1" l="1"/>
  <c r="W44" i="1" s="1"/>
  <c r="AD44" i="1"/>
  <c r="AD46" i="1"/>
  <c r="AK46" i="1"/>
  <c r="AK44" i="1" s="1"/>
  <c r="AI44" i="1"/>
  <c r="AI46" i="1"/>
  <c r="Z46" i="1"/>
  <c r="Z44" i="1" s="1"/>
  <c r="AO44" i="1"/>
  <c r="AO46" i="1"/>
  <c r="AB46" i="1"/>
  <c r="AB44" i="1" s="1"/>
  <c r="AE44" i="1"/>
  <c r="AE46" i="1"/>
  <c r="AL46" i="1"/>
  <c r="AL44" i="1" s="1"/>
  <c r="AF44" i="1"/>
  <c r="AF46" i="1"/>
  <c r="AG46" i="1"/>
  <c r="AG44" i="1" s="1"/>
  <c r="AC44" i="1"/>
  <c r="AC46" i="1"/>
  <c r="E46" i="1"/>
  <c r="E44" i="1" s="1"/>
  <c r="AA46" i="1"/>
  <c r="AA44" i="1" s="1"/>
  <c r="AH46" i="1"/>
  <c r="AH44" i="1" s="1"/>
  <c r="X46" i="1"/>
  <c r="X44" i="1" s="1"/>
  <c r="AM46" i="1"/>
  <c r="AM44" i="1" s="1"/>
  <c r="V46" i="1"/>
  <c r="V44" i="1" s="1"/>
  <c r="AN44" i="1"/>
  <c r="AN46" i="1"/>
  <c r="F21" i="1"/>
  <c r="AG21" i="1"/>
  <c r="AH21" i="1"/>
  <c r="AI21" i="1"/>
  <c r="AJ21" i="1"/>
  <c r="AK21" i="1"/>
  <c r="AL21" i="1"/>
  <c r="AM21" i="1"/>
  <c r="AN21" i="1"/>
  <c r="AO21" i="1"/>
  <c r="AP21" i="1"/>
  <c r="E21" i="1"/>
  <c r="AK116" i="17"/>
  <c r="AA116" i="17"/>
  <c r="U116" i="17"/>
  <c r="O116" i="17"/>
  <c r="I116" i="17"/>
  <c r="AM115" i="17"/>
  <c r="AK115" i="17"/>
  <c r="AE115" i="17"/>
  <c r="Y115" i="17"/>
  <c r="W115" i="17"/>
  <c r="Q115" i="17"/>
  <c r="K115" i="17"/>
  <c r="I115" i="17"/>
  <c r="AH114" i="17"/>
  <c r="AG114" i="17"/>
  <c r="U114" i="17"/>
  <c r="M114" i="17"/>
  <c r="E114" i="17"/>
  <c r="AI113" i="17"/>
  <c r="AC113" i="17"/>
  <c r="W113" i="17"/>
  <c r="M113" i="17"/>
  <c r="G113" i="17"/>
  <c r="S111" i="17"/>
  <c r="G111" i="17"/>
  <c r="AM108" i="17"/>
  <c r="AL108" i="17"/>
  <c r="AK108" i="17"/>
  <c r="AJ108" i="17"/>
  <c r="AI108" i="17"/>
  <c r="AH108" i="17"/>
  <c r="AG108" i="17"/>
  <c r="AF108" i="17"/>
  <c r="AE108" i="17"/>
  <c r="AD108" i="17"/>
  <c r="AC108" i="17"/>
  <c r="AB108" i="17"/>
  <c r="AA108" i="17"/>
  <c r="Z108" i="17"/>
  <c r="Y108" i="17"/>
  <c r="X108" i="17"/>
  <c r="W108" i="17"/>
  <c r="V108" i="17"/>
  <c r="U108" i="17"/>
  <c r="T108" i="17"/>
  <c r="T111" i="17" s="1"/>
  <c r="S108" i="17"/>
  <c r="R108" i="17"/>
  <c r="Q108" i="17"/>
  <c r="P108" i="17"/>
  <c r="O108" i="17"/>
  <c r="N108" i="17"/>
  <c r="M108" i="17"/>
  <c r="L108" i="17"/>
  <c r="K108" i="17"/>
  <c r="J108" i="17"/>
  <c r="I108" i="17"/>
  <c r="H108" i="17"/>
  <c r="G108" i="17"/>
  <c r="F108" i="17"/>
  <c r="E108" i="17"/>
  <c r="D108" i="17"/>
  <c r="D111" i="17" s="1"/>
  <c r="C108" i="17"/>
  <c r="B108" i="17"/>
  <c r="AM116" i="17"/>
  <c r="AI116" i="17"/>
  <c r="AG116" i="17"/>
  <c r="AC116" i="17"/>
  <c r="Y116" i="17"/>
  <c r="W116" i="17"/>
  <c r="S116" i="17"/>
  <c r="Q116" i="17"/>
  <c r="M116" i="17"/>
  <c r="G116" i="17"/>
  <c r="E116" i="17"/>
  <c r="C116" i="17"/>
  <c r="AL115" i="17"/>
  <c r="AI115" i="17"/>
  <c r="AH115" i="17"/>
  <c r="AD115" i="17"/>
  <c r="AC115" i="17"/>
  <c r="Z115" i="17"/>
  <c r="V115" i="17"/>
  <c r="S115" i="17"/>
  <c r="R115" i="17"/>
  <c r="O115" i="17"/>
  <c r="N115" i="17"/>
  <c r="M115" i="17"/>
  <c r="J115" i="17"/>
  <c r="G115" i="17"/>
  <c r="F115" i="17"/>
  <c r="C115" i="17"/>
  <c r="B115" i="17"/>
  <c r="AK114" i="17"/>
  <c r="AI114" i="17"/>
  <c r="AE114" i="17"/>
  <c r="AA114" i="17"/>
  <c r="Y114" i="17"/>
  <c r="W114" i="17"/>
  <c r="S114" i="17"/>
  <c r="Q114" i="17"/>
  <c r="O114" i="17"/>
  <c r="K114" i="17"/>
  <c r="I114" i="17"/>
  <c r="G114" i="17"/>
  <c r="C114" i="17"/>
  <c r="AL113" i="17"/>
  <c r="AK113" i="17"/>
  <c r="AH113" i="17"/>
  <c r="AG113" i="17"/>
  <c r="AE113" i="17"/>
  <c r="AD113" i="17"/>
  <c r="AA113" i="17"/>
  <c r="Z113" i="17"/>
  <c r="Y113" i="17"/>
  <c r="V113" i="17"/>
  <c r="U113" i="17"/>
  <c r="S113" i="17"/>
  <c r="R113" i="17"/>
  <c r="Q113" i="17"/>
  <c r="O113" i="17"/>
  <c r="N113" i="17"/>
  <c r="J113" i="17"/>
  <c r="I113" i="17"/>
  <c r="E113" i="17"/>
  <c r="B113" i="17"/>
  <c r="AM111" i="17"/>
  <c r="AD111" i="17"/>
  <c r="AA111" i="17"/>
  <c r="Z111" i="17"/>
  <c r="V111" i="17"/>
  <c r="R111" i="17"/>
  <c r="N111" i="17"/>
  <c r="K111" i="17"/>
  <c r="J111" i="17"/>
  <c r="F111" i="17"/>
  <c r="C111" i="17"/>
  <c r="B111" i="17"/>
  <c r="AG89" i="17"/>
  <c r="AG99" i="17" s="1"/>
  <c r="AG110" i="17" s="1"/>
  <c r="AG64" i="17" s="1"/>
  <c r="AB64" i="17"/>
  <c r="AH28" i="17"/>
  <c r="AH37" i="17" s="1"/>
  <c r="AH89" i="17" s="1"/>
  <c r="AH99" i="17" s="1"/>
  <c r="AH110" i="17" s="1"/>
  <c r="AH64" i="17" s="1"/>
  <c r="Z28" i="17"/>
  <c r="Z37" i="17" s="1"/>
  <c r="Z89" i="17" s="1"/>
  <c r="Z99" i="17" s="1"/>
  <c r="Z110" i="17" s="1"/>
  <c r="Z64" i="17" s="1"/>
  <c r="R28" i="17"/>
  <c r="R37" i="17" s="1"/>
  <c r="R89" i="17" s="1"/>
  <c r="R99" i="17" s="1"/>
  <c r="R110" i="17" s="1"/>
  <c r="R64" i="17" s="1"/>
  <c r="J28" i="17"/>
  <c r="J37" i="17" s="1"/>
  <c r="J89" i="17" s="1"/>
  <c r="J99" i="17" s="1"/>
  <c r="J110" i="17" s="1"/>
  <c r="J64" i="17" s="1"/>
  <c r="B28" i="17"/>
  <c r="B37" i="17" s="1"/>
  <c r="B89" i="17" s="1"/>
  <c r="B99" i="17" s="1"/>
  <c r="B110" i="17" s="1"/>
  <c r="B64" i="17" s="1"/>
  <c r="AK12" i="17"/>
  <c r="AJ12" i="17"/>
  <c r="AG12" i="17"/>
  <c r="AF12" i="17"/>
  <c r="AC12" i="17"/>
  <c r="AB12" i="17"/>
  <c r="Y12" i="17"/>
  <c r="X12" i="17"/>
  <c r="U12" i="17"/>
  <c r="T12" i="17"/>
  <c r="Q12" i="17"/>
  <c r="P12" i="17"/>
  <c r="M12" i="17"/>
  <c r="L12" i="17"/>
  <c r="I12" i="17"/>
  <c r="H12" i="17"/>
  <c r="E12" i="17"/>
  <c r="D12" i="17"/>
  <c r="AM12" i="17"/>
  <c r="AL12" i="17"/>
  <c r="AK28" i="17"/>
  <c r="AK37" i="17" s="1"/>
  <c r="AK89" i="17" s="1"/>
  <c r="AK99" i="17" s="1"/>
  <c r="AK110" i="17" s="1"/>
  <c r="AK64" i="17" s="1"/>
  <c r="AJ28" i="17"/>
  <c r="AJ37" i="17" s="1"/>
  <c r="AJ89" i="17" s="1"/>
  <c r="AJ99" i="17" s="1"/>
  <c r="AJ110" i="17" s="1"/>
  <c r="AJ64" i="17" s="1"/>
  <c r="AI12" i="17"/>
  <c r="AH12" i="17"/>
  <c r="AG28" i="17"/>
  <c r="AG37" i="17" s="1"/>
  <c r="AF28" i="17"/>
  <c r="AF37" i="17" s="1"/>
  <c r="AF89" i="17" s="1"/>
  <c r="AF99" i="17" s="1"/>
  <c r="AF110" i="17" s="1"/>
  <c r="AF64" i="17" s="1"/>
  <c r="AE12" i="17"/>
  <c r="AD12" i="17"/>
  <c r="AC28" i="17"/>
  <c r="AC37" i="17" s="1"/>
  <c r="AC89" i="17" s="1"/>
  <c r="AC99" i="17" s="1"/>
  <c r="AC110" i="17" s="1"/>
  <c r="AC64" i="17" s="1"/>
  <c r="AB28" i="17"/>
  <c r="AB37" i="17" s="1"/>
  <c r="AB89" i="17" s="1"/>
  <c r="AB99" i="17" s="1"/>
  <c r="AB110" i="17" s="1"/>
  <c r="AA12" i="17"/>
  <c r="Z12" i="17"/>
  <c r="Y28" i="17"/>
  <c r="Y37" i="17" s="1"/>
  <c r="Y89" i="17" s="1"/>
  <c r="Y99" i="17" s="1"/>
  <c r="Y110" i="17" s="1"/>
  <c r="Y64" i="17" s="1"/>
  <c r="X28" i="17"/>
  <c r="X37" i="17" s="1"/>
  <c r="X89" i="17" s="1"/>
  <c r="X99" i="17" s="1"/>
  <c r="X110" i="17" s="1"/>
  <c r="X64" i="17" s="1"/>
  <c r="W12" i="17"/>
  <c r="V12" i="17"/>
  <c r="U28" i="17"/>
  <c r="U37" i="17" s="1"/>
  <c r="U89" i="17" s="1"/>
  <c r="U99" i="17" s="1"/>
  <c r="U110" i="17" s="1"/>
  <c r="U64" i="17" s="1"/>
  <c r="T28" i="17"/>
  <c r="T37" i="17" s="1"/>
  <c r="T89" i="17" s="1"/>
  <c r="T99" i="17" s="1"/>
  <c r="T110" i="17" s="1"/>
  <c r="T64" i="17" s="1"/>
  <c r="S12" i="17"/>
  <c r="R12" i="17"/>
  <c r="Q28" i="17"/>
  <c r="Q37" i="17" s="1"/>
  <c r="Q89" i="17" s="1"/>
  <c r="Q99" i="17" s="1"/>
  <c r="Q110" i="17" s="1"/>
  <c r="Q64" i="17" s="1"/>
  <c r="P28" i="17"/>
  <c r="P37" i="17" s="1"/>
  <c r="P89" i="17" s="1"/>
  <c r="P99" i="17" s="1"/>
  <c r="P110" i="17" s="1"/>
  <c r="P64" i="17" s="1"/>
  <c r="O12" i="17"/>
  <c r="N12" i="17"/>
  <c r="M28" i="17"/>
  <c r="M37" i="17" s="1"/>
  <c r="M89" i="17" s="1"/>
  <c r="M99" i="17" s="1"/>
  <c r="M110" i="17" s="1"/>
  <c r="M64" i="17" s="1"/>
  <c r="L28" i="17"/>
  <c r="L37" i="17" s="1"/>
  <c r="L89" i="17" s="1"/>
  <c r="L99" i="17" s="1"/>
  <c r="L110" i="17" s="1"/>
  <c r="L64" i="17" s="1"/>
  <c r="K12" i="17"/>
  <c r="J12" i="17"/>
  <c r="I28" i="17"/>
  <c r="I37" i="17" s="1"/>
  <c r="I89" i="17" s="1"/>
  <c r="I99" i="17" s="1"/>
  <c r="I110" i="17" s="1"/>
  <c r="I64" i="17" s="1"/>
  <c r="H28" i="17"/>
  <c r="H37" i="17" s="1"/>
  <c r="H89" i="17" s="1"/>
  <c r="H99" i="17" s="1"/>
  <c r="H110" i="17" s="1"/>
  <c r="H64" i="17" s="1"/>
  <c r="G12" i="17"/>
  <c r="F12" i="17"/>
  <c r="E28" i="17"/>
  <c r="E37" i="17" s="1"/>
  <c r="E89" i="17" s="1"/>
  <c r="E99" i="17" s="1"/>
  <c r="E110" i="17" s="1"/>
  <c r="E64" i="17" s="1"/>
  <c r="D28" i="17"/>
  <c r="D37" i="17" s="1"/>
  <c r="D89" i="17" s="1"/>
  <c r="D99" i="17" s="1"/>
  <c r="D110" i="17" s="1"/>
  <c r="D64" i="17" s="1"/>
  <c r="C12" i="17"/>
  <c r="B12" i="17"/>
  <c r="AL112" i="17" l="1"/>
  <c r="D113" i="17"/>
  <c r="H113" i="17"/>
  <c r="P113" i="17"/>
  <c r="T113" i="17"/>
  <c r="X113" i="17"/>
  <c r="AB113" i="17"/>
  <c r="AF113" i="17"/>
  <c r="AJ113" i="17"/>
  <c r="B114" i="17"/>
  <c r="F114" i="17"/>
  <c r="J114" i="17"/>
  <c r="N114" i="17"/>
  <c r="R114" i="17"/>
  <c r="V114" i="17"/>
  <c r="Z114" i="17"/>
  <c r="AD114" i="17"/>
  <c r="AL114" i="17"/>
  <c r="D115" i="17"/>
  <c r="H115" i="17"/>
  <c r="P115" i="17"/>
  <c r="T115" i="17"/>
  <c r="X115" i="17"/>
  <c r="AB115" i="17"/>
  <c r="AF115" i="17"/>
  <c r="AJ115" i="17"/>
  <c r="B116" i="17"/>
  <c r="F116" i="17"/>
  <c r="J116" i="17"/>
  <c r="N116" i="17"/>
  <c r="R116" i="17"/>
  <c r="V116" i="17"/>
  <c r="Z116" i="17"/>
  <c r="AD116" i="17"/>
  <c r="AH116" i="17"/>
  <c r="AL116" i="17"/>
  <c r="C28" i="17"/>
  <c r="C37" i="17" s="1"/>
  <c r="C89" i="17" s="1"/>
  <c r="C99" i="17" s="1"/>
  <c r="C110" i="17" s="1"/>
  <c r="C64" i="17" s="1"/>
  <c r="K28" i="17"/>
  <c r="K37" i="17" s="1"/>
  <c r="K89" i="17" s="1"/>
  <c r="K99" i="17" s="1"/>
  <c r="K110" i="17" s="1"/>
  <c r="K64" i="17" s="1"/>
  <c r="S28" i="17"/>
  <c r="S37" i="17" s="1"/>
  <c r="S89" i="17" s="1"/>
  <c r="S99" i="17" s="1"/>
  <c r="S110" i="17" s="1"/>
  <c r="S64" i="17" s="1"/>
  <c r="AA28" i="17"/>
  <c r="AA37" i="17" s="1"/>
  <c r="AA89" i="17" s="1"/>
  <c r="AA99" i="17" s="1"/>
  <c r="AA110" i="17" s="1"/>
  <c r="AA64" i="17" s="1"/>
  <c r="AI28" i="17"/>
  <c r="AI37" i="17" s="1"/>
  <c r="AI89" i="17" s="1"/>
  <c r="AI99" i="17" s="1"/>
  <c r="AI110" i="17" s="1"/>
  <c r="AI64" i="17" s="1"/>
  <c r="G28" i="17"/>
  <c r="G37" i="17" s="1"/>
  <c r="G89" i="17" s="1"/>
  <c r="G99" i="17" s="1"/>
  <c r="G110" i="17" s="1"/>
  <c r="G64" i="17" s="1"/>
  <c r="O28" i="17"/>
  <c r="O37" i="17" s="1"/>
  <c r="O89" i="17" s="1"/>
  <c r="O99" i="17" s="1"/>
  <c r="O110" i="17" s="1"/>
  <c r="O64" i="17" s="1"/>
  <c r="W28" i="17"/>
  <c r="W37" i="17" s="1"/>
  <c r="W89" i="17" s="1"/>
  <c r="W99" i="17" s="1"/>
  <c r="W110" i="17" s="1"/>
  <c r="W64" i="17" s="1"/>
  <c r="AE28" i="17"/>
  <c r="AE37" i="17" s="1"/>
  <c r="AE89" i="17" s="1"/>
  <c r="AE99" i="17" s="1"/>
  <c r="AE110" i="17" s="1"/>
  <c r="AE64" i="17" s="1"/>
  <c r="AM28" i="17"/>
  <c r="AM37" i="17" s="1"/>
  <c r="AM89" i="17" s="1"/>
  <c r="AM99" i="17" s="1"/>
  <c r="AM110" i="17" s="1"/>
  <c r="AM64" i="17" s="1"/>
  <c r="R112" i="17"/>
  <c r="R117" i="17" s="1"/>
  <c r="L113" i="17"/>
  <c r="L115" i="17"/>
  <c r="F28" i="17"/>
  <c r="F37" i="17" s="1"/>
  <c r="F89" i="17" s="1"/>
  <c r="F99" i="17" s="1"/>
  <c r="F110" i="17" s="1"/>
  <c r="F64" i="17" s="1"/>
  <c r="N28" i="17"/>
  <c r="N37" i="17" s="1"/>
  <c r="N89" i="17" s="1"/>
  <c r="N99" i="17" s="1"/>
  <c r="N110" i="17" s="1"/>
  <c r="N64" i="17" s="1"/>
  <c r="V28" i="17"/>
  <c r="V37" i="17" s="1"/>
  <c r="V89" i="17" s="1"/>
  <c r="V99" i="17" s="1"/>
  <c r="V110" i="17" s="1"/>
  <c r="V64" i="17" s="1"/>
  <c r="AD28" i="17"/>
  <c r="AD37" i="17" s="1"/>
  <c r="AD89" i="17" s="1"/>
  <c r="AD99" i="17" s="1"/>
  <c r="AD110" i="17" s="1"/>
  <c r="AD64" i="17" s="1"/>
  <c r="AL28" i="17"/>
  <c r="AL37" i="17" s="1"/>
  <c r="AL89" i="17" s="1"/>
  <c r="AL99" i="17" s="1"/>
  <c r="AL110" i="17" s="1"/>
  <c r="AL64" i="17" s="1"/>
  <c r="AB111" i="17"/>
  <c r="E111" i="17"/>
  <c r="I111" i="17"/>
  <c r="M111" i="17"/>
  <c r="Q111" i="17"/>
  <c r="U111" i="17"/>
  <c r="Y111" i="17"/>
  <c r="AC111" i="17"/>
  <c r="D96" i="17"/>
  <c r="D100" i="17" s="1"/>
  <c r="E115" i="17"/>
  <c r="U115" i="17"/>
  <c r="AG115" i="17"/>
  <c r="K116" i="17"/>
  <c r="AE116" i="17"/>
  <c r="L111" i="17"/>
  <c r="B112" i="17"/>
  <c r="AM114" i="17"/>
  <c r="H111" i="17"/>
  <c r="P111" i="17"/>
  <c r="X111" i="17"/>
  <c r="D114" i="17"/>
  <c r="H114" i="17"/>
  <c r="L114" i="17"/>
  <c r="P114" i="17"/>
  <c r="T114" i="17"/>
  <c r="X114" i="17"/>
  <c r="AB114" i="17"/>
  <c r="AF114" i="17"/>
  <c r="AJ114" i="17"/>
  <c r="D116" i="17"/>
  <c r="H116" i="17"/>
  <c r="L116" i="17"/>
  <c r="P116" i="17"/>
  <c r="T116" i="17"/>
  <c r="X116" i="17"/>
  <c r="AB116" i="17"/>
  <c r="AF116" i="17"/>
  <c r="AJ116" i="17"/>
  <c r="R96" i="17"/>
  <c r="R104" i="17" s="1"/>
  <c r="O111" i="17"/>
  <c r="W111" i="17"/>
  <c r="C113" i="17"/>
  <c r="K113" i="17"/>
  <c r="AM113" i="17"/>
  <c r="AC114" i="17"/>
  <c r="AA115" i="17"/>
  <c r="AA22" i="6"/>
  <c r="Z22" i="6"/>
  <c r="Y22" i="6"/>
  <c r="X22" i="6"/>
  <c r="W22" i="6"/>
  <c r="V22" i="6"/>
  <c r="U22" i="6"/>
  <c r="T22" i="6"/>
  <c r="S22" i="6"/>
  <c r="R22" i="6"/>
  <c r="Q22" i="6"/>
  <c r="P22" i="6"/>
  <c r="O22" i="6"/>
  <c r="N22" i="6"/>
  <c r="M22" i="6"/>
  <c r="L22" i="6"/>
  <c r="K22" i="6"/>
  <c r="J22" i="6"/>
  <c r="I22" i="6"/>
  <c r="H22" i="6"/>
  <c r="G22" i="6"/>
  <c r="F22" i="6"/>
  <c r="E22" i="6"/>
  <c r="D22" i="6"/>
  <c r="C22" i="6"/>
  <c r="B22" i="6"/>
  <c r="AA21" i="6"/>
  <c r="Z21" i="6"/>
  <c r="Y21" i="6"/>
  <c r="X21" i="6"/>
  <c r="W21" i="6"/>
  <c r="V21" i="6"/>
  <c r="U21" i="6"/>
  <c r="T21" i="6"/>
  <c r="S21" i="6"/>
  <c r="R21" i="6"/>
  <c r="Q21" i="6"/>
  <c r="P21" i="6"/>
  <c r="O21" i="6"/>
  <c r="N21" i="6"/>
  <c r="M21" i="6"/>
  <c r="L21" i="6"/>
  <c r="K21" i="6"/>
  <c r="J21" i="6"/>
  <c r="I21" i="6"/>
  <c r="H21" i="6"/>
  <c r="G21" i="6"/>
  <c r="F21" i="6"/>
  <c r="E21" i="6"/>
  <c r="D21" i="6"/>
  <c r="C21" i="6"/>
  <c r="B21" i="6"/>
  <c r="AA20" i="6"/>
  <c r="Z20" i="6"/>
  <c r="Y20" i="6"/>
  <c r="X20" i="6"/>
  <c r="W20" i="6"/>
  <c r="V20" i="6"/>
  <c r="U20" i="6"/>
  <c r="T20" i="6"/>
  <c r="S20" i="6"/>
  <c r="R20" i="6"/>
  <c r="Q20" i="6"/>
  <c r="P20" i="6"/>
  <c r="O20" i="6"/>
  <c r="N20" i="6"/>
  <c r="M20" i="6"/>
  <c r="L20" i="6"/>
  <c r="K20" i="6"/>
  <c r="J20" i="6"/>
  <c r="I20" i="6"/>
  <c r="H20" i="6"/>
  <c r="AA19" i="6"/>
  <c r="Z19" i="6"/>
  <c r="Y19" i="6"/>
  <c r="X19" i="6"/>
  <c r="W19" i="6"/>
  <c r="V19" i="6"/>
  <c r="U19" i="6"/>
  <c r="T19" i="6"/>
  <c r="S19" i="6"/>
  <c r="R19" i="6"/>
  <c r="Q19" i="6"/>
  <c r="P19" i="6"/>
  <c r="O19" i="6"/>
  <c r="N19" i="6"/>
  <c r="M19" i="6"/>
  <c r="L19" i="6"/>
  <c r="K19" i="6"/>
  <c r="J19" i="6"/>
  <c r="I19" i="6"/>
  <c r="H19" i="6"/>
  <c r="G19" i="6"/>
  <c r="AA18" i="6"/>
  <c r="Z18" i="6"/>
  <c r="Y18" i="6"/>
  <c r="X18" i="6"/>
  <c r="W18" i="6"/>
  <c r="V18" i="6"/>
  <c r="U18" i="6"/>
  <c r="T18" i="6"/>
  <c r="S18" i="6"/>
  <c r="R18" i="6"/>
  <c r="Q18" i="6"/>
  <c r="P18" i="6"/>
  <c r="O18" i="6"/>
  <c r="N18" i="6"/>
  <c r="M18" i="6"/>
  <c r="L18" i="6"/>
  <c r="K18" i="6"/>
  <c r="J18" i="6"/>
  <c r="I18" i="6"/>
  <c r="H18" i="6"/>
  <c r="G18" i="6"/>
  <c r="F18" i="6"/>
  <c r="AA17" i="6"/>
  <c r="Z17" i="6"/>
  <c r="Y17" i="6"/>
  <c r="X17" i="6"/>
  <c r="W17" i="6"/>
  <c r="V17" i="6"/>
  <c r="U17" i="6"/>
  <c r="T17" i="6"/>
  <c r="S17" i="6"/>
  <c r="R17" i="6"/>
  <c r="Q17" i="6"/>
  <c r="P17" i="6"/>
  <c r="O17" i="6"/>
  <c r="N17" i="6"/>
  <c r="M17" i="6"/>
  <c r="L17" i="6"/>
  <c r="K17" i="6"/>
  <c r="J17" i="6"/>
  <c r="I17" i="6"/>
  <c r="H17" i="6"/>
  <c r="G17" i="6"/>
  <c r="F17" i="6"/>
  <c r="E17" i="6"/>
  <c r="AA16" i="6"/>
  <c r="Z16" i="6"/>
  <c r="Y16" i="6"/>
  <c r="X16" i="6"/>
  <c r="W16" i="6"/>
  <c r="V16" i="6"/>
  <c r="U16" i="6"/>
  <c r="T16" i="6"/>
  <c r="S16" i="6"/>
  <c r="R16" i="6"/>
  <c r="Q16" i="6"/>
  <c r="P16" i="6"/>
  <c r="O16" i="6"/>
  <c r="N16" i="6"/>
  <c r="M16" i="6"/>
  <c r="L16" i="6"/>
  <c r="K16" i="6"/>
  <c r="J16" i="6"/>
  <c r="I16" i="6"/>
  <c r="H16" i="6"/>
  <c r="G16" i="6"/>
  <c r="F16" i="6"/>
  <c r="E16" i="6"/>
  <c r="D16" i="6"/>
  <c r="AA15" i="6"/>
  <c r="Z15" i="6"/>
  <c r="Y15" i="6"/>
  <c r="X15" i="6"/>
  <c r="W15" i="6"/>
  <c r="V15" i="6"/>
  <c r="U15" i="6"/>
  <c r="T15" i="6"/>
  <c r="S15" i="6"/>
  <c r="R15" i="6"/>
  <c r="Q15" i="6"/>
  <c r="P15" i="6"/>
  <c r="O15" i="6"/>
  <c r="N15" i="6"/>
  <c r="M15" i="6"/>
  <c r="L15" i="6"/>
  <c r="K15" i="6"/>
  <c r="J15" i="6"/>
  <c r="I15" i="6"/>
  <c r="H15" i="6"/>
  <c r="G15" i="6"/>
  <c r="F15" i="6"/>
  <c r="E15" i="6"/>
  <c r="D15" i="6"/>
  <c r="C15" i="6"/>
  <c r="AA14" i="6"/>
  <c r="Z14" i="6"/>
  <c r="Y14" i="6"/>
  <c r="X14" i="6"/>
  <c r="W14" i="6"/>
  <c r="V14" i="6"/>
  <c r="U14" i="6"/>
  <c r="T14" i="6"/>
  <c r="S14" i="6"/>
  <c r="R14" i="6"/>
  <c r="Q14" i="6"/>
  <c r="P14" i="6"/>
  <c r="O14" i="6"/>
  <c r="N14" i="6"/>
  <c r="M14" i="6"/>
  <c r="L14" i="6"/>
  <c r="K14" i="6"/>
  <c r="J14" i="6"/>
  <c r="I14" i="6"/>
  <c r="H14" i="6"/>
  <c r="G14" i="6"/>
  <c r="F14" i="6"/>
  <c r="E14" i="6"/>
  <c r="D14" i="6"/>
  <c r="C14" i="6"/>
  <c r="B14" i="6"/>
  <c r="H12" i="6"/>
  <c r="G12" i="6"/>
  <c r="F12" i="6"/>
  <c r="E12" i="6"/>
  <c r="D12" i="6"/>
  <c r="C12" i="6"/>
  <c r="B12" i="6"/>
  <c r="B10" i="6"/>
  <c r="B8" i="6"/>
  <c r="B5" i="6"/>
  <c r="B24" i="5"/>
  <c r="C22" i="5"/>
  <c r="B22" i="5"/>
  <c r="B16" i="5"/>
  <c r="B15" i="5"/>
  <c r="C14" i="5"/>
  <c r="B14" i="5"/>
  <c r="C13" i="5"/>
  <c r="B13" i="5"/>
  <c r="C24" i="14"/>
  <c r="C21" i="14"/>
  <c r="C20" i="14"/>
  <c r="C18" i="14"/>
  <c r="C12" i="14"/>
  <c r="C11" i="14"/>
  <c r="C10" i="14"/>
  <c r="C9" i="14"/>
  <c r="AM8" i="2" s="1"/>
  <c r="S8" i="2" s="1"/>
  <c r="C8" i="14"/>
  <c r="AM15" i="2" s="1"/>
  <c r="C7" i="14"/>
  <c r="C5" i="14"/>
  <c r="C37" i="3"/>
  <c r="C34" i="3"/>
  <c r="C33" i="3"/>
  <c r="C32" i="3"/>
  <c r="D25" i="3"/>
  <c r="C25" i="3"/>
  <c r="C24" i="3"/>
  <c r="D23" i="3"/>
  <c r="C23" i="3"/>
  <c r="D21" i="3"/>
  <c r="C21" i="3"/>
  <c r="C20" i="3"/>
  <c r="D20" i="3" s="1"/>
  <c r="D19" i="3"/>
  <c r="C19" i="3"/>
  <c r="C18" i="3"/>
  <c r="D18" i="3" s="1"/>
  <c r="D17" i="3"/>
  <c r="C17" i="3"/>
  <c r="C16" i="3"/>
  <c r="D16" i="3" s="1"/>
  <c r="D15" i="3"/>
  <c r="C15" i="3"/>
  <c r="D14" i="3"/>
  <c r="C13" i="3"/>
  <c r="D13" i="3" s="1"/>
  <c r="C12" i="3"/>
  <c r="D12" i="3" s="1"/>
  <c r="D11" i="3"/>
  <c r="C11" i="3"/>
  <c r="C9" i="3"/>
  <c r="D9" i="3" s="1"/>
  <c r="C6" i="3"/>
  <c r="D6" i="3" s="1"/>
  <c r="C30" i="3" s="1"/>
  <c r="C5" i="3"/>
  <c r="C35" i="3" s="1"/>
  <c r="C4" i="3"/>
  <c r="D4" i="3" s="1"/>
  <c r="D3" i="3"/>
  <c r="C3" i="3"/>
  <c r="C2" i="3"/>
  <c r="D2" i="3" s="1"/>
  <c r="F39" i="2"/>
  <c r="D39" i="2"/>
  <c r="B39" i="2"/>
  <c r="F38" i="2"/>
  <c r="C38" i="2"/>
  <c r="F37" i="2"/>
  <c r="C37" i="2"/>
  <c r="F36" i="2"/>
  <c r="C36" i="2"/>
  <c r="AO29" i="2"/>
  <c r="AN29" i="2"/>
  <c r="AR27" i="2"/>
  <c r="AO27" i="2"/>
  <c r="AR26" i="2"/>
  <c r="AO26" i="2"/>
  <c r="AN26" i="2"/>
  <c r="AR23" i="2"/>
  <c r="B23" i="2"/>
  <c r="AR22" i="2"/>
  <c r="B22" i="2"/>
  <c r="AS19" i="2"/>
  <c r="AR19" i="2"/>
  <c r="S19" i="2"/>
  <c r="B19" i="2"/>
  <c r="AR18" i="2"/>
  <c r="AO18" i="2"/>
  <c r="AN18" i="2"/>
  <c r="AR16" i="2"/>
  <c r="AO16" i="2"/>
  <c r="B16" i="2"/>
  <c r="AU15" i="2"/>
  <c r="B15" i="2"/>
  <c r="AR14" i="2"/>
  <c r="C22" i="3" s="1"/>
  <c r="D22" i="3" s="1"/>
  <c r="AR13" i="2"/>
  <c r="C7" i="3" s="1"/>
  <c r="AO13" i="2"/>
  <c r="AN13" i="2"/>
  <c r="AR12" i="2"/>
  <c r="C8" i="3" s="1"/>
  <c r="D8" i="3" s="1"/>
  <c r="AO12" i="2"/>
  <c r="AN12" i="2"/>
  <c r="AS11" i="2"/>
  <c r="AM11" i="2"/>
  <c r="S11" i="2" s="1"/>
  <c r="B11" i="2" s="1"/>
  <c r="B16" i="12" s="1"/>
  <c r="AR10" i="2"/>
  <c r="AO10" i="2"/>
  <c r="AN10" i="2"/>
  <c r="AR9" i="2"/>
  <c r="AO9" i="2"/>
  <c r="AN9" i="2"/>
  <c r="AS8" i="2"/>
  <c r="AM9" i="12" s="1"/>
  <c r="AM10" i="12" s="1"/>
  <c r="AP9" i="4" s="1"/>
  <c r="AR7" i="2"/>
  <c r="C10" i="3" s="1"/>
  <c r="D10" i="3" s="1"/>
  <c r="AO7" i="2"/>
  <c r="AN7" i="2"/>
  <c r="AR6" i="2"/>
  <c r="AO6" i="2"/>
  <c r="AN6" i="2"/>
  <c r="AR5" i="2"/>
  <c r="AO5" i="2"/>
  <c r="AN5" i="2"/>
  <c r="AR4" i="2"/>
  <c r="AO4" i="2"/>
  <c r="AN4" i="2"/>
  <c r="AR3" i="2"/>
  <c r="AO3" i="2"/>
  <c r="AN3" i="2"/>
  <c r="AM89" i="7"/>
  <c r="AL89" i="7"/>
  <c r="AK89" i="7"/>
  <c r="AJ89" i="7"/>
  <c r="AI89" i="7"/>
  <c r="AH89" i="7"/>
  <c r="AG89" i="7"/>
  <c r="AF89" i="7"/>
  <c r="AE89" i="7"/>
  <c r="AD89" i="7"/>
  <c r="AM88" i="7"/>
  <c r="AL88" i="7"/>
  <c r="AK88" i="7"/>
  <c r="AJ88" i="7"/>
  <c r="AI88" i="7"/>
  <c r="AH88" i="7"/>
  <c r="AG88" i="7"/>
  <c r="AF88" i="7"/>
  <c r="AE88" i="7"/>
  <c r="AD88" i="7"/>
  <c r="AC88" i="7"/>
  <c r="AM87" i="7"/>
  <c r="AL87" i="7"/>
  <c r="AK87" i="7"/>
  <c r="AJ87" i="7"/>
  <c r="AI87" i="7"/>
  <c r="AH87" i="7"/>
  <c r="AG87" i="7"/>
  <c r="AF87" i="7"/>
  <c r="AE87" i="7"/>
  <c r="AD87" i="7"/>
  <c r="AC87" i="7"/>
  <c r="AB87" i="7"/>
  <c r="AM86" i="7"/>
  <c r="AL86" i="7"/>
  <c r="AK86" i="7"/>
  <c r="AJ86" i="7"/>
  <c r="AI86" i="7"/>
  <c r="AH86" i="7"/>
  <c r="AG86" i="7"/>
  <c r="AF86" i="7"/>
  <c r="AE86" i="7"/>
  <c r="AD86" i="7"/>
  <c r="AC86" i="7"/>
  <c r="AB86" i="7"/>
  <c r="AA86" i="7"/>
  <c r="AM85" i="7"/>
  <c r="AL85" i="7"/>
  <c r="AK85" i="7"/>
  <c r="AJ85" i="7"/>
  <c r="AI85" i="7"/>
  <c r="AH85" i="7"/>
  <c r="AG85" i="7"/>
  <c r="AF85" i="7"/>
  <c r="AE85" i="7"/>
  <c r="AD85" i="7"/>
  <c r="AC85" i="7"/>
  <c r="AB85" i="7"/>
  <c r="AA85" i="7"/>
  <c r="Z85" i="7"/>
  <c r="AM84" i="7"/>
  <c r="AL84" i="7"/>
  <c r="AK84" i="7"/>
  <c r="AJ84" i="7"/>
  <c r="AI84" i="7"/>
  <c r="AH84" i="7"/>
  <c r="AG84" i="7"/>
  <c r="AF84" i="7"/>
  <c r="AE84" i="7"/>
  <c r="AD84" i="7"/>
  <c r="AC84" i="7"/>
  <c r="AB84" i="7"/>
  <c r="AA84" i="7"/>
  <c r="Z84" i="7"/>
  <c r="Y84" i="7"/>
  <c r="AM83" i="7"/>
  <c r="AL83" i="7"/>
  <c r="AK83" i="7"/>
  <c r="AJ83" i="7"/>
  <c r="AI83" i="7"/>
  <c r="AH83" i="7"/>
  <c r="AG83" i="7"/>
  <c r="AF83" i="7"/>
  <c r="AE83" i="7"/>
  <c r="AD83" i="7"/>
  <c r="AC83" i="7"/>
  <c r="AB83" i="7"/>
  <c r="AA83" i="7"/>
  <c r="Z83" i="7"/>
  <c r="Y83" i="7"/>
  <c r="X83" i="7"/>
  <c r="AM82" i="7"/>
  <c r="AL82" i="7"/>
  <c r="AK82" i="7"/>
  <c r="AJ82" i="7"/>
  <c r="AI82" i="7"/>
  <c r="AH82" i="7"/>
  <c r="AG82" i="7"/>
  <c r="AF82" i="7"/>
  <c r="AE82" i="7"/>
  <c r="AD82" i="7"/>
  <c r="AC82" i="7"/>
  <c r="AB82" i="7"/>
  <c r="AA82" i="7"/>
  <c r="Z82" i="7"/>
  <c r="Y82" i="7"/>
  <c r="X82" i="7"/>
  <c r="W82" i="7"/>
  <c r="AM81" i="7"/>
  <c r="AL81" i="7"/>
  <c r="AK81" i="7"/>
  <c r="AJ81" i="7"/>
  <c r="AI81" i="7"/>
  <c r="AH81" i="7"/>
  <c r="AG81" i="7"/>
  <c r="AF81" i="7"/>
  <c r="AE81" i="7"/>
  <c r="AD81" i="7"/>
  <c r="AC81" i="7"/>
  <c r="AB81" i="7"/>
  <c r="AA81" i="7"/>
  <c r="Z81" i="7"/>
  <c r="Y81" i="7"/>
  <c r="X81" i="7"/>
  <c r="W81" i="7"/>
  <c r="V81" i="7"/>
  <c r="AM80" i="7"/>
  <c r="AL80" i="7"/>
  <c r="AK80" i="7"/>
  <c r="AJ80" i="7"/>
  <c r="AI80" i="7"/>
  <c r="AH80" i="7"/>
  <c r="AG80" i="7"/>
  <c r="AF80" i="7"/>
  <c r="AE80" i="7"/>
  <c r="AD80" i="7"/>
  <c r="AC80" i="7"/>
  <c r="AB80" i="7"/>
  <c r="AA80" i="7"/>
  <c r="Z80" i="7"/>
  <c r="Y80" i="7"/>
  <c r="X80" i="7"/>
  <c r="W80" i="7"/>
  <c r="V80" i="7"/>
  <c r="U80" i="7"/>
  <c r="AM79" i="7"/>
  <c r="AL79" i="7"/>
  <c r="AK79" i="7"/>
  <c r="AJ79" i="7"/>
  <c r="AI79" i="7"/>
  <c r="AH79" i="7"/>
  <c r="AG79" i="7"/>
  <c r="AF79" i="7"/>
  <c r="AE79" i="7"/>
  <c r="AD79" i="7"/>
  <c r="AC79" i="7"/>
  <c r="AB79" i="7"/>
  <c r="AA79" i="7"/>
  <c r="Z79" i="7"/>
  <c r="Y79" i="7"/>
  <c r="X79" i="7"/>
  <c r="W79" i="7"/>
  <c r="V79" i="7"/>
  <c r="U79" i="7"/>
  <c r="T79" i="7"/>
  <c r="AM78" i="7"/>
  <c r="AL78" i="7"/>
  <c r="AK78" i="7"/>
  <c r="AJ78" i="7"/>
  <c r="AI78" i="7"/>
  <c r="AH78" i="7"/>
  <c r="AG78" i="7"/>
  <c r="AF78" i="7"/>
  <c r="AE78" i="7"/>
  <c r="AD78" i="7"/>
  <c r="AC78" i="7"/>
  <c r="AB78" i="7"/>
  <c r="AA78" i="7"/>
  <c r="Z78" i="7"/>
  <c r="Y78" i="7"/>
  <c r="X78" i="7"/>
  <c r="W78" i="7"/>
  <c r="V78" i="7"/>
  <c r="U78" i="7"/>
  <c r="T78" i="7"/>
  <c r="S78" i="7"/>
  <c r="AM77" i="7"/>
  <c r="AL77" i="7"/>
  <c r="AK77" i="7"/>
  <c r="AJ77" i="7"/>
  <c r="AI77" i="7"/>
  <c r="AH77" i="7"/>
  <c r="AG77" i="7"/>
  <c r="AF77" i="7"/>
  <c r="AE77" i="7"/>
  <c r="AD77" i="7"/>
  <c r="AC77" i="7"/>
  <c r="AB77" i="7"/>
  <c r="AA77" i="7"/>
  <c r="Z77" i="7"/>
  <c r="Y77" i="7"/>
  <c r="X77" i="7"/>
  <c r="W77" i="7"/>
  <c r="V77" i="7"/>
  <c r="U77" i="7"/>
  <c r="T77" i="7"/>
  <c r="S77" i="7"/>
  <c r="R77" i="7"/>
  <c r="AM76" i="7"/>
  <c r="AL76" i="7"/>
  <c r="AK76" i="7"/>
  <c r="AJ76" i="7"/>
  <c r="AI76" i="7"/>
  <c r="AH76" i="7"/>
  <c r="AG76" i="7"/>
  <c r="AF76" i="7"/>
  <c r="AE76" i="7"/>
  <c r="AD76" i="7"/>
  <c r="AC76" i="7"/>
  <c r="AB76" i="7"/>
  <c r="AA76" i="7"/>
  <c r="Z76" i="7"/>
  <c r="Y76" i="7"/>
  <c r="X76" i="7"/>
  <c r="W76" i="7"/>
  <c r="V76" i="7"/>
  <c r="U76" i="7"/>
  <c r="T76" i="7"/>
  <c r="S76" i="7"/>
  <c r="R76" i="7"/>
  <c r="Q76" i="7"/>
  <c r="AM75" i="7"/>
  <c r="AL75" i="7"/>
  <c r="AK75" i="7"/>
  <c r="AJ75" i="7"/>
  <c r="AI75" i="7"/>
  <c r="AH75" i="7"/>
  <c r="AG75" i="7"/>
  <c r="AF75" i="7"/>
  <c r="AE75" i="7"/>
  <c r="AD75" i="7"/>
  <c r="AC75" i="7"/>
  <c r="AB75" i="7"/>
  <c r="AA75" i="7"/>
  <c r="Z75" i="7"/>
  <c r="Y75" i="7"/>
  <c r="X75" i="7"/>
  <c r="W75" i="7"/>
  <c r="V75" i="7"/>
  <c r="U75" i="7"/>
  <c r="T75" i="7"/>
  <c r="S75" i="7"/>
  <c r="R75" i="7"/>
  <c r="Q75" i="7"/>
  <c r="P75" i="7"/>
  <c r="AM74" i="7"/>
  <c r="AL74" i="7"/>
  <c r="AK74" i="7"/>
  <c r="AJ74" i="7"/>
  <c r="AI74" i="7"/>
  <c r="AH74" i="7"/>
  <c r="AG74" i="7"/>
  <c r="AF74" i="7"/>
  <c r="AE74" i="7"/>
  <c r="AD74" i="7"/>
  <c r="AC74" i="7"/>
  <c r="AB74" i="7"/>
  <c r="AA74" i="7"/>
  <c r="Z74" i="7"/>
  <c r="Y74" i="7"/>
  <c r="X74" i="7"/>
  <c r="W74" i="7"/>
  <c r="V74" i="7"/>
  <c r="U74" i="7"/>
  <c r="T74" i="7"/>
  <c r="S74" i="7"/>
  <c r="R74" i="7"/>
  <c r="Q74" i="7"/>
  <c r="P74" i="7"/>
  <c r="O74" i="7"/>
  <c r="AM73" i="7"/>
  <c r="AL73" i="7"/>
  <c r="AK73" i="7"/>
  <c r="AJ73" i="7"/>
  <c r="AI73" i="7"/>
  <c r="AH73" i="7"/>
  <c r="AG73" i="7"/>
  <c r="AF73" i="7"/>
  <c r="AE73" i="7"/>
  <c r="AD73" i="7"/>
  <c r="AC73" i="7"/>
  <c r="AB73" i="7"/>
  <c r="AA73" i="7"/>
  <c r="Z73" i="7"/>
  <c r="Y73" i="7"/>
  <c r="X73" i="7"/>
  <c r="W73" i="7"/>
  <c r="V73" i="7"/>
  <c r="U73" i="7"/>
  <c r="T73" i="7"/>
  <c r="S73" i="7"/>
  <c r="R73" i="7"/>
  <c r="Q73" i="7"/>
  <c r="P73" i="7"/>
  <c r="O73" i="7"/>
  <c r="N73" i="7"/>
  <c r="AM72" i="7"/>
  <c r="AL72" i="7"/>
  <c r="AK72" i="7"/>
  <c r="AJ72" i="7"/>
  <c r="AI72" i="7"/>
  <c r="AH72" i="7"/>
  <c r="AG72" i="7"/>
  <c r="AF72" i="7"/>
  <c r="AE72" i="7"/>
  <c r="AD72" i="7"/>
  <c r="AC72" i="7"/>
  <c r="AB72" i="7"/>
  <c r="AA72" i="7"/>
  <c r="Z72" i="7"/>
  <c r="Y72" i="7"/>
  <c r="X72" i="7"/>
  <c r="W72" i="7"/>
  <c r="V72" i="7"/>
  <c r="U72" i="7"/>
  <c r="T72" i="7"/>
  <c r="S72" i="7"/>
  <c r="R72" i="7"/>
  <c r="Q72" i="7"/>
  <c r="P72" i="7"/>
  <c r="O72" i="7"/>
  <c r="N72" i="7"/>
  <c r="M72" i="7"/>
  <c r="AM71" i="7"/>
  <c r="AL71" i="7"/>
  <c r="AK71" i="7"/>
  <c r="AJ71" i="7"/>
  <c r="AI71" i="7"/>
  <c r="AH71" i="7"/>
  <c r="AG71" i="7"/>
  <c r="AF71" i="7"/>
  <c r="AE71" i="7"/>
  <c r="AD71" i="7"/>
  <c r="AC71" i="7"/>
  <c r="AB71" i="7"/>
  <c r="AA71" i="7"/>
  <c r="Z71" i="7"/>
  <c r="Y71" i="7"/>
  <c r="X71" i="7"/>
  <c r="W71" i="7"/>
  <c r="V71" i="7"/>
  <c r="U71" i="7"/>
  <c r="T71" i="7"/>
  <c r="S71" i="7"/>
  <c r="R71" i="7"/>
  <c r="Q71" i="7"/>
  <c r="P71" i="7"/>
  <c r="O71" i="7"/>
  <c r="N71" i="7"/>
  <c r="M71" i="7"/>
  <c r="L71" i="7"/>
  <c r="AM70" i="7"/>
  <c r="AL70" i="7"/>
  <c r="AK70" i="7"/>
  <c r="AJ70" i="7"/>
  <c r="AI70" i="7"/>
  <c r="AH70" i="7"/>
  <c r="AG70" i="7"/>
  <c r="AF70" i="7"/>
  <c r="AE70" i="7"/>
  <c r="AD70" i="7"/>
  <c r="AC70" i="7"/>
  <c r="AB70" i="7"/>
  <c r="AA70" i="7"/>
  <c r="Z70" i="7"/>
  <c r="Y70" i="7"/>
  <c r="X70" i="7"/>
  <c r="W70" i="7"/>
  <c r="V70" i="7"/>
  <c r="U70" i="7"/>
  <c r="T70" i="7"/>
  <c r="S70" i="7"/>
  <c r="R70" i="7"/>
  <c r="Q70" i="7"/>
  <c r="P70" i="7"/>
  <c r="O70" i="7"/>
  <c r="N70" i="7"/>
  <c r="M70" i="7"/>
  <c r="L70" i="7"/>
  <c r="K70" i="7"/>
  <c r="AM69" i="7"/>
  <c r="AL69"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J69" i="7"/>
  <c r="AM66" i="7"/>
  <c r="AM61" i="7" s="1"/>
  <c r="AM63" i="7"/>
  <c r="B62" i="7"/>
  <c r="AM60" i="7"/>
  <c r="AL60" i="7"/>
  <c r="AK60" i="7"/>
  <c r="AJ60" i="7"/>
  <c r="AI60" i="7"/>
  <c r="AH60" i="7"/>
  <c r="AG60" i="7"/>
  <c r="AF60" i="7"/>
  <c r="AE60" i="7"/>
  <c r="AD60" i="7"/>
  <c r="AC60" i="7"/>
  <c r="AB60" i="7"/>
  <c r="AA60" i="7"/>
  <c r="Z60" i="7"/>
  <c r="Y60" i="7"/>
  <c r="X60" i="7"/>
  <c r="W60" i="7"/>
  <c r="V60" i="7"/>
  <c r="U60" i="7"/>
  <c r="T60" i="7"/>
  <c r="S60" i="7"/>
  <c r="R60" i="7"/>
  <c r="Q60" i="7"/>
  <c r="P60" i="7"/>
  <c r="O60" i="7"/>
  <c r="N60" i="7"/>
  <c r="M60" i="7"/>
  <c r="L60" i="7"/>
  <c r="K60" i="7"/>
  <c r="J60" i="7"/>
  <c r="I60" i="7"/>
  <c r="H60" i="7"/>
  <c r="G60" i="7"/>
  <c r="F60" i="7"/>
  <c r="E60" i="7"/>
  <c r="D60" i="7"/>
  <c r="C60" i="7"/>
  <c r="B60" i="7"/>
  <c r="AD59" i="7"/>
  <c r="AC59" i="7"/>
  <c r="AB59" i="7"/>
  <c r="AA59" i="7"/>
  <c r="Z59" i="7"/>
  <c r="Y59" i="7"/>
  <c r="X59" i="7"/>
  <c r="W59" i="7"/>
  <c r="V59" i="7"/>
  <c r="U59" i="7"/>
  <c r="T59" i="7"/>
  <c r="S59" i="7"/>
  <c r="R59" i="7"/>
  <c r="Q59" i="7"/>
  <c r="P59" i="7"/>
  <c r="O59" i="7"/>
  <c r="N59" i="7"/>
  <c r="M59" i="7"/>
  <c r="L59" i="7"/>
  <c r="K59" i="7"/>
  <c r="J59" i="7"/>
  <c r="I59" i="7"/>
  <c r="H59" i="7"/>
  <c r="G59" i="7"/>
  <c r="F59" i="7"/>
  <c r="E59" i="7"/>
  <c r="D59" i="7"/>
  <c r="C59" i="7"/>
  <c r="AM58" i="7"/>
  <c r="AM57" i="7"/>
  <c r="S57" i="7"/>
  <c r="S66" i="7" s="1"/>
  <c r="B57" i="7"/>
  <c r="B66" i="7" s="1"/>
  <c r="B63" i="7" s="1"/>
  <c r="AM56" i="7"/>
  <c r="AL52" i="7"/>
  <c r="AK52" i="7"/>
  <c r="AJ52" i="7"/>
  <c r="AI52" i="7"/>
  <c r="AH52" i="7"/>
  <c r="AG52" i="7"/>
  <c r="AF52" i="7"/>
  <c r="AE52" i="7"/>
  <c r="AD52" i="7"/>
  <c r="AC52" i="7"/>
  <c r="AB52" i="7"/>
  <c r="AA52" i="7"/>
  <c r="Z52" i="7"/>
  <c r="Y52" i="7"/>
  <c r="X52" i="7"/>
  <c r="W52" i="7"/>
  <c r="V52" i="7"/>
  <c r="U52" i="7"/>
  <c r="T52" i="7"/>
  <c r="S52" i="7"/>
  <c r="R52" i="7"/>
  <c r="Q52" i="7"/>
  <c r="AM51" i="7"/>
  <c r="AP41" i="1" s="1"/>
  <c r="AM25" i="17" s="1"/>
  <c r="AM50" i="7"/>
  <c r="AM49" i="7" s="1"/>
  <c r="Y50" i="7"/>
  <c r="Y51" i="7" s="1"/>
  <c r="Q50" i="7"/>
  <c r="Q51" i="7" s="1"/>
  <c r="T41" i="1" s="1"/>
  <c r="AM48" i="7"/>
  <c r="AL48" i="7"/>
  <c r="AK48" i="7"/>
  <c r="AJ48" i="7"/>
  <c r="AI48" i="7"/>
  <c r="AH48" i="7"/>
  <c r="AG48" i="7"/>
  <c r="AF48" i="7"/>
  <c r="AE48" i="7"/>
  <c r="AD48" i="7"/>
  <c r="AC48" i="7"/>
  <c r="AB48" i="7"/>
  <c r="AA48" i="7"/>
  <c r="Z48" i="7"/>
  <c r="Y48" i="7"/>
  <c r="X48" i="7"/>
  <c r="W48" i="7"/>
  <c r="V48" i="7"/>
  <c r="U48" i="7"/>
  <c r="T48" i="7"/>
  <c r="S48" i="7"/>
  <c r="R48" i="7"/>
  <c r="AM47" i="7"/>
  <c r="AL47" i="7"/>
  <c r="AK47" i="7"/>
  <c r="AJ47" i="7"/>
  <c r="AI47" i="7"/>
  <c r="AH47" i="7"/>
  <c r="AG47" i="7"/>
  <c r="AF47" i="7"/>
  <c r="AE47" i="7"/>
  <c r="AD47" i="7"/>
  <c r="AC47" i="7"/>
  <c r="AB47" i="7"/>
  <c r="AA47" i="7"/>
  <c r="Z47" i="7"/>
  <c r="Y47" i="7"/>
  <c r="X47" i="7"/>
  <c r="W47" i="7"/>
  <c r="V47" i="7"/>
  <c r="U47" i="7"/>
  <c r="T47" i="7"/>
  <c r="S47" i="7"/>
  <c r="R47" i="7"/>
  <c r="Q47" i="7"/>
  <c r="AD29" i="7"/>
  <c r="AC29" i="7"/>
  <c r="AB29" i="7"/>
  <c r="AA29" i="7"/>
  <c r="Z29" i="7"/>
  <c r="Y29" i="7"/>
  <c r="X29" i="7"/>
  <c r="W29" i="7"/>
  <c r="V29" i="7"/>
  <c r="U29" i="7"/>
  <c r="T29" i="7"/>
  <c r="S29" i="7"/>
  <c r="R29" i="7"/>
  <c r="Q29" i="7"/>
  <c r="P29" i="7"/>
  <c r="O29" i="7"/>
  <c r="N29" i="7"/>
  <c r="L29" i="7"/>
  <c r="K29" i="7"/>
  <c r="J29" i="7"/>
  <c r="I29" i="7"/>
  <c r="H29" i="7"/>
  <c r="G29" i="7"/>
  <c r="F29" i="7"/>
  <c r="E29" i="7"/>
  <c r="D29" i="7"/>
  <c r="C29" i="7"/>
  <c r="B29" i="7"/>
  <c r="AM27" i="7"/>
  <c r="AM30" i="7" s="1"/>
  <c r="AM26" i="7"/>
  <c r="AM25" i="7"/>
  <c r="S25" i="7"/>
  <c r="B25" i="7"/>
  <c r="AD24" i="7"/>
  <c r="AC24" i="7"/>
  <c r="AB24" i="7"/>
  <c r="AA24" i="7"/>
  <c r="Z24" i="7"/>
  <c r="Y24" i="7"/>
  <c r="X24" i="7"/>
  <c r="W24" i="7"/>
  <c r="V24" i="7"/>
  <c r="U24" i="7"/>
  <c r="T24" i="7"/>
  <c r="S24" i="7"/>
  <c r="R24" i="7"/>
  <c r="Q24" i="7"/>
  <c r="P24" i="7"/>
  <c r="O24" i="7"/>
  <c r="L24" i="7"/>
  <c r="K24" i="7"/>
  <c r="J24" i="7"/>
  <c r="I24" i="7"/>
  <c r="H24" i="7"/>
  <c r="G24" i="7"/>
  <c r="F24" i="7"/>
  <c r="E24" i="7"/>
  <c r="D24" i="7"/>
  <c r="C24" i="7"/>
  <c r="AM23" i="7"/>
  <c r="M23" i="7"/>
  <c r="M30" i="7" s="1"/>
  <c r="M31" i="7" s="1"/>
  <c r="M64" i="7" s="1"/>
  <c r="M65" i="7" s="1"/>
  <c r="P36" i="1" s="1"/>
  <c r="M5" i="17" s="1"/>
  <c r="AM15" i="7"/>
  <c r="AM18" i="7" s="1"/>
  <c r="AP33" i="1" s="1"/>
  <c r="AM14" i="7"/>
  <c r="AM13" i="7"/>
  <c r="S13" i="7"/>
  <c r="S14" i="7" s="1"/>
  <c r="S15" i="7" s="1"/>
  <c r="B13" i="7"/>
  <c r="AM11" i="7"/>
  <c r="AE11" i="7"/>
  <c r="M11" i="7"/>
  <c r="AM117" i="12"/>
  <c r="AM113" i="12"/>
  <c r="S113" i="12"/>
  <c r="B113" i="12"/>
  <c r="AM112" i="12"/>
  <c r="AL112" i="12"/>
  <c r="AK112" i="12"/>
  <c r="AJ112" i="12"/>
  <c r="AI112" i="12"/>
  <c r="AH112" i="12"/>
  <c r="AG112" i="12"/>
  <c r="AF112" i="12"/>
  <c r="AE112" i="12"/>
  <c r="AD112" i="12"/>
  <c r="AC112" i="12"/>
  <c r="AB112" i="12"/>
  <c r="AA112" i="12"/>
  <c r="Z112" i="12"/>
  <c r="Y112" i="12"/>
  <c r="X112" i="12"/>
  <c r="W112" i="12"/>
  <c r="V112" i="12"/>
  <c r="U112" i="12"/>
  <c r="T112" i="12"/>
  <c r="S112" i="12"/>
  <c r="R112" i="12"/>
  <c r="Q112" i="12"/>
  <c r="P112" i="12"/>
  <c r="O112" i="12"/>
  <c r="N112" i="12"/>
  <c r="M112" i="12"/>
  <c r="L112" i="12"/>
  <c r="K112" i="12"/>
  <c r="J112" i="12"/>
  <c r="I112" i="12"/>
  <c r="H112" i="12"/>
  <c r="G112" i="12"/>
  <c r="F112" i="12"/>
  <c r="E112" i="12"/>
  <c r="D112" i="12"/>
  <c r="C112" i="12"/>
  <c r="B112" i="12"/>
  <c r="AM104" i="12"/>
  <c r="AP46" i="4" s="1"/>
  <c r="S102" i="12"/>
  <c r="B102" i="12"/>
  <c r="AM100" i="12"/>
  <c r="S100" i="12"/>
  <c r="B100" i="12"/>
  <c r="AM99" i="12"/>
  <c r="AL99" i="12"/>
  <c r="AK99" i="12"/>
  <c r="AJ99" i="12"/>
  <c r="AI99" i="12"/>
  <c r="AH99" i="12"/>
  <c r="AG99" i="12"/>
  <c r="AF99" i="12"/>
  <c r="AE99" i="12"/>
  <c r="AD99" i="12"/>
  <c r="AC99" i="12"/>
  <c r="AB99" i="12"/>
  <c r="AA99" i="12"/>
  <c r="Z99" i="12"/>
  <c r="Y99" i="12"/>
  <c r="X99" i="12"/>
  <c r="W99" i="12"/>
  <c r="V99" i="12"/>
  <c r="U99" i="12"/>
  <c r="T99" i="12"/>
  <c r="S99" i="12"/>
  <c r="R99" i="12"/>
  <c r="Q99" i="12"/>
  <c r="P99" i="12"/>
  <c r="O99" i="12"/>
  <c r="N99" i="12"/>
  <c r="M99" i="12"/>
  <c r="L99" i="12"/>
  <c r="K99" i="12"/>
  <c r="J99" i="12"/>
  <c r="I99" i="12"/>
  <c r="H99" i="12"/>
  <c r="G99" i="12"/>
  <c r="F99" i="12"/>
  <c r="E99" i="12"/>
  <c r="D99" i="12"/>
  <c r="C99" i="12"/>
  <c r="B99" i="12"/>
  <c r="AM78" i="12"/>
  <c r="S78" i="12"/>
  <c r="B78" i="12"/>
  <c r="B77" i="12"/>
  <c r="AM70" i="12"/>
  <c r="AM71" i="12" s="1"/>
  <c r="AP33" i="4" s="1"/>
  <c r="AM66" i="12"/>
  <c r="S66" i="12"/>
  <c r="B66" i="12"/>
  <c r="AM65" i="12"/>
  <c r="AL65" i="12"/>
  <c r="AK65" i="12"/>
  <c r="AJ65" i="12"/>
  <c r="AI65" i="12"/>
  <c r="AH65" i="12"/>
  <c r="AG65" i="12"/>
  <c r="AF65" i="12"/>
  <c r="AE65" i="12"/>
  <c r="AD65" i="12"/>
  <c r="AC65" i="12"/>
  <c r="AB65" i="12"/>
  <c r="AA65" i="12"/>
  <c r="Z65" i="12"/>
  <c r="Y65" i="12"/>
  <c r="X65" i="12"/>
  <c r="W65" i="12"/>
  <c r="V65" i="12"/>
  <c r="U65" i="12"/>
  <c r="T65" i="12"/>
  <c r="S65" i="12"/>
  <c r="R65" i="12"/>
  <c r="Q65" i="12"/>
  <c r="P65" i="12"/>
  <c r="O65" i="12"/>
  <c r="N65" i="12"/>
  <c r="M65" i="12"/>
  <c r="L65" i="12"/>
  <c r="K65" i="12"/>
  <c r="J65" i="12"/>
  <c r="I65" i="12"/>
  <c r="H65" i="12"/>
  <c r="G65" i="12"/>
  <c r="F65" i="12"/>
  <c r="E65" i="12"/>
  <c r="D65" i="12"/>
  <c r="C65" i="12"/>
  <c r="B65" i="12"/>
  <c r="AM59" i="12"/>
  <c r="AM60" i="12" s="1"/>
  <c r="AP29" i="4" s="1"/>
  <c r="AM57" i="12"/>
  <c r="P59" i="12" s="1"/>
  <c r="AM55" i="12"/>
  <c r="AL55" i="12"/>
  <c r="AK55" i="12"/>
  <c r="AJ55" i="12"/>
  <c r="AI55" i="12"/>
  <c r="AH55" i="12"/>
  <c r="AG55" i="12"/>
  <c r="AF55" i="12"/>
  <c r="AE55" i="12"/>
  <c r="AD55" i="12"/>
  <c r="AC55" i="12"/>
  <c r="AB55" i="12"/>
  <c r="AA55" i="12"/>
  <c r="Z55" i="12"/>
  <c r="Y55" i="12"/>
  <c r="X55" i="12"/>
  <c r="W55" i="12"/>
  <c r="V55" i="12"/>
  <c r="U55" i="12"/>
  <c r="T55" i="12"/>
  <c r="S55" i="12"/>
  <c r="R55" i="12"/>
  <c r="Q55" i="12"/>
  <c r="P55" i="12"/>
  <c r="O55" i="12"/>
  <c r="N55" i="12"/>
  <c r="M55" i="12"/>
  <c r="L55" i="12"/>
  <c r="K55" i="12"/>
  <c r="J55" i="12"/>
  <c r="I55" i="12"/>
  <c r="H55" i="12"/>
  <c r="G55" i="12"/>
  <c r="F55" i="12"/>
  <c r="E55" i="12"/>
  <c r="D55" i="12"/>
  <c r="C55" i="12"/>
  <c r="B55" i="12"/>
  <c r="AM54" i="12"/>
  <c r="AL54" i="12"/>
  <c r="AK54" i="12"/>
  <c r="AJ54" i="12"/>
  <c r="AI54" i="12"/>
  <c r="AH54" i="12"/>
  <c r="AG54" i="12"/>
  <c r="AF54" i="12"/>
  <c r="AE54" i="12"/>
  <c r="AD54" i="12"/>
  <c r="AC54" i="12"/>
  <c r="AB54" i="12"/>
  <c r="AA54" i="12"/>
  <c r="Z54" i="12"/>
  <c r="Y54" i="12"/>
  <c r="X54" i="12"/>
  <c r="W54" i="12"/>
  <c r="V54" i="12"/>
  <c r="U54" i="12"/>
  <c r="T54" i="12"/>
  <c r="S54" i="12"/>
  <c r="R54" i="12"/>
  <c r="Q54" i="12"/>
  <c r="P54" i="12"/>
  <c r="O54" i="12"/>
  <c r="N54" i="12"/>
  <c r="M54" i="12"/>
  <c r="L54" i="12"/>
  <c r="K54" i="12"/>
  <c r="J54" i="12"/>
  <c r="I54" i="12"/>
  <c r="H54" i="12"/>
  <c r="G54" i="12"/>
  <c r="F54" i="12"/>
  <c r="E54" i="12"/>
  <c r="D54" i="12"/>
  <c r="C54" i="12"/>
  <c r="B54" i="12"/>
  <c r="AM47" i="12"/>
  <c r="AP25" i="4" s="1"/>
  <c r="AM45" i="12"/>
  <c r="AL45" i="12" s="1"/>
  <c r="AI45" i="12"/>
  <c r="AH45" i="12"/>
  <c r="AE45" i="12"/>
  <c r="AA45" i="12"/>
  <c r="Z45" i="12"/>
  <c r="W45" i="12"/>
  <c r="V45" i="12"/>
  <c r="S45" i="12"/>
  <c r="R45" i="12"/>
  <c r="O45" i="12"/>
  <c r="N45" i="12"/>
  <c r="K45" i="12"/>
  <c r="J45" i="12"/>
  <c r="G45" i="12"/>
  <c r="F45" i="12"/>
  <c r="C45" i="12"/>
  <c r="B45" i="12"/>
  <c r="AM42" i="12"/>
  <c r="AL42" i="12"/>
  <c r="AK42" i="12"/>
  <c r="AJ42" i="12"/>
  <c r="AI42" i="12"/>
  <c r="AH42" i="12"/>
  <c r="AG42" i="12"/>
  <c r="AF42" i="12"/>
  <c r="AE42" i="12"/>
  <c r="AD42" i="12"/>
  <c r="AC42" i="12"/>
  <c r="AB42" i="12"/>
  <c r="AA42" i="12"/>
  <c r="Z42" i="12"/>
  <c r="Y42" i="12"/>
  <c r="X42" i="12"/>
  <c r="W42" i="12"/>
  <c r="V42" i="12"/>
  <c r="U42" i="12"/>
  <c r="T42" i="12"/>
  <c r="S42" i="12"/>
  <c r="R42" i="12"/>
  <c r="Q42" i="12"/>
  <c r="P42" i="12"/>
  <c r="O42" i="12"/>
  <c r="N42" i="12"/>
  <c r="M42" i="12"/>
  <c r="L42" i="12"/>
  <c r="K42" i="12"/>
  <c r="J42" i="12"/>
  <c r="I42" i="12"/>
  <c r="H42" i="12"/>
  <c r="G42" i="12"/>
  <c r="F42" i="12"/>
  <c r="E42" i="12"/>
  <c r="D42" i="12"/>
  <c r="C42" i="12"/>
  <c r="B42" i="12"/>
  <c r="AM41" i="12"/>
  <c r="AL41" i="12"/>
  <c r="AK41" i="12"/>
  <c r="AJ41" i="12"/>
  <c r="AI41" i="12"/>
  <c r="AH41" i="12"/>
  <c r="AG41" i="12"/>
  <c r="AF41" i="12"/>
  <c r="AE41" i="12"/>
  <c r="AD41" i="12"/>
  <c r="AC41" i="12"/>
  <c r="AB41" i="12"/>
  <c r="AA41" i="12"/>
  <c r="Z41" i="12"/>
  <c r="Y41" i="12"/>
  <c r="X41" i="12"/>
  <c r="W41" i="12"/>
  <c r="V41" i="12"/>
  <c r="U41" i="12"/>
  <c r="T41" i="12"/>
  <c r="S41" i="12"/>
  <c r="R41" i="12"/>
  <c r="Q41" i="12"/>
  <c r="P41" i="12"/>
  <c r="O41" i="12"/>
  <c r="N41" i="12"/>
  <c r="M41" i="12"/>
  <c r="L41" i="12"/>
  <c r="K41" i="12"/>
  <c r="J41" i="12"/>
  <c r="I41" i="12"/>
  <c r="H41" i="12"/>
  <c r="G41" i="12"/>
  <c r="F41" i="12"/>
  <c r="E41" i="12"/>
  <c r="D41" i="12"/>
  <c r="C41" i="12"/>
  <c r="B41" i="12"/>
  <c r="AM29" i="12"/>
  <c r="AM28" i="12"/>
  <c r="AL28" i="12"/>
  <c r="AK28" i="12"/>
  <c r="AJ28" i="12"/>
  <c r="AI28" i="12"/>
  <c r="AH28" i="12"/>
  <c r="AG28" i="12"/>
  <c r="AF28" i="12"/>
  <c r="AE28" i="12"/>
  <c r="AD28" i="12"/>
  <c r="AC28" i="12"/>
  <c r="AB28" i="12"/>
  <c r="AA28" i="12"/>
  <c r="Z28" i="12"/>
  <c r="Y28" i="12"/>
  <c r="X28" i="12"/>
  <c r="W28" i="12"/>
  <c r="V28" i="12"/>
  <c r="U28" i="12"/>
  <c r="T28" i="12"/>
  <c r="S28" i="12"/>
  <c r="R28" i="12"/>
  <c r="Q28" i="12"/>
  <c r="P28" i="12"/>
  <c r="O28" i="12"/>
  <c r="N28" i="12"/>
  <c r="M28" i="12"/>
  <c r="L28" i="12"/>
  <c r="K28" i="12"/>
  <c r="J28" i="12"/>
  <c r="I28" i="12"/>
  <c r="H28" i="12"/>
  <c r="G28" i="12"/>
  <c r="F28" i="12"/>
  <c r="E28" i="12"/>
  <c r="D28" i="12"/>
  <c r="C28" i="12"/>
  <c r="B28" i="12"/>
  <c r="S16" i="12"/>
  <c r="AM15" i="12"/>
  <c r="AL15" i="12"/>
  <c r="AK15" i="12"/>
  <c r="AJ15" i="12"/>
  <c r="AI15" i="12"/>
  <c r="AH15" i="12"/>
  <c r="AG15" i="12"/>
  <c r="AF15" i="12"/>
  <c r="AE15" i="12"/>
  <c r="AD15" i="12"/>
  <c r="AC15" i="12"/>
  <c r="AB15" i="12"/>
  <c r="AA15" i="12"/>
  <c r="Z15" i="12"/>
  <c r="Y15" i="12"/>
  <c r="X15" i="12"/>
  <c r="W15" i="12"/>
  <c r="V15" i="12"/>
  <c r="U15" i="12"/>
  <c r="T15" i="12"/>
  <c r="S15" i="12"/>
  <c r="R15" i="12"/>
  <c r="Q15" i="12"/>
  <c r="P15" i="12"/>
  <c r="O15" i="12"/>
  <c r="N15" i="12"/>
  <c r="M15" i="12"/>
  <c r="L15" i="12"/>
  <c r="B15" i="12"/>
  <c r="C17" i="12" s="1"/>
  <c r="D17" i="12" s="1"/>
  <c r="E17" i="12" s="1"/>
  <c r="F17" i="12" s="1"/>
  <c r="AM91" i="17"/>
  <c r="AM112" i="17" s="1"/>
  <c r="AL91" i="17"/>
  <c r="AI91" i="17"/>
  <c r="AI112" i="17" s="1"/>
  <c r="AH91" i="17"/>
  <c r="AH112" i="17" s="1"/>
  <c r="AE91" i="17"/>
  <c r="AE112" i="17" s="1"/>
  <c r="AD91" i="17"/>
  <c r="AD112" i="17" s="1"/>
  <c r="AA91" i="17"/>
  <c r="AA112" i="17" s="1"/>
  <c r="Z91" i="17"/>
  <c r="Z112" i="17" s="1"/>
  <c r="Z117" i="17" s="1"/>
  <c r="W91" i="17"/>
  <c r="W112" i="17" s="1"/>
  <c r="V91" i="17"/>
  <c r="V96" i="17" s="1"/>
  <c r="S91" i="17"/>
  <c r="S112" i="17" s="1"/>
  <c r="S117" i="17" s="1"/>
  <c r="R91" i="17"/>
  <c r="O91" i="17"/>
  <c r="O112" i="17" s="1"/>
  <c r="N91" i="17"/>
  <c r="N112" i="17" s="1"/>
  <c r="F91" i="17"/>
  <c r="F112" i="17" s="1"/>
  <c r="F117" i="17" s="1"/>
  <c r="E91" i="17"/>
  <c r="E112" i="17" s="1"/>
  <c r="D91" i="17"/>
  <c r="D112" i="17" s="1"/>
  <c r="C91" i="17"/>
  <c r="C96" i="17" s="1"/>
  <c r="C104" i="17" s="1"/>
  <c r="B91" i="17"/>
  <c r="B96" i="17" s="1"/>
  <c r="B104" i="17" s="1"/>
  <c r="AB41" i="1"/>
  <c r="AP32" i="1"/>
  <c r="AO32" i="1"/>
  <c r="AN32" i="1"/>
  <c r="AM32" i="1"/>
  <c r="AL32" i="1"/>
  <c r="AK32" i="1"/>
  <c r="AJ32" i="1"/>
  <c r="AI32" i="1"/>
  <c r="AH32" i="1"/>
  <c r="AG32" i="1"/>
  <c r="AF32" i="1"/>
  <c r="AE32" i="1"/>
  <c r="AD32" i="1"/>
  <c r="AC32" i="1"/>
  <c r="AB32" i="1"/>
  <c r="AA32" i="1"/>
  <c r="Z32" i="1"/>
  <c r="Y32" i="1"/>
  <c r="X32" i="1"/>
  <c r="W32" i="1"/>
  <c r="V32" i="1"/>
  <c r="U32" i="1"/>
  <c r="T32" i="1"/>
  <c r="S32" i="1"/>
  <c r="R32" i="1"/>
  <c r="Q32" i="1"/>
  <c r="P32" i="1"/>
  <c r="O32" i="1"/>
  <c r="N32" i="1"/>
  <c r="M32" i="1"/>
  <c r="L32" i="1"/>
  <c r="K32" i="1"/>
  <c r="J32" i="1"/>
  <c r="I32" i="1"/>
  <c r="H32" i="1"/>
  <c r="G32" i="1"/>
  <c r="F32" i="1"/>
  <c r="E32" i="1"/>
  <c r="D30" i="1"/>
  <c r="C30" i="1"/>
  <c r="B30" i="1"/>
  <c r="V27" i="1"/>
  <c r="AP26" i="1"/>
  <c r="V26" i="1"/>
  <c r="B26" i="1"/>
  <c r="AO23" i="1"/>
  <c r="AK23" i="1"/>
  <c r="AG23" i="1"/>
  <c r="AA23" i="1"/>
  <c r="Z23" i="1"/>
  <c r="Y23" i="1"/>
  <c r="X23" i="1"/>
  <c r="W23" i="1"/>
  <c r="V23" i="1"/>
  <c r="V20" i="1" s="1"/>
  <c r="U23" i="1"/>
  <c r="AP23" i="1" s="1"/>
  <c r="AP20" i="1" s="1"/>
  <c r="T23" i="1"/>
  <c r="S23" i="1"/>
  <c r="AN23" i="1" s="1"/>
  <c r="R23" i="1"/>
  <c r="Q23" i="1"/>
  <c r="AL23" i="1" s="1"/>
  <c r="P23" i="1"/>
  <c r="O23" i="1"/>
  <c r="AJ23" i="1" s="1"/>
  <c r="N23" i="1"/>
  <c r="M23" i="1"/>
  <c r="AH23" i="1" s="1"/>
  <c r="L23" i="1"/>
  <c r="K23" i="1"/>
  <c r="AF23" i="1" s="1"/>
  <c r="J23" i="1"/>
  <c r="I23" i="1"/>
  <c r="H23" i="1"/>
  <c r="AC23" i="1" s="1"/>
  <c r="G23" i="1"/>
  <c r="AB23" i="1" s="1"/>
  <c r="AF22" i="1"/>
  <c r="AF21" i="1" s="1"/>
  <c r="AE22" i="1"/>
  <c r="AE21" i="1" s="1"/>
  <c r="AD22" i="1"/>
  <c r="AD21" i="1" s="1"/>
  <c r="AC22" i="1"/>
  <c r="AC21" i="1" s="1"/>
  <c r="AB22" i="1"/>
  <c r="AB21" i="1" s="1"/>
  <c r="AA22" i="1"/>
  <c r="AA21" i="1" s="1"/>
  <c r="Z22" i="1"/>
  <c r="Z21" i="1" s="1"/>
  <c r="Y22" i="1"/>
  <c r="Y21" i="1" s="1"/>
  <c r="X22" i="1"/>
  <c r="X21" i="1" s="1"/>
  <c r="W22" i="1"/>
  <c r="W21" i="1" s="1"/>
  <c r="V22" i="1"/>
  <c r="V21" i="1" s="1"/>
  <c r="U22" i="1"/>
  <c r="U21" i="1" s="1"/>
  <c r="T22" i="1"/>
  <c r="T21" i="1" s="1"/>
  <c r="S22" i="1"/>
  <c r="S21" i="1" s="1"/>
  <c r="R22" i="1"/>
  <c r="R21" i="1" s="1"/>
  <c r="Q22" i="1"/>
  <c r="Q21" i="1" s="1"/>
  <c r="P22" i="1"/>
  <c r="P21" i="1" s="1"/>
  <c r="O22" i="1"/>
  <c r="O21" i="1" s="1"/>
  <c r="N22" i="1"/>
  <c r="N21" i="1" s="1"/>
  <c r="M22" i="1"/>
  <c r="M21" i="1" s="1"/>
  <c r="L22" i="1"/>
  <c r="L21" i="1" s="1"/>
  <c r="K22" i="1"/>
  <c r="K21" i="1" s="1"/>
  <c r="J22" i="1"/>
  <c r="J21" i="1" s="1"/>
  <c r="I22" i="1"/>
  <c r="I21" i="1" s="1"/>
  <c r="H22" i="1"/>
  <c r="H21" i="1" s="1"/>
  <c r="G22" i="1"/>
  <c r="G21" i="1" s="1"/>
  <c r="B20" i="1"/>
  <c r="E18" i="1"/>
  <c r="E17" i="1"/>
  <c r="E16" i="1"/>
  <c r="E11" i="1"/>
  <c r="E12" i="1" s="1"/>
  <c r="F12" i="1" s="1"/>
  <c r="G12" i="1" s="1"/>
  <c r="H12" i="1" s="1"/>
  <c r="I12" i="1" s="1"/>
  <c r="J12" i="1" s="1"/>
  <c r="K12" i="1" s="1"/>
  <c r="L12" i="1" s="1"/>
  <c r="M12" i="1" s="1"/>
  <c r="N12" i="1" s="1"/>
  <c r="O12" i="1" s="1"/>
  <c r="P12" i="1" s="1"/>
  <c r="Q12" i="1" s="1"/>
  <c r="R12" i="1" s="1"/>
  <c r="S12" i="1" s="1"/>
  <c r="T12" i="1" s="1"/>
  <c r="U12" i="1" s="1"/>
  <c r="V12" i="1" s="1"/>
  <c r="W12" i="1" s="1"/>
  <c r="X12" i="1" s="1"/>
  <c r="Y12" i="1" s="1"/>
  <c r="Z12" i="1" s="1"/>
  <c r="AA12" i="1" s="1"/>
  <c r="AB12" i="1" s="1"/>
  <c r="AC12" i="1" s="1"/>
  <c r="AD12" i="1" s="1"/>
  <c r="AE12" i="1" s="1"/>
  <c r="AF12" i="1" s="1"/>
  <c r="AG12" i="1" s="1"/>
  <c r="AH12" i="1" s="1"/>
  <c r="AI12" i="1" s="1"/>
  <c r="AJ12" i="1" s="1"/>
  <c r="AK12" i="1" s="1"/>
  <c r="AL12" i="1" s="1"/>
  <c r="AM12" i="1" s="1"/>
  <c r="AN12" i="1" s="1"/>
  <c r="AO12" i="1" s="1"/>
  <c r="AP12" i="1" s="1"/>
  <c r="AP9" i="1"/>
  <c r="AP4" i="1" s="1"/>
  <c r="AN9" i="1"/>
  <c r="AH9" i="1"/>
  <c r="T9" i="1"/>
  <c r="P9" i="1"/>
  <c r="V5" i="1"/>
  <c r="AN4" i="1"/>
  <c r="AH4" i="1"/>
  <c r="T4" i="1"/>
  <c r="P4" i="1"/>
  <c r="AP51" i="4"/>
  <c r="M24" i="7" l="1"/>
  <c r="N24" i="7"/>
  <c r="AD96" i="17"/>
  <c r="AD104" i="17" s="1"/>
  <c r="N96" i="17"/>
  <c r="N104" i="17" s="1"/>
  <c r="B29" i="12"/>
  <c r="S5" i="12"/>
  <c r="T8" i="2"/>
  <c r="U8" i="2" s="1"/>
  <c r="V8" i="2" s="1"/>
  <c r="W8" i="2" s="1"/>
  <c r="X8" i="2" s="1"/>
  <c r="Y8" i="2" s="1"/>
  <c r="Z8" i="2" s="1"/>
  <c r="AA8" i="2" s="1"/>
  <c r="AB8" i="2" s="1"/>
  <c r="AC8" i="2" s="1"/>
  <c r="AD8" i="2" s="1"/>
  <c r="AE8" i="2" s="1"/>
  <c r="AF8" i="2" s="1"/>
  <c r="AG8" i="2" s="1"/>
  <c r="AH8" i="2" s="1"/>
  <c r="AI8" i="2" s="1"/>
  <c r="AJ8" i="2" s="1"/>
  <c r="AK8" i="2" s="1"/>
  <c r="AL8" i="2" s="1"/>
  <c r="AM5" i="12"/>
  <c r="C28" i="3"/>
  <c r="V103" i="17"/>
  <c r="V102" i="17"/>
  <c r="AM96" i="17"/>
  <c r="AN96" i="17" s="1"/>
  <c r="P91" i="17"/>
  <c r="X91" i="17"/>
  <c r="AF91" i="17"/>
  <c r="AF112" i="17" s="1"/>
  <c r="C56" i="12"/>
  <c r="O117" i="17"/>
  <c r="C112" i="17"/>
  <c r="AP30" i="4"/>
  <c r="M91" i="17"/>
  <c r="Q91" i="17"/>
  <c r="U91" i="17"/>
  <c r="Y91" i="17"/>
  <c r="AC91" i="17"/>
  <c r="AG91" i="17"/>
  <c r="AG112" i="17" s="1"/>
  <c r="AK91" i="17"/>
  <c r="AK112" i="17" s="1"/>
  <c r="AL50" i="12"/>
  <c r="W96" i="17"/>
  <c r="W101" i="17" s="1"/>
  <c r="AA117" i="17"/>
  <c r="Z96" i="17"/>
  <c r="Z105" i="17" s="1"/>
  <c r="F96" i="17"/>
  <c r="F101" i="17" s="1"/>
  <c r="E96" i="17"/>
  <c r="E102" i="17" s="1"/>
  <c r="V112" i="17"/>
  <c r="V117" i="17" s="1"/>
  <c r="O96" i="17"/>
  <c r="O103" i="17" s="1"/>
  <c r="W117" i="17"/>
  <c r="L91" i="17"/>
  <c r="T91" i="17"/>
  <c r="AB91" i="17"/>
  <c r="AJ91" i="17"/>
  <c r="AJ112" i="17" s="1"/>
  <c r="AA96" i="17"/>
  <c r="AA104" i="17" s="1"/>
  <c r="S96" i="17"/>
  <c r="P60" i="12"/>
  <c r="S29" i="4" s="1"/>
  <c r="S30" i="4"/>
  <c r="AM26" i="17"/>
  <c r="AK59" i="12"/>
  <c r="AJ50" i="7"/>
  <c r="AF50" i="7"/>
  <c r="AB50" i="7"/>
  <c r="X50" i="7"/>
  <c r="T50" i="7"/>
  <c r="AI50" i="7"/>
  <c r="AE50" i="7"/>
  <c r="AA50" i="7"/>
  <c r="W50" i="7"/>
  <c r="S50" i="7"/>
  <c r="AP31" i="1"/>
  <c r="AB42" i="1"/>
  <c r="AM16" i="12"/>
  <c r="M59" i="12"/>
  <c r="M60" i="12" s="1"/>
  <c r="P29" i="4" s="1"/>
  <c r="R50" i="7"/>
  <c r="Z50" i="7"/>
  <c r="AH50" i="7"/>
  <c r="G38" i="2"/>
  <c r="E38" i="2" s="1"/>
  <c r="D7" i="3"/>
  <c r="AM19" i="7"/>
  <c r="S26" i="7"/>
  <c r="U50" i="7"/>
  <c r="AC50" i="7"/>
  <c r="AK50" i="7"/>
  <c r="G37" i="2"/>
  <c r="E37" i="2" s="1"/>
  <c r="D5" i="3"/>
  <c r="C36" i="3"/>
  <c r="D24" i="3"/>
  <c r="AF59" i="12"/>
  <c r="AF60" i="12" s="1"/>
  <c r="AI29" i="4" s="1"/>
  <c r="AB59" i="12"/>
  <c r="E59" i="12"/>
  <c r="X59" i="12"/>
  <c r="X60" i="12" s="1"/>
  <c r="AA29" i="4" s="1"/>
  <c r="D59" i="12"/>
  <c r="D60" i="12" s="1"/>
  <c r="G29" i="4" s="1"/>
  <c r="AG50" i="7"/>
  <c r="T42" i="1"/>
  <c r="AJ59" i="12"/>
  <c r="B14" i="7"/>
  <c r="B15" i="7" s="1"/>
  <c r="B18" i="7" s="1"/>
  <c r="V50" i="7"/>
  <c r="AD50" i="7"/>
  <c r="AL50" i="7"/>
  <c r="S63" i="7"/>
  <c r="B8" i="2"/>
  <c r="G36" i="2"/>
  <c r="AP28" i="4"/>
  <c r="AP42" i="1"/>
  <c r="AP40" i="1" s="1"/>
  <c r="V104" i="17"/>
  <c r="C117" i="17"/>
  <c r="C100" i="17"/>
  <c r="Z100" i="17"/>
  <c r="F100" i="17"/>
  <c r="AL49" i="12"/>
  <c r="AO26" i="4"/>
  <c r="AO5" i="4" s="1"/>
  <c r="AP34" i="4"/>
  <c r="AP32" i="4" s="1"/>
  <c r="F50" i="12"/>
  <c r="N50" i="12"/>
  <c r="V50" i="12"/>
  <c r="AD45" i="12"/>
  <c r="AD50" i="12" s="1"/>
  <c r="H59" i="12"/>
  <c r="T59" i="12"/>
  <c r="AC59" i="12"/>
  <c r="B50" i="12"/>
  <c r="J50" i="12"/>
  <c r="R50" i="12"/>
  <c r="Z50" i="12"/>
  <c r="AH50" i="12"/>
  <c r="C43" i="12"/>
  <c r="D43" i="12" s="1"/>
  <c r="E43" i="12" s="1"/>
  <c r="F43" i="12" s="1"/>
  <c r="G43" i="12" s="1"/>
  <c r="H43" i="12" s="1"/>
  <c r="I43" i="12" s="1"/>
  <c r="J43" i="12" s="1"/>
  <c r="K43" i="12" s="1"/>
  <c r="L43" i="12" s="1"/>
  <c r="M43" i="12" s="1"/>
  <c r="N43" i="12" s="1"/>
  <c r="O43" i="12" s="1"/>
  <c r="P43" i="12" s="1"/>
  <c r="Q43" i="12" s="1"/>
  <c r="R43" i="12" s="1"/>
  <c r="S43" i="12" s="1"/>
  <c r="T43" i="12" s="1"/>
  <c r="U43" i="12" s="1"/>
  <c r="V43" i="12" s="1"/>
  <c r="W43" i="12" s="1"/>
  <c r="X43" i="12" s="1"/>
  <c r="Y43" i="12" s="1"/>
  <c r="Z43" i="12" s="1"/>
  <c r="AA43" i="12" s="1"/>
  <c r="AB43" i="12" s="1"/>
  <c r="AC43" i="12" s="1"/>
  <c r="AD43" i="12" s="1"/>
  <c r="AE43" i="12" s="1"/>
  <c r="AF43" i="12" s="1"/>
  <c r="AG43" i="12" s="1"/>
  <c r="AH43" i="12" s="1"/>
  <c r="AI43" i="12" s="1"/>
  <c r="AJ43" i="12" s="1"/>
  <c r="AK43" i="12" s="1"/>
  <c r="AL43" i="12" s="1"/>
  <c r="AM43" i="12" s="1"/>
  <c r="C50" i="12"/>
  <c r="K50" i="12"/>
  <c r="S50" i="12"/>
  <c r="AA50" i="12"/>
  <c r="AI50" i="12"/>
  <c r="C67" i="12"/>
  <c r="D67" i="12" s="1"/>
  <c r="E67" i="12" s="1"/>
  <c r="F67" i="12" s="1"/>
  <c r="G67" i="12" s="1"/>
  <c r="H67" i="12" s="1"/>
  <c r="I67" i="12" s="1"/>
  <c r="J67" i="12" s="1"/>
  <c r="K67" i="12" s="1"/>
  <c r="L67" i="12" s="1"/>
  <c r="M67" i="12" s="1"/>
  <c r="N67" i="12" s="1"/>
  <c r="O67" i="12" s="1"/>
  <c r="P67" i="12" s="1"/>
  <c r="Q67" i="12" s="1"/>
  <c r="R67" i="12" s="1"/>
  <c r="S67" i="12" s="1"/>
  <c r="T67" i="12" s="1"/>
  <c r="U67" i="12" s="1"/>
  <c r="V67" i="12" s="1"/>
  <c r="W67" i="12" s="1"/>
  <c r="X67" i="12" s="1"/>
  <c r="Y67" i="12" s="1"/>
  <c r="Z67" i="12" s="1"/>
  <c r="AA67" i="12" s="1"/>
  <c r="AB67" i="12" s="1"/>
  <c r="AC67" i="12" s="1"/>
  <c r="AD67" i="12" s="1"/>
  <c r="AE67" i="12" s="1"/>
  <c r="AF67" i="12" s="1"/>
  <c r="AG67" i="12" s="1"/>
  <c r="AH67" i="12" s="1"/>
  <c r="AI67" i="12" s="1"/>
  <c r="AJ67" i="12" s="1"/>
  <c r="AK67" i="12" s="1"/>
  <c r="AL67" i="12" s="1"/>
  <c r="AM67" i="12" s="1"/>
  <c r="AM68" i="12"/>
  <c r="C101" i="12"/>
  <c r="D101" i="12" s="1"/>
  <c r="E101" i="12" s="1"/>
  <c r="F101" i="12" s="1"/>
  <c r="G101" i="12" s="1"/>
  <c r="H101" i="12" s="1"/>
  <c r="I101" i="12" s="1"/>
  <c r="J101" i="12" s="1"/>
  <c r="K101" i="12" s="1"/>
  <c r="L101" i="12" s="1"/>
  <c r="M101" i="12" s="1"/>
  <c r="N101" i="12" s="1"/>
  <c r="O101" i="12" s="1"/>
  <c r="P101" i="12" s="1"/>
  <c r="Q101" i="12" s="1"/>
  <c r="R101" i="12" s="1"/>
  <c r="S101" i="12" s="1"/>
  <c r="T101" i="12" s="1"/>
  <c r="U101" i="12" s="1"/>
  <c r="V101" i="12" s="1"/>
  <c r="W101" i="12" s="1"/>
  <c r="X101" i="12" s="1"/>
  <c r="Y101" i="12" s="1"/>
  <c r="Z101" i="12" s="1"/>
  <c r="AA101" i="12" s="1"/>
  <c r="AB101" i="12" s="1"/>
  <c r="AC101" i="12" s="1"/>
  <c r="AD101" i="12" s="1"/>
  <c r="AE101" i="12" s="1"/>
  <c r="AF101" i="12" s="1"/>
  <c r="AG101" i="12" s="1"/>
  <c r="AH101" i="12" s="1"/>
  <c r="AI101" i="12" s="1"/>
  <c r="AJ101" i="12" s="1"/>
  <c r="AK101" i="12" s="1"/>
  <c r="AL101" i="12" s="1"/>
  <c r="AM101" i="12" s="1"/>
  <c r="AM105" i="12"/>
  <c r="AP45" i="4" s="1"/>
  <c r="AP44" i="4" s="1"/>
  <c r="AP43" i="4" s="1"/>
  <c r="C6" i="12"/>
  <c r="D6" i="12" s="1"/>
  <c r="E6" i="12" s="1"/>
  <c r="F6" i="12" s="1"/>
  <c r="G6" i="12" s="1"/>
  <c r="H6" i="12" s="1"/>
  <c r="I6" i="12" s="1"/>
  <c r="J6" i="12" s="1"/>
  <c r="K6" i="12" s="1"/>
  <c r="L6" i="12" s="1"/>
  <c r="M6" i="12" s="1"/>
  <c r="N6" i="12" s="1"/>
  <c r="O6" i="12" s="1"/>
  <c r="P6" i="12" s="1"/>
  <c r="Q6" i="12" s="1"/>
  <c r="R6" i="12" s="1"/>
  <c r="S6" i="12" s="1"/>
  <c r="T6" i="12" s="1"/>
  <c r="U6" i="12" s="1"/>
  <c r="V6" i="12" s="1"/>
  <c r="W6" i="12" s="1"/>
  <c r="X6" i="12" s="1"/>
  <c r="Y6" i="12" s="1"/>
  <c r="Z6" i="12" s="1"/>
  <c r="AA6" i="12" s="1"/>
  <c r="AB6" i="12" s="1"/>
  <c r="AC6" i="12" s="1"/>
  <c r="AD6" i="12" s="1"/>
  <c r="AE6" i="12" s="1"/>
  <c r="AF6" i="12" s="1"/>
  <c r="AG6" i="12" s="1"/>
  <c r="AH6" i="12" s="1"/>
  <c r="AI6" i="12" s="1"/>
  <c r="AJ6" i="12" s="1"/>
  <c r="AK6" i="12" s="1"/>
  <c r="AL6" i="12" s="1"/>
  <c r="AM6" i="12" s="1"/>
  <c r="C30" i="12"/>
  <c r="D30" i="12" s="1"/>
  <c r="E30" i="12" s="1"/>
  <c r="F30" i="12" s="1"/>
  <c r="G30" i="12" s="1"/>
  <c r="H30" i="12" s="1"/>
  <c r="I30" i="12" s="1"/>
  <c r="J30" i="12" s="1"/>
  <c r="K30" i="12" s="1"/>
  <c r="L30" i="12" s="1"/>
  <c r="M30" i="12" s="1"/>
  <c r="N30" i="12" s="1"/>
  <c r="O30" i="12" s="1"/>
  <c r="P30" i="12" s="1"/>
  <c r="Q30" i="12" s="1"/>
  <c r="R30" i="12" s="1"/>
  <c r="S30" i="12" s="1"/>
  <c r="T30" i="12" s="1"/>
  <c r="U30" i="12" s="1"/>
  <c r="V30" i="12" s="1"/>
  <c r="W30" i="12" s="1"/>
  <c r="X30" i="12" s="1"/>
  <c r="Y30" i="12" s="1"/>
  <c r="Z30" i="12" s="1"/>
  <c r="AA30" i="12" s="1"/>
  <c r="AB30" i="12" s="1"/>
  <c r="AC30" i="12" s="1"/>
  <c r="AD30" i="12" s="1"/>
  <c r="AE30" i="12" s="1"/>
  <c r="AF30" i="12" s="1"/>
  <c r="AG30" i="12" s="1"/>
  <c r="AH30" i="12" s="1"/>
  <c r="AI30" i="12" s="1"/>
  <c r="AJ30" i="12" s="1"/>
  <c r="AK30" i="12" s="1"/>
  <c r="AL30" i="12" s="1"/>
  <c r="AM30" i="12" s="1"/>
  <c r="G50" i="12"/>
  <c r="O50" i="12"/>
  <c r="W50" i="12"/>
  <c r="AE50" i="12"/>
  <c r="D56" i="12"/>
  <c r="E56" i="12" s="1"/>
  <c r="F56" i="12" s="1"/>
  <c r="G56" i="12" s="1"/>
  <c r="H56" i="12" s="1"/>
  <c r="I56" i="12" s="1"/>
  <c r="J56" i="12" s="1"/>
  <c r="K56" i="12" s="1"/>
  <c r="L56" i="12" s="1"/>
  <c r="M56" i="12" s="1"/>
  <c r="N56" i="12" s="1"/>
  <c r="O56" i="12" s="1"/>
  <c r="P56" i="12" s="1"/>
  <c r="Q56" i="12" s="1"/>
  <c r="R56" i="12" s="1"/>
  <c r="S56" i="12" s="1"/>
  <c r="T56" i="12" s="1"/>
  <c r="U56" i="12" s="1"/>
  <c r="V56" i="12" s="1"/>
  <c r="W56" i="12" s="1"/>
  <c r="X56" i="12" s="1"/>
  <c r="Y56" i="12" s="1"/>
  <c r="Z56" i="12" s="1"/>
  <c r="AA56" i="12" s="1"/>
  <c r="AB56" i="12" s="1"/>
  <c r="AC56" i="12" s="1"/>
  <c r="AD56" i="12" s="1"/>
  <c r="AE56" i="12" s="1"/>
  <c r="AF56" i="12" s="1"/>
  <c r="AG56" i="12" s="1"/>
  <c r="AH56" i="12" s="1"/>
  <c r="AI56" i="12" s="1"/>
  <c r="AJ56" i="12" s="1"/>
  <c r="AK56" i="12" s="1"/>
  <c r="AL56" i="12" s="1"/>
  <c r="AM56" i="12" s="1"/>
  <c r="L59" i="12"/>
  <c r="U59" i="12"/>
  <c r="U60" i="12" s="1"/>
  <c r="X29" i="4" s="1"/>
  <c r="AM102" i="12"/>
  <c r="W104" i="12" s="1"/>
  <c r="AM21" i="12"/>
  <c r="AP13" i="4" s="1"/>
  <c r="AM18" i="12"/>
  <c r="AP14" i="4"/>
  <c r="AM7" i="12"/>
  <c r="AP10" i="4"/>
  <c r="AM14" i="17" s="1"/>
  <c r="AF70" i="12"/>
  <c r="AB70" i="12"/>
  <c r="P70" i="12"/>
  <c r="L70" i="12"/>
  <c r="AI70" i="12"/>
  <c r="AE70" i="12"/>
  <c r="S70" i="12"/>
  <c r="O70" i="12"/>
  <c r="C70" i="12"/>
  <c r="AK70" i="12"/>
  <c r="M70" i="12"/>
  <c r="E70" i="12"/>
  <c r="R70" i="12"/>
  <c r="J70" i="12"/>
  <c r="I70" i="12"/>
  <c r="AL70" i="12"/>
  <c r="N70" i="12"/>
  <c r="AA30" i="4"/>
  <c r="AA28" i="4" s="1"/>
  <c r="F70" i="12"/>
  <c r="T104" i="12"/>
  <c r="D104" i="12"/>
  <c r="V104" i="12"/>
  <c r="AC104" i="12"/>
  <c r="C114" i="12"/>
  <c r="D114" i="12" s="1"/>
  <c r="E114" i="12" s="1"/>
  <c r="F114" i="12" s="1"/>
  <c r="G114" i="12" s="1"/>
  <c r="H114" i="12" s="1"/>
  <c r="I114" i="12" s="1"/>
  <c r="J114" i="12" s="1"/>
  <c r="K114" i="12" s="1"/>
  <c r="L114" i="12" s="1"/>
  <c r="M114" i="12" s="1"/>
  <c r="N114" i="12" s="1"/>
  <c r="O114" i="12" s="1"/>
  <c r="P114" i="12" s="1"/>
  <c r="Q114" i="12" s="1"/>
  <c r="R114" i="12" s="1"/>
  <c r="S114" i="12" s="1"/>
  <c r="T114" i="12" s="1"/>
  <c r="U114" i="12" s="1"/>
  <c r="V114" i="12" s="1"/>
  <c r="W114" i="12" s="1"/>
  <c r="X114" i="12" s="1"/>
  <c r="Y114" i="12" s="1"/>
  <c r="Z114" i="12" s="1"/>
  <c r="AA114" i="12" s="1"/>
  <c r="AB114" i="12" s="1"/>
  <c r="AC114" i="12" s="1"/>
  <c r="AD114" i="12" s="1"/>
  <c r="AE114" i="12" s="1"/>
  <c r="AF114" i="12" s="1"/>
  <c r="AG114" i="12" s="1"/>
  <c r="AH114" i="12" s="1"/>
  <c r="AI114" i="12" s="1"/>
  <c r="AJ114" i="12" s="1"/>
  <c r="AK114" i="12" s="1"/>
  <c r="AL114" i="12" s="1"/>
  <c r="AM114" i="12" s="1"/>
  <c r="AM50" i="12"/>
  <c r="AK45" i="12"/>
  <c r="AK50" i="12" s="1"/>
  <c r="AG45" i="12"/>
  <c r="AG50" i="12" s="1"/>
  <c r="AC45" i="12"/>
  <c r="AC50" i="12" s="1"/>
  <c r="Y45" i="12"/>
  <c r="Y50" i="12" s="1"/>
  <c r="U45" i="12"/>
  <c r="U50" i="12" s="1"/>
  <c r="Q45" i="12"/>
  <c r="Q50" i="12" s="1"/>
  <c r="M45" i="12"/>
  <c r="M50" i="12" s="1"/>
  <c r="I45" i="12"/>
  <c r="I50" i="12" s="1"/>
  <c r="E45" i="12"/>
  <c r="E50" i="12" s="1"/>
  <c r="AJ45" i="12"/>
  <c r="AJ50" i="12" s="1"/>
  <c r="AF45" i="12"/>
  <c r="AF50" i="12" s="1"/>
  <c r="AB45" i="12"/>
  <c r="AB50" i="12" s="1"/>
  <c r="X45" i="12"/>
  <c r="X50" i="12" s="1"/>
  <c r="T45" i="12"/>
  <c r="T50" i="12" s="1"/>
  <c r="P45" i="12"/>
  <c r="P50" i="12" s="1"/>
  <c r="L45" i="12"/>
  <c r="L50" i="12" s="1"/>
  <c r="H45" i="12"/>
  <c r="H50" i="12" s="1"/>
  <c r="D45" i="12"/>
  <c r="D50" i="12" s="1"/>
  <c r="AI59" i="12"/>
  <c r="AE59" i="12"/>
  <c r="AA59" i="12"/>
  <c r="W59" i="12"/>
  <c r="S59" i="12"/>
  <c r="O59" i="12"/>
  <c r="K59" i="12"/>
  <c r="G59" i="12"/>
  <c r="C59" i="12"/>
  <c r="AL59" i="12"/>
  <c r="AH59" i="12"/>
  <c r="AD59" i="12"/>
  <c r="Z59" i="12"/>
  <c r="V59" i="12"/>
  <c r="R59" i="12"/>
  <c r="N59" i="12"/>
  <c r="J59" i="12"/>
  <c r="F59" i="12"/>
  <c r="B59" i="12"/>
  <c r="I59" i="12"/>
  <c r="Q59" i="12"/>
  <c r="Y59" i="12"/>
  <c r="AG59" i="12"/>
  <c r="D79" i="12"/>
  <c r="E79" i="12" s="1"/>
  <c r="F79" i="12" s="1"/>
  <c r="G79" i="12" s="1"/>
  <c r="H79" i="12" s="1"/>
  <c r="I79" i="12" s="1"/>
  <c r="J79" i="12" s="1"/>
  <c r="K79" i="12" s="1"/>
  <c r="L79" i="12" s="1"/>
  <c r="M79" i="12" s="1"/>
  <c r="N79" i="12" s="1"/>
  <c r="O79" i="12" s="1"/>
  <c r="P79" i="12" s="1"/>
  <c r="Q79" i="12" s="1"/>
  <c r="R79" i="12" s="1"/>
  <c r="S79" i="12" s="1"/>
  <c r="T79" i="12" s="1"/>
  <c r="U79" i="12" s="1"/>
  <c r="V79" i="12" s="1"/>
  <c r="W79" i="12" s="1"/>
  <c r="X79" i="12" s="1"/>
  <c r="Y79" i="12" s="1"/>
  <c r="Z79" i="12" s="1"/>
  <c r="AA79" i="12" s="1"/>
  <c r="AB79" i="12" s="1"/>
  <c r="AC79" i="12" s="1"/>
  <c r="AD79" i="12" s="1"/>
  <c r="AE79" i="12" s="1"/>
  <c r="AF79" i="12" s="1"/>
  <c r="AG79" i="12" s="1"/>
  <c r="AH79" i="12" s="1"/>
  <c r="AI79" i="12" s="1"/>
  <c r="AJ79" i="12" s="1"/>
  <c r="AK79" i="12" s="1"/>
  <c r="AL79" i="12" s="1"/>
  <c r="AM79" i="12" s="1"/>
  <c r="AM118" i="12"/>
  <c r="AP50" i="4" s="1"/>
  <c r="AP49" i="4" s="1"/>
  <c r="AM115" i="12"/>
  <c r="AM16" i="17"/>
  <c r="AM83" i="12"/>
  <c r="AM80" i="12"/>
  <c r="R102" i="17"/>
  <c r="D117" i="17"/>
  <c r="R101" i="17"/>
  <c r="AD117" i="17"/>
  <c r="AM117" i="17"/>
  <c r="AD102" i="17"/>
  <c r="N102" i="17"/>
  <c r="Z102" i="17"/>
  <c r="F102" i="17"/>
  <c r="R100" i="17"/>
  <c r="Z101" i="17"/>
  <c r="F103" i="17"/>
  <c r="N117" i="17"/>
  <c r="R105" i="17"/>
  <c r="B117" i="17"/>
  <c r="B103" i="17"/>
  <c r="B100" i="17"/>
  <c r="O102" i="17"/>
  <c r="V100" i="17"/>
  <c r="F105" i="17"/>
  <c r="R103" i="17"/>
  <c r="V101" i="17"/>
  <c r="AD100" i="17"/>
  <c r="N100" i="17"/>
  <c r="AM102" i="17"/>
  <c r="V105" i="17"/>
  <c r="B102" i="17"/>
  <c r="B101" i="17"/>
  <c r="B105" i="17"/>
  <c r="T40" i="1"/>
  <c r="AB40" i="1"/>
  <c r="C40" i="3"/>
  <c r="AP5" i="1"/>
  <c r="AD23" i="1"/>
  <c r="F11" i="1"/>
  <c r="P16" i="1"/>
  <c r="AE23" i="1"/>
  <c r="AI23" i="1"/>
  <c r="AM23" i="1"/>
  <c r="E13" i="1"/>
  <c r="E15" i="1"/>
  <c r="P18" i="1" s="1"/>
  <c r="S104" i="17"/>
  <c r="S101" i="17"/>
  <c r="S105" i="17"/>
  <c r="AM104" i="17"/>
  <c r="D105" i="17"/>
  <c r="D103" i="17"/>
  <c r="C105" i="17"/>
  <c r="C103" i="17"/>
  <c r="S100" i="17"/>
  <c r="C102" i="17"/>
  <c r="AD105" i="17"/>
  <c r="N105" i="17"/>
  <c r="Z104" i="17"/>
  <c r="O100" i="17"/>
  <c r="C101" i="17"/>
  <c r="S102" i="17"/>
  <c r="W103" i="17"/>
  <c r="O104" i="17"/>
  <c r="D101" i="17"/>
  <c r="S103" i="17"/>
  <c r="O101" i="17"/>
  <c r="O105" i="17"/>
  <c r="E117" i="17"/>
  <c r="D104" i="17"/>
  <c r="AD103" i="17"/>
  <c r="N103" i="17"/>
  <c r="D102" i="17"/>
  <c r="AD101" i="17"/>
  <c r="N101" i="17"/>
  <c r="W104" i="17" l="1"/>
  <c r="AA103" i="17"/>
  <c r="Z103" i="17"/>
  <c r="W102" i="17"/>
  <c r="AM101" i="17"/>
  <c r="AM39" i="17" s="1"/>
  <c r="E100" i="17"/>
  <c r="E105" i="17"/>
  <c r="F104" i="17"/>
  <c r="F106" i="17" s="1"/>
  <c r="E101" i="17"/>
  <c r="E106" i="17" s="1"/>
  <c r="E103" i="17"/>
  <c r="E104" i="17"/>
  <c r="B5" i="12"/>
  <c r="C8" i="2"/>
  <c r="D8" i="2" s="1"/>
  <c r="E8" i="2" s="1"/>
  <c r="F8" i="2" s="1"/>
  <c r="G8" i="2" s="1"/>
  <c r="H8" i="2" s="1"/>
  <c r="I8" i="2" s="1"/>
  <c r="J8" i="2" s="1"/>
  <c r="K8" i="2" s="1"/>
  <c r="L8" i="2" s="1"/>
  <c r="M8" i="2" s="1"/>
  <c r="N8" i="2" s="1"/>
  <c r="O8" i="2" s="1"/>
  <c r="P8" i="2" s="1"/>
  <c r="Q8" i="2" s="1"/>
  <c r="R8" i="2" s="1"/>
  <c r="L96" i="17"/>
  <c r="L112" i="17"/>
  <c r="L117" i="17" s="1"/>
  <c r="Q112" i="17"/>
  <c r="Q117" i="17" s="1"/>
  <c r="Q96" i="17"/>
  <c r="AC112" i="17"/>
  <c r="AC117" i="17" s="1"/>
  <c r="AC96" i="17"/>
  <c r="AC101" i="17"/>
  <c r="M96" i="17"/>
  <c r="M101" i="17" s="1"/>
  <c r="M112" i="17"/>
  <c r="M117" i="17" s="1"/>
  <c r="W105" i="17"/>
  <c r="AM103" i="17"/>
  <c r="AM105" i="17"/>
  <c r="W100" i="17"/>
  <c r="AM100" i="17"/>
  <c r="AK93" i="12"/>
  <c r="AG93" i="12"/>
  <c r="AC93" i="12"/>
  <c r="Y93" i="12"/>
  <c r="U93" i="12"/>
  <c r="Q93" i="12"/>
  <c r="M93" i="12"/>
  <c r="I93" i="12"/>
  <c r="E93" i="12"/>
  <c r="AJ93" i="12"/>
  <c r="AF93" i="12"/>
  <c r="X93" i="12"/>
  <c r="P93" i="12"/>
  <c r="H93" i="12"/>
  <c r="AI93" i="12"/>
  <c r="AE93" i="12"/>
  <c r="AA93" i="12"/>
  <c r="W93" i="12"/>
  <c r="S93" i="12"/>
  <c r="O93" i="12"/>
  <c r="K93" i="12"/>
  <c r="G93" i="12"/>
  <c r="C93" i="12"/>
  <c r="AL93" i="12"/>
  <c r="AH93" i="12"/>
  <c r="AD93" i="12"/>
  <c r="Z93" i="12"/>
  <c r="V93" i="12"/>
  <c r="R93" i="12"/>
  <c r="N93" i="12"/>
  <c r="J93" i="12"/>
  <c r="F93" i="12"/>
  <c r="B93" i="12"/>
  <c r="AB93" i="12"/>
  <c r="T93" i="12"/>
  <c r="L93" i="12"/>
  <c r="D93" i="12"/>
  <c r="G104" i="12"/>
  <c r="AJ104" i="12"/>
  <c r="AJ105" i="12" s="1"/>
  <c r="AM45" i="4" s="1"/>
  <c r="AI30" i="4"/>
  <c r="AI28" i="4" s="1"/>
  <c r="L101" i="17"/>
  <c r="AB96" i="17"/>
  <c r="AB112" i="17"/>
  <c r="AB117" i="17" s="1"/>
  <c r="Y112" i="17"/>
  <c r="Y117" i="17" s="1"/>
  <c r="Y96" i="17"/>
  <c r="AA101" i="17"/>
  <c r="AA102" i="17"/>
  <c r="AA106" i="17" s="1"/>
  <c r="P112" i="17"/>
  <c r="P117" i="17" s="1"/>
  <c r="P96" i="17"/>
  <c r="AA100" i="17"/>
  <c r="AA105" i="17"/>
  <c r="P101" i="17"/>
  <c r="Z104" i="12"/>
  <c r="G30" i="4"/>
  <c r="G28" i="4" s="1"/>
  <c r="T96" i="17"/>
  <c r="T101" i="17" s="1"/>
  <c r="T112" i="17"/>
  <c r="T117" i="17" s="1"/>
  <c r="U112" i="17"/>
  <c r="U117" i="17" s="1"/>
  <c r="U96" i="17"/>
  <c r="X112" i="17"/>
  <c r="X117" i="17" s="1"/>
  <c r="X96" i="17"/>
  <c r="R51" i="7"/>
  <c r="U41" i="1" s="1"/>
  <c r="U40" i="1" s="1"/>
  <c r="U42" i="1"/>
  <c r="AG51" i="7"/>
  <c r="AJ41" i="1" s="1"/>
  <c r="AJ42" i="1"/>
  <c r="AB60" i="12"/>
  <c r="AE29" i="4" s="1"/>
  <c r="AE30" i="4"/>
  <c r="U51" i="7"/>
  <c r="X41" i="1" s="1"/>
  <c r="X42" i="1"/>
  <c r="AF104" i="12"/>
  <c r="P104" i="12"/>
  <c r="S46" i="4" s="1"/>
  <c r="AI104" i="12"/>
  <c r="AL46" i="4" s="1"/>
  <c r="S104" i="12"/>
  <c r="S105" i="12" s="1"/>
  <c r="V45" i="4" s="1"/>
  <c r="C104" i="12"/>
  <c r="N104" i="12"/>
  <c r="U104" i="12"/>
  <c r="X46" i="4" s="1"/>
  <c r="J104" i="12"/>
  <c r="J105" i="12" s="1"/>
  <c r="M45" i="4" s="1"/>
  <c r="B104" i="12"/>
  <c r="AB104" i="12"/>
  <c r="AB105" i="12" s="1"/>
  <c r="AE45" i="4" s="1"/>
  <c r="L104" i="12"/>
  <c r="O46" i="4" s="1"/>
  <c r="AE104" i="12"/>
  <c r="AH46" i="4" s="1"/>
  <c r="O104" i="12"/>
  <c r="AL104" i="12"/>
  <c r="AL105" i="12" s="1"/>
  <c r="AO45" i="4" s="1"/>
  <c r="F104" i="12"/>
  <c r="I46" i="4" s="1"/>
  <c r="M104" i="12"/>
  <c r="P46" i="4" s="1"/>
  <c r="R104" i="12"/>
  <c r="Y104" i="12"/>
  <c r="X104" i="12"/>
  <c r="AA46" i="4" s="1"/>
  <c r="H104" i="12"/>
  <c r="H105" i="12" s="1"/>
  <c r="K45" i="4" s="1"/>
  <c r="AA104" i="12"/>
  <c r="K104" i="12"/>
  <c r="N46" i="4" s="1"/>
  <c r="AD104" i="12"/>
  <c r="AG46" i="4" s="1"/>
  <c r="AK104" i="12"/>
  <c r="AK105" i="12" s="1"/>
  <c r="AN45" i="4" s="1"/>
  <c r="E104" i="12"/>
  <c r="AH42" i="1"/>
  <c r="AE51" i="7"/>
  <c r="AH41" i="1" s="1"/>
  <c r="AB51" i="7"/>
  <c r="AE41" i="1" s="1"/>
  <c r="AE40" i="1" s="1"/>
  <c r="AE42" i="1"/>
  <c r="Z49" i="12"/>
  <c r="AC26" i="4"/>
  <c r="AC5" i="4" s="1"/>
  <c r="B19" i="7"/>
  <c r="E33" i="1"/>
  <c r="E31" i="1" s="1"/>
  <c r="AL51" i="7"/>
  <c r="AO41" i="1" s="1"/>
  <c r="AO40" i="1" s="1"/>
  <c r="AO42" i="1"/>
  <c r="AJ60" i="12"/>
  <c r="AM29" i="4" s="1"/>
  <c r="AM30" i="4"/>
  <c r="S27" i="7"/>
  <c r="S30" i="7" s="1"/>
  <c r="B26" i="7"/>
  <c r="V42" i="1"/>
  <c r="S51" i="7"/>
  <c r="V41" i="1" s="1"/>
  <c r="AL42" i="1"/>
  <c r="AL40" i="1" s="1"/>
  <c r="AI51" i="7"/>
  <c r="AL41" i="1" s="1"/>
  <c r="AF51" i="7"/>
  <c r="AI41" i="1" s="1"/>
  <c r="AI42" i="1"/>
  <c r="X30" i="4"/>
  <c r="X28" i="4" s="1"/>
  <c r="S15" i="2"/>
  <c r="AS15" i="2"/>
  <c r="AM33" i="12" s="1"/>
  <c r="AD51" i="7"/>
  <c r="AG41" i="1" s="1"/>
  <c r="AG40" i="1" s="1"/>
  <c r="AG42" i="1"/>
  <c r="AK51" i="7"/>
  <c r="AN41" i="1" s="1"/>
  <c r="AN42" i="1"/>
  <c r="AK42" i="1"/>
  <c r="AH51" i="7"/>
  <c r="AK41" i="1" s="1"/>
  <c r="Z42" i="1"/>
  <c r="W51" i="7"/>
  <c r="Z41" i="1" s="1"/>
  <c r="T51" i="7"/>
  <c r="W41" i="1" s="1"/>
  <c r="W40" i="1" s="1"/>
  <c r="W42" i="1"/>
  <c r="AJ51" i="7"/>
  <c r="AM41" i="1" s="1"/>
  <c r="AM42" i="1"/>
  <c r="P30" i="4"/>
  <c r="P28" i="4" s="1"/>
  <c r="V51" i="7"/>
  <c r="Y41" i="1" s="1"/>
  <c r="Y42" i="1"/>
  <c r="E60" i="12"/>
  <c r="H29" i="4" s="1"/>
  <c r="H30" i="4"/>
  <c r="AC51" i="7"/>
  <c r="AF41" i="1" s="1"/>
  <c r="AF42" i="1"/>
  <c r="AC42" i="1"/>
  <c r="Z51" i="7"/>
  <c r="AC41" i="1" s="1"/>
  <c r="AD42" i="1"/>
  <c r="AA51" i="7"/>
  <c r="AD41" i="1" s="1"/>
  <c r="X51" i="7"/>
  <c r="AA41" i="1" s="1"/>
  <c r="AA40" i="1" s="1"/>
  <c r="AA42" i="1"/>
  <c r="AK60" i="12"/>
  <c r="AN29" i="4" s="1"/>
  <c r="AN30" i="4"/>
  <c r="S28" i="4"/>
  <c r="R106" i="17"/>
  <c r="N106" i="17"/>
  <c r="Z106" i="17"/>
  <c r="M26" i="4"/>
  <c r="M5" i="4" s="1"/>
  <c r="J49" i="12"/>
  <c r="T60" i="12"/>
  <c r="W29" i="4" s="1"/>
  <c r="W30" i="4"/>
  <c r="N49" i="12"/>
  <c r="Q26" i="4"/>
  <c r="Q5" i="4" s="1"/>
  <c r="G49" i="12"/>
  <c r="J26" i="4"/>
  <c r="J5" i="4" s="1"/>
  <c r="AD70" i="12"/>
  <c r="V70" i="12"/>
  <c r="S49" i="12"/>
  <c r="V26" i="4"/>
  <c r="V5" i="4" s="1"/>
  <c r="AK26" i="4"/>
  <c r="AK5" i="4" s="1"/>
  <c r="AH49" i="12"/>
  <c r="B49" i="12"/>
  <c r="E26" i="4"/>
  <c r="E5" i="4" s="1"/>
  <c r="H60" i="12"/>
  <c r="K29" i="4" s="1"/>
  <c r="K30" i="4"/>
  <c r="F49" i="12"/>
  <c r="I26" i="4"/>
  <c r="I5" i="4" s="1"/>
  <c r="AG70" i="12"/>
  <c r="AG71" i="12" s="1"/>
  <c r="AJ33" i="4" s="1"/>
  <c r="Y70" i="12"/>
  <c r="AB34" i="4" s="1"/>
  <c r="Z70" i="12"/>
  <c r="Z71" i="12" s="1"/>
  <c r="AC33" i="4" s="1"/>
  <c r="U70" i="12"/>
  <c r="U71" i="12" s="1"/>
  <c r="X33" i="4" s="1"/>
  <c r="X32" i="4" s="1"/>
  <c r="G70" i="12"/>
  <c r="G71" i="12" s="1"/>
  <c r="J33" i="4" s="1"/>
  <c r="J32" i="4" s="1"/>
  <c r="W70" i="12"/>
  <c r="W71" i="12" s="1"/>
  <c r="Z33" i="4" s="1"/>
  <c r="D70" i="12"/>
  <c r="D71" i="12" s="1"/>
  <c r="G33" i="4" s="1"/>
  <c r="T70" i="12"/>
  <c r="T71" i="12" s="1"/>
  <c r="W33" i="4" s="1"/>
  <c r="AJ70" i="12"/>
  <c r="AM34" i="4" s="1"/>
  <c r="AP12" i="4"/>
  <c r="AH104" i="12"/>
  <c r="Q104" i="12"/>
  <c r="I104" i="12"/>
  <c r="AG104" i="12"/>
  <c r="AE49" i="12"/>
  <c r="AH26" i="4"/>
  <c r="AH5" i="4" s="1"/>
  <c r="K49" i="12"/>
  <c r="N26" i="4"/>
  <c r="N5" i="4" s="1"/>
  <c r="AD49" i="12"/>
  <c r="AG26" i="4"/>
  <c r="AG5" i="4" s="1"/>
  <c r="L60" i="12"/>
  <c r="O29" i="4" s="1"/>
  <c r="O28" i="4" s="1"/>
  <c r="O30" i="4"/>
  <c r="O49" i="12"/>
  <c r="R26" i="4"/>
  <c r="R5" i="4" s="1"/>
  <c r="AA49" i="12"/>
  <c r="AD26" i="4"/>
  <c r="AD5" i="4" s="1"/>
  <c r="Q70" i="12"/>
  <c r="T34" i="4" s="1"/>
  <c r="B70" i="12"/>
  <c r="B71" i="12" s="1"/>
  <c r="E33" i="4" s="1"/>
  <c r="AH70" i="12"/>
  <c r="AH71" i="12" s="1"/>
  <c r="AK33" i="4" s="1"/>
  <c r="AC70" i="12"/>
  <c r="K70" i="12"/>
  <c r="K71" i="12" s="1"/>
  <c r="N33" i="4" s="1"/>
  <c r="AA70" i="12"/>
  <c r="AA71" i="12" s="1"/>
  <c r="AD33" i="4" s="1"/>
  <c r="H70" i="12"/>
  <c r="H71" i="12" s="1"/>
  <c r="K33" i="4" s="1"/>
  <c r="X70" i="12"/>
  <c r="Z26" i="4"/>
  <c r="Z5" i="4" s="1"/>
  <c r="W49" i="12"/>
  <c r="AI49" i="12"/>
  <c r="AL26" i="4"/>
  <c r="AL5" i="4" s="1"/>
  <c r="C49" i="12"/>
  <c r="F26" i="4"/>
  <c r="F5" i="4" s="1"/>
  <c r="R49" i="12"/>
  <c r="U26" i="4"/>
  <c r="U5" i="4" s="1"/>
  <c r="AC60" i="12"/>
  <c r="AF29" i="4" s="1"/>
  <c r="AF30" i="4"/>
  <c r="V49" i="12"/>
  <c r="Y26" i="4"/>
  <c r="Y5" i="4" s="1"/>
  <c r="U46" i="4"/>
  <c r="R105" i="12"/>
  <c r="U45" i="4" s="1"/>
  <c r="AO46" i="4"/>
  <c r="R46" i="4"/>
  <c r="O105" i="12"/>
  <c r="R45" i="4" s="1"/>
  <c r="AE105" i="12"/>
  <c r="AH45" i="4" s="1"/>
  <c r="AL71" i="12"/>
  <c r="AO33" i="4" s="1"/>
  <c r="AO34" i="4"/>
  <c r="E71" i="12"/>
  <c r="H33" i="4" s="1"/>
  <c r="H34" i="4"/>
  <c r="O71" i="12"/>
  <c r="R33" i="4" s="1"/>
  <c r="R34" i="4"/>
  <c r="L71" i="12"/>
  <c r="O33" i="4" s="1"/>
  <c r="O34" i="4"/>
  <c r="AG60" i="12"/>
  <c r="AJ29" i="4" s="1"/>
  <c r="AJ30" i="4"/>
  <c r="R60" i="12"/>
  <c r="U29" i="4" s="1"/>
  <c r="U30" i="4"/>
  <c r="AH60" i="12"/>
  <c r="AK29" i="4" s="1"/>
  <c r="AK30" i="4"/>
  <c r="AA60" i="12"/>
  <c r="AD29" i="4" s="1"/>
  <c r="AD30" i="4"/>
  <c r="X49" i="12"/>
  <c r="AA26" i="4"/>
  <c r="AA5" i="4" s="1"/>
  <c r="U49" i="12"/>
  <c r="X26" i="4"/>
  <c r="X5" i="4" s="1"/>
  <c r="AB46" i="4"/>
  <c r="Y105" i="12"/>
  <c r="AB45" i="4" s="1"/>
  <c r="F46" i="4"/>
  <c r="C105" i="12"/>
  <c r="F45" i="4" s="1"/>
  <c r="N71" i="12"/>
  <c r="Q33" i="4" s="1"/>
  <c r="Q34" i="4"/>
  <c r="I71" i="12"/>
  <c r="L33" i="4" s="1"/>
  <c r="L32" i="4" s="1"/>
  <c r="L34" i="4"/>
  <c r="R71" i="12"/>
  <c r="U33" i="4" s="1"/>
  <c r="U34" i="4"/>
  <c r="M71" i="12"/>
  <c r="P33" i="4" s="1"/>
  <c r="P32" i="4" s="1"/>
  <c r="P34" i="4"/>
  <c r="C71" i="12"/>
  <c r="F33" i="4" s="1"/>
  <c r="F34" i="4"/>
  <c r="S71" i="12"/>
  <c r="V33" i="4" s="1"/>
  <c r="V32" i="4" s="1"/>
  <c r="V34" i="4"/>
  <c r="AI71" i="12"/>
  <c r="AL33" i="4" s="1"/>
  <c r="AL34" i="4"/>
  <c r="AF71" i="12"/>
  <c r="AI33" i="4" s="1"/>
  <c r="AI32" i="4" s="1"/>
  <c r="AI34" i="4"/>
  <c r="AK9" i="12"/>
  <c r="AG9" i="12"/>
  <c r="AC9" i="12"/>
  <c r="Y9" i="12"/>
  <c r="U9" i="12"/>
  <c r="Q9" i="12"/>
  <c r="M9" i="12"/>
  <c r="I9" i="12"/>
  <c r="E9" i="12"/>
  <c r="AL9" i="12"/>
  <c r="AF9" i="12"/>
  <c r="AA9" i="12"/>
  <c r="V9" i="12"/>
  <c r="P9" i="12"/>
  <c r="K9" i="12"/>
  <c r="F9" i="12"/>
  <c r="AJ9" i="12"/>
  <c r="AE9" i="12"/>
  <c r="Z9" i="12"/>
  <c r="T9" i="12"/>
  <c r="O9" i="12"/>
  <c r="J9" i="12"/>
  <c r="D9" i="12"/>
  <c r="AH9" i="12"/>
  <c r="W9" i="12"/>
  <c r="L9" i="12"/>
  <c r="B9" i="12"/>
  <c r="AD9" i="12"/>
  <c r="S9" i="12"/>
  <c r="H9" i="12"/>
  <c r="AB9" i="12"/>
  <c r="R9" i="12"/>
  <c r="G9" i="12"/>
  <c r="AI9" i="12"/>
  <c r="X9" i="12"/>
  <c r="N9" i="12"/>
  <c r="C9" i="12"/>
  <c r="AK82" i="12"/>
  <c r="AG82" i="12"/>
  <c r="AC82" i="12"/>
  <c r="Y82" i="12"/>
  <c r="U82" i="12"/>
  <c r="Q82" i="12"/>
  <c r="M82" i="12"/>
  <c r="I82" i="12"/>
  <c r="E82" i="12"/>
  <c r="AJ82" i="12"/>
  <c r="AF82" i="12"/>
  <c r="AB82" i="12"/>
  <c r="X82" i="12"/>
  <c r="T82" i="12"/>
  <c r="P82" i="12"/>
  <c r="L82" i="12"/>
  <c r="H82" i="12"/>
  <c r="D82" i="12"/>
  <c r="AE82" i="12"/>
  <c r="W82" i="12"/>
  <c r="O82" i="12"/>
  <c r="G82" i="12"/>
  <c r="AL82" i="12"/>
  <c r="AD82" i="12"/>
  <c r="V82" i="12"/>
  <c r="N82" i="12"/>
  <c r="F82" i="12"/>
  <c r="AI82" i="12"/>
  <c r="S82" i="12"/>
  <c r="C82" i="12"/>
  <c r="Z82" i="12"/>
  <c r="B82" i="12"/>
  <c r="R82" i="12"/>
  <c r="J82" i="12"/>
  <c r="AH82" i="12"/>
  <c r="AA82" i="12"/>
  <c r="K82" i="12"/>
  <c r="AK117" i="12"/>
  <c r="AG117" i="12"/>
  <c r="AC117" i="12"/>
  <c r="Y117" i="12"/>
  <c r="U117" i="12"/>
  <c r="Q117" i="12"/>
  <c r="M117" i="12"/>
  <c r="I117" i="12"/>
  <c r="E117" i="12"/>
  <c r="AJ117" i="12"/>
  <c r="AF117" i="12"/>
  <c r="AB117" i="12"/>
  <c r="X117" i="12"/>
  <c r="T117" i="12"/>
  <c r="P117" i="12"/>
  <c r="L117" i="12"/>
  <c r="H117" i="12"/>
  <c r="D117" i="12"/>
  <c r="AH117" i="12"/>
  <c r="Z117" i="12"/>
  <c r="R117" i="12"/>
  <c r="J117" i="12"/>
  <c r="B117" i="12"/>
  <c r="AE117" i="12"/>
  <c r="W117" i="12"/>
  <c r="O117" i="12"/>
  <c r="G117" i="12"/>
  <c r="AI117" i="12"/>
  <c r="S117" i="12"/>
  <c r="C117" i="12"/>
  <c r="AD117" i="12"/>
  <c r="K117" i="12"/>
  <c r="AA117" i="12"/>
  <c r="F117" i="12"/>
  <c r="V117" i="12"/>
  <c r="N117" i="12"/>
  <c r="AL117" i="12"/>
  <c r="Y60" i="12"/>
  <c r="AB29" i="4" s="1"/>
  <c r="AB30" i="4"/>
  <c r="F60" i="12"/>
  <c r="I29" i="4" s="1"/>
  <c r="I30" i="4"/>
  <c r="V60" i="12"/>
  <c r="Y29" i="4" s="1"/>
  <c r="Y30" i="4"/>
  <c r="AL60" i="12"/>
  <c r="AO29" i="4" s="1"/>
  <c r="AO30" i="4"/>
  <c r="R30" i="4"/>
  <c r="O60" i="12"/>
  <c r="R29" i="4" s="1"/>
  <c r="AH30" i="4"/>
  <c r="AE60" i="12"/>
  <c r="AH29" i="4" s="1"/>
  <c r="L49" i="12"/>
  <c r="O26" i="4"/>
  <c r="O5" i="4" s="1"/>
  <c r="AB49" i="12"/>
  <c r="AE26" i="4"/>
  <c r="AE5" i="4" s="1"/>
  <c r="I49" i="12"/>
  <c r="L26" i="4"/>
  <c r="L5" i="4" s="1"/>
  <c r="Y49" i="12"/>
  <c r="AB26" i="4"/>
  <c r="AB5" i="4" s="1"/>
  <c r="AM49" i="12"/>
  <c r="AP26" i="4"/>
  <c r="E46" i="4"/>
  <c r="B105" i="12"/>
  <c r="E45" i="4" s="1"/>
  <c r="AC46" i="4"/>
  <c r="Z105" i="12"/>
  <c r="AC45" i="4" s="1"/>
  <c r="AF46" i="4"/>
  <c r="AC105" i="12"/>
  <c r="AF45" i="4" s="1"/>
  <c r="Y46" i="4"/>
  <c r="V105" i="12"/>
  <c r="Y45" i="4" s="1"/>
  <c r="J46" i="4"/>
  <c r="G105" i="12"/>
  <c r="J45" i="4" s="1"/>
  <c r="Z46" i="4"/>
  <c r="W105" i="12"/>
  <c r="Z45" i="4" s="1"/>
  <c r="G46" i="4"/>
  <c r="D105" i="12"/>
  <c r="G45" i="4" s="1"/>
  <c r="W46" i="4"/>
  <c r="T105" i="12"/>
  <c r="W45" i="4" s="1"/>
  <c r="AM46" i="4"/>
  <c r="F71" i="12"/>
  <c r="I33" i="4" s="1"/>
  <c r="I34" i="4"/>
  <c r="AJ34" i="4"/>
  <c r="Y71" i="12"/>
  <c r="AB33" i="4" s="1"/>
  <c r="X34" i="4"/>
  <c r="J34" i="4"/>
  <c r="W34" i="4"/>
  <c r="AJ71" i="12"/>
  <c r="AM33" i="4" s="1"/>
  <c r="AP8" i="4"/>
  <c r="I60" i="12"/>
  <c r="L29" i="4" s="1"/>
  <c r="L30" i="4"/>
  <c r="N60" i="12"/>
  <c r="Q29" i="4" s="1"/>
  <c r="Q30" i="4"/>
  <c r="AD60" i="12"/>
  <c r="AG29" i="4" s="1"/>
  <c r="AG30" i="4"/>
  <c r="J30" i="4"/>
  <c r="G60" i="12"/>
  <c r="J29" i="4" s="1"/>
  <c r="Z30" i="4"/>
  <c r="W60" i="12"/>
  <c r="Z29" i="4" s="1"/>
  <c r="Z28" i="4" s="1"/>
  <c r="D49" i="12"/>
  <c r="G26" i="4"/>
  <c r="G5" i="4" s="1"/>
  <c r="T49" i="12"/>
  <c r="W26" i="4"/>
  <c r="W5" i="4" s="1"/>
  <c r="AJ49" i="12"/>
  <c r="AM26" i="4"/>
  <c r="AM5" i="4" s="1"/>
  <c r="Q49" i="12"/>
  <c r="T26" i="4"/>
  <c r="T5" i="4" s="1"/>
  <c r="AG49" i="12"/>
  <c r="AJ26" i="4"/>
  <c r="AJ5" i="4" s="1"/>
  <c r="J71" i="12"/>
  <c r="M33" i="4" s="1"/>
  <c r="M34" i="4"/>
  <c r="AK71" i="12"/>
  <c r="AN33" i="4" s="1"/>
  <c r="AN34" i="4"/>
  <c r="AE71" i="12"/>
  <c r="AH33" i="4" s="1"/>
  <c r="AH34" i="4"/>
  <c r="AB71" i="12"/>
  <c r="AE33" i="4" s="1"/>
  <c r="AE34" i="4"/>
  <c r="AL20" i="12"/>
  <c r="AH20" i="12"/>
  <c r="AD20" i="12"/>
  <c r="Z20" i="12"/>
  <c r="V20" i="12"/>
  <c r="R20" i="12"/>
  <c r="N20" i="12"/>
  <c r="J20" i="12"/>
  <c r="F20" i="12"/>
  <c r="B20" i="12"/>
  <c r="AK20" i="12"/>
  <c r="AG20" i="12"/>
  <c r="AC20" i="12"/>
  <c r="Y20" i="12"/>
  <c r="U20" i="12"/>
  <c r="Q20" i="12"/>
  <c r="M20" i="12"/>
  <c r="I20" i="12"/>
  <c r="E20" i="12"/>
  <c r="AF20" i="12"/>
  <c r="X20" i="12"/>
  <c r="P20" i="12"/>
  <c r="H20" i="12"/>
  <c r="AI20" i="12"/>
  <c r="W20" i="12"/>
  <c r="L20" i="12"/>
  <c r="C20" i="12"/>
  <c r="AE20" i="12"/>
  <c r="T20" i="12"/>
  <c r="K20" i="12"/>
  <c r="AJ20" i="12"/>
  <c r="O20" i="12"/>
  <c r="AB20" i="12"/>
  <c r="G20" i="12"/>
  <c r="AA20" i="12"/>
  <c r="D20" i="12"/>
  <c r="S20" i="12"/>
  <c r="B60" i="12"/>
  <c r="E29" i="4" s="1"/>
  <c r="E30" i="4"/>
  <c r="K60" i="12"/>
  <c r="N29" i="4" s="1"/>
  <c r="N30" i="4"/>
  <c r="H49" i="12"/>
  <c r="K26" i="4"/>
  <c r="K5" i="4" s="1"/>
  <c r="E49" i="12"/>
  <c r="H26" i="4"/>
  <c r="H5" i="4" s="1"/>
  <c r="AK49" i="12"/>
  <c r="AN26" i="4"/>
  <c r="AN5" i="4" s="1"/>
  <c r="M46" i="4"/>
  <c r="Q46" i="4"/>
  <c r="N105" i="12"/>
  <c r="Q45" i="4" s="1"/>
  <c r="V46" i="4"/>
  <c r="P105" i="12"/>
  <c r="S45" i="4" s="1"/>
  <c r="AI46" i="4"/>
  <c r="AF105" i="12"/>
  <c r="AI45" i="4" s="1"/>
  <c r="P71" i="12"/>
  <c r="S33" i="4" s="1"/>
  <c r="S34" i="4"/>
  <c r="AM8" i="17"/>
  <c r="AM32" i="17" s="1"/>
  <c r="AP38" i="4"/>
  <c r="AP37" i="4" s="1"/>
  <c r="Q60" i="12"/>
  <c r="T29" i="4" s="1"/>
  <c r="T30" i="4"/>
  <c r="J60" i="12"/>
  <c r="M29" i="4" s="1"/>
  <c r="M30" i="4"/>
  <c r="Z60" i="12"/>
  <c r="AC29" i="4" s="1"/>
  <c r="AC30" i="4"/>
  <c r="C60" i="12"/>
  <c r="F29" i="4" s="1"/>
  <c r="F30" i="4"/>
  <c r="S60" i="12"/>
  <c r="V29" i="4" s="1"/>
  <c r="V30" i="4"/>
  <c r="AI60" i="12"/>
  <c r="AL29" i="4" s="1"/>
  <c r="AL30" i="4"/>
  <c r="P49" i="12"/>
  <c r="S26" i="4"/>
  <c r="S5" i="4" s="1"/>
  <c r="AF49" i="12"/>
  <c r="AI26" i="4"/>
  <c r="AI5" i="4" s="1"/>
  <c r="M49" i="12"/>
  <c r="P26" i="4"/>
  <c r="P5" i="4" s="1"/>
  <c r="AC49" i="12"/>
  <c r="AF26" i="4"/>
  <c r="AF5" i="4" s="1"/>
  <c r="H46" i="4"/>
  <c r="E105" i="12"/>
  <c r="H45" i="4" s="1"/>
  <c r="AN46" i="4"/>
  <c r="K105" i="12"/>
  <c r="N45" i="4" s="1"/>
  <c r="AD46" i="4"/>
  <c r="AA105" i="12"/>
  <c r="AD45" i="4" s="1"/>
  <c r="K46" i="4"/>
  <c r="Q71" i="12"/>
  <c r="T33" i="4" s="1"/>
  <c r="AC71" i="12"/>
  <c r="AF33" i="4" s="1"/>
  <c r="AF34" i="4"/>
  <c r="K34" i="4"/>
  <c r="X71" i="12"/>
  <c r="AA33" i="4" s="1"/>
  <c r="AA34" i="4"/>
  <c r="AM6" i="17"/>
  <c r="AM30" i="17" s="1"/>
  <c r="V106" i="17"/>
  <c r="S106" i="17"/>
  <c r="C106" i="17"/>
  <c r="B106" i="17"/>
  <c r="D106" i="17"/>
  <c r="AD106" i="17"/>
  <c r="AN17" i="1"/>
  <c r="G11" i="1"/>
  <c r="F13" i="1"/>
  <c r="AN18" i="1"/>
  <c r="E9" i="1"/>
  <c r="E4" i="1" s="1"/>
  <c r="AH17" i="1"/>
  <c r="AN16" i="1"/>
  <c r="P17" i="1"/>
  <c r="AP17" i="1"/>
  <c r="AP18" i="1"/>
  <c r="AP16" i="1"/>
  <c r="AH18" i="1"/>
  <c r="O106" i="17"/>
  <c r="AM34" i="17"/>
  <c r="AM43" i="17"/>
  <c r="AM41" i="17"/>
  <c r="AM66" i="17" l="1"/>
  <c r="AM106" i="17"/>
  <c r="W106" i="17"/>
  <c r="S29" i="12"/>
  <c r="T15" i="2"/>
  <c r="U15" i="2" s="1"/>
  <c r="V15" i="2" s="1"/>
  <c r="W15" i="2" s="1"/>
  <c r="X15" i="2" s="1"/>
  <c r="Y15" i="2" s="1"/>
  <c r="Z15" i="2" s="1"/>
  <c r="AA15" i="2" s="1"/>
  <c r="AB15" i="2" s="1"/>
  <c r="AC15" i="2" s="1"/>
  <c r="AD15" i="2" s="1"/>
  <c r="AE15" i="2" s="1"/>
  <c r="AF15" i="2" s="1"/>
  <c r="AG15" i="2" s="1"/>
  <c r="AH15" i="2" s="1"/>
  <c r="AI15" i="2" s="1"/>
  <c r="AJ15" i="2" s="1"/>
  <c r="AK15" i="2" s="1"/>
  <c r="AL15" i="2" s="1"/>
  <c r="C15" i="2"/>
  <c r="D15" i="2" s="1"/>
  <c r="E15" i="2" s="1"/>
  <c r="F15" i="2" s="1"/>
  <c r="G15" i="2" s="1"/>
  <c r="H15" i="2" s="1"/>
  <c r="I15" i="2" s="1"/>
  <c r="J15" i="2" s="1"/>
  <c r="K15" i="2" s="1"/>
  <c r="L15" i="2" s="1"/>
  <c r="M15" i="2" s="1"/>
  <c r="N15" i="2" s="1"/>
  <c r="O15" i="2" s="1"/>
  <c r="P15" i="2" s="1"/>
  <c r="Q15" i="2" s="1"/>
  <c r="R15" i="2" s="1"/>
  <c r="T100" i="17"/>
  <c r="T105" i="17"/>
  <c r="T103" i="17"/>
  <c r="T102" i="17"/>
  <c r="T104" i="17"/>
  <c r="AC104" i="17"/>
  <c r="AC100" i="17"/>
  <c r="AC105" i="17"/>
  <c r="AC102" i="17"/>
  <c r="AC103" i="17"/>
  <c r="AK34" i="4"/>
  <c r="AK32" i="4" s="1"/>
  <c r="AD105" i="12"/>
  <c r="AG45" i="4" s="1"/>
  <c r="AE46" i="4"/>
  <c r="AN44" i="4"/>
  <c r="AN43" i="4" s="1"/>
  <c r="K44" i="4"/>
  <c r="K43" i="4" s="1"/>
  <c r="M44" i="4"/>
  <c r="M43" i="4" s="1"/>
  <c r="V44" i="4"/>
  <c r="V43" i="4" s="1"/>
  <c r="X105" i="17"/>
  <c r="X100" i="17"/>
  <c r="X101" i="17"/>
  <c r="X104" i="17"/>
  <c r="X102" i="17"/>
  <c r="X103" i="17"/>
  <c r="P104" i="17"/>
  <c r="P105" i="17"/>
  <c r="P100" i="17"/>
  <c r="P102" i="17"/>
  <c r="P103" i="17"/>
  <c r="Y104" i="17"/>
  <c r="Y100" i="17"/>
  <c r="Y102" i="17"/>
  <c r="Y101" i="17"/>
  <c r="Y105" i="17"/>
  <c r="Y103" i="17"/>
  <c r="M103" i="17"/>
  <c r="M102" i="17"/>
  <c r="M104" i="17"/>
  <c r="M100" i="17"/>
  <c r="M105" i="17"/>
  <c r="Q101" i="17"/>
  <c r="Q100" i="17"/>
  <c r="Q103" i="17"/>
  <c r="Q102" i="17"/>
  <c r="Q104" i="17"/>
  <c r="Q105" i="17"/>
  <c r="X105" i="12"/>
  <c r="AA45" i="4" s="1"/>
  <c r="H28" i="4"/>
  <c r="U102" i="17"/>
  <c r="U100" i="17"/>
  <c r="U101" i="17"/>
  <c r="U104" i="17"/>
  <c r="U103" i="17"/>
  <c r="U105" i="17"/>
  <c r="AB102" i="17"/>
  <c r="AB104" i="17"/>
  <c r="AB103" i="17"/>
  <c r="AB100" i="17"/>
  <c r="AB105" i="17"/>
  <c r="AB101" i="17"/>
  <c r="L102" i="17"/>
  <c r="L104" i="17"/>
  <c r="L105" i="17"/>
  <c r="L103" i="17"/>
  <c r="L100" i="17"/>
  <c r="AM34" i="12"/>
  <c r="AP18" i="4" s="1"/>
  <c r="AP19" i="4"/>
  <c r="AM15" i="17" s="1"/>
  <c r="AM40" i="17" s="1"/>
  <c r="AM31" i="12"/>
  <c r="AN28" i="4"/>
  <c r="AD40" i="1"/>
  <c r="AF40" i="1"/>
  <c r="Y40" i="1"/>
  <c r="AM40" i="1"/>
  <c r="Z40" i="1"/>
  <c r="AN40" i="1"/>
  <c r="V40" i="1"/>
  <c r="AM28" i="4"/>
  <c r="X40" i="1"/>
  <c r="AJ40" i="1"/>
  <c r="N34" i="4"/>
  <c r="N32" i="4" s="1"/>
  <c r="V28" i="4"/>
  <c r="AC28" i="4"/>
  <c r="T28" i="4"/>
  <c r="S32" i="4"/>
  <c r="N28" i="4"/>
  <c r="F105" i="12"/>
  <c r="I45" i="4" s="1"/>
  <c r="AP7" i="4"/>
  <c r="W32" i="4"/>
  <c r="W44" i="4"/>
  <c r="W43" i="4" s="1"/>
  <c r="Z44" i="4"/>
  <c r="Z43" i="4" s="1"/>
  <c r="AI105" i="12"/>
  <c r="AL45" i="4" s="1"/>
  <c r="AL44" i="4" s="1"/>
  <c r="AL43" i="4" s="1"/>
  <c r="U105" i="12"/>
  <c r="X45" i="4" s="1"/>
  <c r="X44" i="4" s="1"/>
  <c r="X43" i="4" s="1"/>
  <c r="L105" i="12"/>
  <c r="O45" i="4" s="1"/>
  <c r="O44" i="4" s="1"/>
  <c r="O43" i="4" s="1"/>
  <c r="M105" i="12"/>
  <c r="P45" i="4" s="1"/>
  <c r="K28" i="4"/>
  <c r="AC40" i="1"/>
  <c r="AK40" i="1"/>
  <c r="B27" i="7"/>
  <c r="B30" i="7" s="1"/>
  <c r="AH40" i="1"/>
  <c r="AE28" i="4"/>
  <c r="AI40" i="1"/>
  <c r="N44" i="4"/>
  <c r="N43" i="4" s="1"/>
  <c r="AI44" i="4"/>
  <c r="AI43" i="4" s="1"/>
  <c r="Z34" i="4"/>
  <c r="K32" i="4"/>
  <c r="S31" i="7"/>
  <c r="S64" i="7" s="1"/>
  <c r="S65" i="7" s="1"/>
  <c r="V36" i="1" s="1"/>
  <c r="AB32" i="4"/>
  <c r="T32" i="4"/>
  <c r="Q28" i="4"/>
  <c r="G34" i="4"/>
  <c r="G32" i="4" s="1"/>
  <c r="AC34" i="4"/>
  <c r="AC32" i="4" s="1"/>
  <c r="AB28" i="4"/>
  <c r="W28" i="4"/>
  <c r="AD34" i="4"/>
  <c r="AD32" i="4" s="1"/>
  <c r="E34" i="4"/>
  <c r="E32" i="4" s="1"/>
  <c r="Y44" i="4"/>
  <c r="Y43" i="4" s="1"/>
  <c r="AC44" i="4"/>
  <c r="AC43" i="4" s="1"/>
  <c r="E44" i="4"/>
  <c r="E43" i="4" s="1"/>
  <c r="AH28" i="4"/>
  <c r="AD28" i="4"/>
  <c r="U28" i="4"/>
  <c r="O32" i="4"/>
  <c r="H32" i="4"/>
  <c r="AF28" i="4"/>
  <c r="I105" i="12"/>
  <c r="L45" i="4" s="1"/>
  <c r="L46" i="4"/>
  <c r="V71" i="12"/>
  <c r="Y33" i="4" s="1"/>
  <c r="Y34" i="4"/>
  <c r="AH105" i="12"/>
  <c r="AK45" i="4" s="1"/>
  <c r="AK46" i="4"/>
  <c r="Y28" i="4"/>
  <c r="AG105" i="12"/>
  <c r="AJ45" i="4" s="1"/>
  <c r="AJ46" i="4"/>
  <c r="AH32" i="4"/>
  <c r="M32" i="4"/>
  <c r="AB44" i="4"/>
  <c r="AB43" i="4" s="1"/>
  <c r="R44" i="4"/>
  <c r="R43" i="4" s="1"/>
  <c r="P44" i="4"/>
  <c r="P43" i="4" s="1"/>
  <c r="T46" i="4"/>
  <c r="Q105" i="12"/>
  <c r="T45" i="4" s="1"/>
  <c r="T44" i="4" s="1"/>
  <c r="T43" i="4" s="1"/>
  <c r="AD71" i="12"/>
  <c r="AG33" i="4" s="1"/>
  <c r="AG34" i="4"/>
  <c r="AA21" i="12"/>
  <c r="AD13" i="4" s="1"/>
  <c r="AD14" i="4"/>
  <c r="H21" i="12"/>
  <c r="K13" i="4" s="1"/>
  <c r="K14" i="4"/>
  <c r="X14" i="4"/>
  <c r="U21" i="12"/>
  <c r="X13" i="4" s="1"/>
  <c r="C118" i="12"/>
  <c r="F50" i="4" s="1"/>
  <c r="F51" i="4"/>
  <c r="J118" i="12"/>
  <c r="M50" i="4" s="1"/>
  <c r="M51" i="4"/>
  <c r="T118" i="12"/>
  <c r="W50" i="4" s="1"/>
  <c r="W51" i="4"/>
  <c r="Q118" i="12"/>
  <c r="T50" i="4" s="1"/>
  <c r="T51" i="4"/>
  <c r="Z83" i="12"/>
  <c r="AL83" i="12"/>
  <c r="AF83" i="12"/>
  <c r="E10" i="4"/>
  <c r="B10" i="12"/>
  <c r="E9" i="4" s="1"/>
  <c r="Z10" i="12"/>
  <c r="AC9" i="4" s="1"/>
  <c r="AC10" i="4"/>
  <c r="AF10" i="12"/>
  <c r="AI9" i="4" s="1"/>
  <c r="AI10" i="4"/>
  <c r="M28" i="4"/>
  <c r="K21" i="12"/>
  <c r="N13" i="4" s="1"/>
  <c r="N14" i="4"/>
  <c r="P21" i="12"/>
  <c r="S13" i="4" s="1"/>
  <c r="S14" i="4"/>
  <c r="B21" i="12"/>
  <c r="E13" i="4" s="1"/>
  <c r="E14" i="4"/>
  <c r="AH21" i="12"/>
  <c r="AK13" i="4" s="1"/>
  <c r="AK14" i="4"/>
  <c r="AN32" i="4"/>
  <c r="AG28" i="4"/>
  <c r="AM32" i="4"/>
  <c r="AL118" i="12"/>
  <c r="AO50" i="4" s="1"/>
  <c r="AO51" i="4"/>
  <c r="S118" i="12"/>
  <c r="V50" i="4" s="1"/>
  <c r="V51" i="4"/>
  <c r="R118" i="12"/>
  <c r="U50" i="4" s="1"/>
  <c r="U51" i="4"/>
  <c r="X118" i="12"/>
  <c r="AA50" i="4" s="1"/>
  <c r="AA51" i="4"/>
  <c r="X51" i="4"/>
  <c r="U118" i="12"/>
  <c r="X50" i="4" s="1"/>
  <c r="J83" i="12"/>
  <c r="N83" i="12"/>
  <c r="D83" i="12"/>
  <c r="Q83" i="12"/>
  <c r="K10" i="4"/>
  <c r="H10" i="12"/>
  <c r="K9" i="4" s="1"/>
  <c r="J10" i="12"/>
  <c r="M9" i="4" s="1"/>
  <c r="M10" i="4"/>
  <c r="P10" i="12"/>
  <c r="S9" i="4" s="1"/>
  <c r="S10" i="4"/>
  <c r="Q10" i="12"/>
  <c r="T9" i="4" s="1"/>
  <c r="T10" i="4"/>
  <c r="AK28" i="4"/>
  <c r="AJ28" i="4"/>
  <c r="R32" i="4"/>
  <c r="AO32" i="4"/>
  <c r="AA32" i="4"/>
  <c r="AF32" i="4"/>
  <c r="AA44" i="4"/>
  <c r="AA43" i="4" s="1"/>
  <c r="AD44" i="4"/>
  <c r="AD43" i="4" s="1"/>
  <c r="AG44" i="4"/>
  <c r="AG43" i="4" s="1"/>
  <c r="H44" i="4"/>
  <c r="H43" i="4" s="1"/>
  <c r="S44" i="4"/>
  <c r="S43" i="4" s="1"/>
  <c r="Q44" i="4"/>
  <c r="Q43" i="4" s="1"/>
  <c r="S21" i="12"/>
  <c r="V13" i="4" s="1"/>
  <c r="V14" i="4"/>
  <c r="AB21" i="12"/>
  <c r="AE13" i="4" s="1"/>
  <c r="AE14" i="4"/>
  <c r="T21" i="12"/>
  <c r="W13" i="4" s="1"/>
  <c r="W14" i="4"/>
  <c r="W21" i="12"/>
  <c r="Z13" i="4" s="1"/>
  <c r="Z14" i="4"/>
  <c r="X21" i="12"/>
  <c r="AA13" i="4" s="1"/>
  <c r="AA14" i="4"/>
  <c r="P14" i="4"/>
  <c r="M21" i="12"/>
  <c r="P13" i="4" s="1"/>
  <c r="AF14" i="4"/>
  <c r="AC21" i="12"/>
  <c r="AF13" i="4" s="1"/>
  <c r="F21" i="12"/>
  <c r="I13" i="4" s="1"/>
  <c r="I14" i="4"/>
  <c r="Y14" i="4"/>
  <c r="V21" i="12"/>
  <c r="Y13" i="4" s="1"/>
  <c r="AL21" i="12"/>
  <c r="AO13" i="4" s="1"/>
  <c r="AO14" i="4"/>
  <c r="I44" i="4"/>
  <c r="I43" i="4" s="1"/>
  <c r="J28" i="4"/>
  <c r="Z32" i="4"/>
  <c r="I32" i="4"/>
  <c r="AO28" i="4"/>
  <c r="I28" i="4"/>
  <c r="N118" i="12"/>
  <c r="Q50" i="4" s="1"/>
  <c r="Q51" i="4"/>
  <c r="K118" i="12"/>
  <c r="N50" i="4" s="1"/>
  <c r="N51" i="4"/>
  <c r="AI118" i="12"/>
  <c r="AL50" i="4" s="1"/>
  <c r="AL51" i="4"/>
  <c r="AE118" i="12"/>
  <c r="AH50" i="4" s="1"/>
  <c r="AH51" i="4"/>
  <c r="Z118" i="12"/>
  <c r="AC50" i="4" s="1"/>
  <c r="AC51" i="4"/>
  <c r="L118" i="12"/>
  <c r="O50" i="4" s="1"/>
  <c r="O51" i="4"/>
  <c r="AB118" i="12"/>
  <c r="AE50" i="4" s="1"/>
  <c r="AE51" i="4"/>
  <c r="I118" i="12"/>
  <c r="L50" i="4" s="1"/>
  <c r="L51" i="4"/>
  <c r="Y118" i="12"/>
  <c r="AB50" i="4" s="1"/>
  <c r="AB51" i="4"/>
  <c r="K83" i="12"/>
  <c r="R83" i="12"/>
  <c r="S83" i="12"/>
  <c r="V83" i="12"/>
  <c r="O83" i="12"/>
  <c r="H83" i="12"/>
  <c r="X83" i="12"/>
  <c r="E83" i="12"/>
  <c r="U83" i="12"/>
  <c r="AK83" i="12"/>
  <c r="C10" i="12"/>
  <c r="F9" i="4" s="1"/>
  <c r="F10" i="4"/>
  <c r="G10" i="12"/>
  <c r="J9" i="4" s="1"/>
  <c r="J10" i="4"/>
  <c r="S10" i="12"/>
  <c r="V9" i="4" s="1"/>
  <c r="V10" i="4"/>
  <c r="Z10" i="4"/>
  <c r="W10" i="12"/>
  <c r="Z9" i="4" s="1"/>
  <c r="O10" i="12"/>
  <c r="R9" i="4" s="1"/>
  <c r="R10" i="4"/>
  <c r="AJ10" i="12"/>
  <c r="AM9" i="4" s="1"/>
  <c r="AM10" i="4"/>
  <c r="V10" i="12"/>
  <c r="Y9" i="4" s="1"/>
  <c r="Y10" i="4"/>
  <c r="E10" i="12"/>
  <c r="H9" i="4" s="1"/>
  <c r="H10" i="4"/>
  <c r="U10" i="12"/>
  <c r="X9" i="4" s="1"/>
  <c r="X10" i="4"/>
  <c r="U14" i="17" s="1"/>
  <c r="AK10" i="12"/>
  <c r="AN9" i="4" s="1"/>
  <c r="AN10" i="4"/>
  <c r="AL32" i="4"/>
  <c r="F32" i="4"/>
  <c r="U32" i="4"/>
  <c r="Q32" i="4"/>
  <c r="F44" i="4"/>
  <c r="F43" i="4" s="1"/>
  <c r="AE44" i="4"/>
  <c r="AE43" i="4" s="1"/>
  <c r="AH44" i="4"/>
  <c r="AH43" i="4" s="1"/>
  <c r="AO44" i="4"/>
  <c r="AO43" i="4" s="1"/>
  <c r="U44" i="4"/>
  <c r="U43" i="4" s="1"/>
  <c r="AJ21" i="12"/>
  <c r="AM13" i="4" s="1"/>
  <c r="AM14" i="4"/>
  <c r="C21" i="12"/>
  <c r="F13" i="4" s="1"/>
  <c r="F14" i="4"/>
  <c r="H14" i="4"/>
  <c r="E21" i="12"/>
  <c r="H13" i="4" s="1"/>
  <c r="AN14" i="4"/>
  <c r="AK21" i="12"/>
  <c r="AN13" i="4" s="1"/>
  <c r="N21" i="12"/>
  <c r="Q13" i="4" s="1"/>
  <c r="Q14" i="4"/>
  <c r="AG14" i="4"/>
  <c r="AD21" i="12"/>
  <c r="AG13" i="4" s="1"/>
  <c r="AM48" i="12"/>
  <c r="AP24" i="4" s="1"/>
  <c r="AM44" i="12"/>
  <c r="AM122" i="12"/>
  <c r="F118" i="12"/>
  <c r="I50" i="4" s="1"/>
  <c r="I51" i="4"/>
  <c r="O118" i="12"/>
  <c r="R50" i="4" s="1"/>
  <c r="R51" i="4"/>
  <c r="D118" i="12"/>
  <c r="G50" i="4" s="1"/>
  <c r="G51" i="4"/>
  <c r="AJ118" i="12"/>
  <c r="AM50" i="4" s="1"/>
  <c r="AM51" i="4"/>
  <c r="AG118" i="12"/>
  <c r="AJ50" i="4" s="1"/>
  <c r="AJ51" i="4"/>
  <c r="AH83" i="12"/>
  <c r="F83" i="12"/>
  <c r="AE16" i="17"/>
  <c r="AE83" i="12"/>
  <c r="P83" i="12"/>
  <c r="M83" i="12"/>
  <c r="AC83" i="12"/>
  <c r="X10" i="12"/>
  <c r="AA9" i="4" s="1"/>
  <c r="AA10" i="4"/>
  <c r="AB10" i="12"/>
  <c r="AE9" i="4" s="1"/>
  <c r="AE10" i="4"/>
  <c r="G10" i="4"/>
  <c r="D10" i="12"/>
  <c r="G9" i="4" s="1"/>
  <c r="K10" i="12"/>
  <c r="N9" i="4" s="1"/>
  <c r="N10" i="4"/>
  <c r="M10" i="12"/>
  <c r="P9" i="4" s="1"/>
  <c r="P10" i="4"/>
  <c r="AC10" i="12"/>
  <c r="AF9" i="4" s="1"/>
  <c r="AF10" i="4"/>
  <c r="AL28" i="4"/>
  <c r="F28" i="4"/>
  <c r="E28" i="4"/>
  <c r="G21" i="12"/>
  <c r="J13" i="4" s="1"/>
  <c r="J14" i="4"/>
  <c r="L21" i="12"/>
  <c r="O13" i="4" s="1"/>
  <c r="O14" i="4"/>
  <c r="L14" i="4"/>
  <c r="I21" i="12"/>
  <c r="L13" i="4" s="1"/>
  <c r="AB14" i="4"/>
  <c r="Y21" i="12"/>
  <c r="AB13" i="4" s="1"/>
  <c r="R21" i="12"/>
  <c r="U13" i="4" s="1"/>
  <c r="U14" i="4"/>
  <c r="AE32" i="4"/>
  <c r="L28" i="4"/>
  <c r="AJ32" i="4"/>
  <c r="AA118" i="12"/>
  <c r="AD50" i="4" s="1"/>
  <c r="AD51" i="4"/>
  <c r="W118" i="12"/>
  <c r="Z50" i="4" s="1"/>
  <c r="Z51" i="4"/>
  <c r="H118" i="12"/>
  <c r="K50" i="4" s="1"/>
  <c r="K51" i="4"/>
  <c r="H51" i="4"/>
  <c r="E118" i="12"/>
  <c r="H50" i="4" s="1"/>
  <c r="AN51" i="4"/>
  <c r="AK118" i="12"/>
  <c r="AN50" i="4" s="1"/>
  <c r="C83" i="12"/>
  <c r="G83" i="12"/>
  <c r="T83" i="12"/>
  <c r="AJ83" i="12"/>
  <c r="AG83" i="12"/>
  <c r="AI10" i="12"/>
  <c r="AL9" i="4" s="1"/>
  <c r="AL10" i="4"/>
  <c r="L10" i="12"/>
  <c r="O9" i="4" s="1"/>
  <c r="O10" i="4"/>
  <c r="L14" i="17" s="1"/>
  <c r="AH10" i="4"/>
  <c r="AE10" i="12"/>
  <c r="AH9" i="4" s="1"/>
  <c r="AL10" i="12"/>
  <c r="AO9" i="4" s="1"/>
  <c r="AO10" i="4"/>
  <c r="AG10" i="12"/>
  <c r="AJ9" i="4" s="1"/>
  <c r="AJ10" i="4"/>
  <c r="D21" i="12"/>
  <c r="G13" i="4" s="1"/>
  <c r="G14" i="4"/>
  <c r="O21" i="12"/>
  <c r="R13" i="4" s="1"/>
  <c r="R14" i="4"/>
  <c r="AE21" i="12"/>
  <c r="AH13" i="4" s="1"/>
  <c r="AH14" i="4"/>
  <c r="AI21" i="12"/>
  <c r="AL13" i="4" s="1"/>
  <c r="AL14" i="4"/>
  <c r="AF21" i="12"/>
  <c r="AI13" i="4" s="1"/>
  <c r="AI14" i="4"/>
  <c r="T14" i="4"/>
  <c r="Q21" i="12"/>
  <c r="T13" i="4" s="1"/>
  <c r="AJ14" i="4"/>
  <c r="AG21" i="12"/>
  <c r="AJ13" i="4" s="1"/>
  <c r="J21" i="12"/>
  <c r="M13" i="4" s="1"/>
  <c r="M14" i="4"/>
  <c r="Z21" i="12"/>
  <c r="AC13" i="4" s="1"/>
  <c r="AC14" i="4"/>
  <c r="AM44" i="4"/>
  <c r="AM43" i="4" s="1"/>
  <c r="G44" i="4"/>
  <c r="G43" i="4" s="1"/>
  <c r="J44" i="4"/>
  <c r="J43" i="4" s="1"/>
  <c r="AF44" i="4"/>
  <c r="AF43" i="4" s="1"/>
  <c r="C29" i="3"/>
  <c r="C3" i="14" s="1"/>
  <c r="C27" i="14" s="1"/>
  <c r="AP5" i="4"/>
  <c r="AM17" i="17"/>
  <c r="AM42" i="17" s="1"/>
  <c r="R28" i="4"/>
  <c r="V118" i="12"/>
  <c r="Y50" i="4" s="1"/>
  <c r="Y51" i="4"/>
  <c r="AD118" i="12"/>
  <c r="AG50" i="4" s="1"/>
  <c r="AG51" i="4"/>
  <c r="G118" i="12"/>
  <c r="J50" i="4" s="1"/>
  <c r="J51" i="4"/>
  <c r="B118" i="12"/>
  <c r="E50" i="4" s="1"/>
  <c r="E51" i="4"/>
  <c r="AH118" i="12"/>
  <c r="AK50" i="4" s="1"/>
  <c r="AK51" i="4"/>
  <c r="S51" i="4"/>
  <c r="P118" i="12"/>
  <c r="S50" i="4" s="1"/>
  <c r="AF118" i="12"/>
  <c r="AI50" i="4" s="1"/>
  <c r="AI51" i="4"/>
  <c r="M118" i="12"/>
  <c r="P50" i="4" s="1"/>
  <c r="P51" i="4"/>
  <c r="AC118" i="12"/>
  <c r="AF50" i="4" s="1"/>
  <c r="AF51" i="4"/>
  <c r="AA83" i="12"/>
  <c r="B16" i="17"/>
  <c r="B83" i="12"/>
  <c r="AI83" i="12"/>
  <c r="AD16" i="17"/>
  <c r="AD83" i="12"/>
  <c r="W83" i="12"/>
  <c r="L16" i="17"/>
  <c r="L83" i="12"/>
  <c r="AB83" i="12"/>
  <c r="I16" i="17"/>
  <c r="I83" i="12"/>
  <c r="Y83" i="12"/>
  <c r="Q10" i="4"/>
  <c r="N10" i="12"/>
  <c r="Q9" i="4" s="1"/>
  <c r="R10" i="12"/>
  <c r="U9" i="4" s="1"/>
  <c r="U10" i="4"/>
  <c r="AG10" i="4"/>
  <c r="AD10" i="12"/>
  <c r="AG9" i="4" s="1"/>
  <c r="AH10" i="12"/>
  <c r="AK9" i="4" s="1"/>
  <c r="AK10" i="4"/>
  <c r="T10" i="12"/>
  <c r="W9" i="4" s="1"/>
  <c r="W10" i="4"/>
  <c r="F10" i="12"/>
  <c r="I9" i="4" s="1"/>
  <c r="I10" i="4"/>
  <c r="AA10" i="12"/>
  <c r="AD9" i="4" s="1"/>
  <c r="AD10" i="4"/>
  <c r="L10" i="4"/>
  <c r="I10" i="12"/>
  <c r="L9" i="4" s="1"/>
  <c r="Y10" i="12"/>
  <c r="AB9" i="4" s="1"/>
  <c r="AB10" i="4"/>
  <c r="AM47" i="17"/>
  <c r="AO17" i="1"/>
  <c r="AO18" i="1"/>
  <c r="G13" i="1"/>
  <c r="H11" i="1"/>
  <c r="AO16" i="1"/>
  <c r="AM68" i="17"/>
  <c r="Y14" i="17" l="1"/>
  <c r="AB14" i="17"/>
  <c r="AL14" i="17"/>
  <c r="W14" i="17"/>
  <c r="X12" i="4"/>
  <c r="AC106" i="17"/>
  <c r="X106" i="17"/>
  <c r="W49" i="4"/>
  <c r="K12" i="4"/>
  <c r="Y106" i="17"/>
  <c r="AJ44" i="4"/>
  <c r="AJ43" i="4" s="1"/>
  <c r="L106" i="17"/>
  <c r="T106" i="17"/>
  <c r="F49" i="4"/>
  <c r="AG32" i="4"/>
  <c r="M106" i="17"/>
  <c r="P106" i="17"/>
  <c r="AG16" i="17"/>
  <c r="T16" i="17"/>
  <c r="C16" i="17"/>
  <c r="X16" i="17"/>
  <c r="S16" i="17"/>
  <c r="H14" i="17"/>
  <c r="AK44" i="4"/>
  <c r="AK43" i="4" s="1"/>
  <c r="L44" i="4"/>
  <c r="L43" i="4" s="1"/>
  <c r="AB106" i="17"/>
  <c r="U106" i="17"/>
  <c r="Q106" i="17"/>
  <c r="E12" i="4"/>
  <c r="S5" i="17"/>
  <c r="P49" i="4"/>
  <c r="E49" i="4"/>
  <c r="AG49" i="4"/>
  <c r="M12" i="4"/>
  <c r="AL12" i="4"/>
  <c r="R12" i="4"/>
  <c r="AJ16" i="17"/>
  <c r="AM49" i="4"/>
  <c r="R49" i="4"/>
  <c r="H12" i="4"/>
  <c r="AK16" i="17"/>
  <c r="J14" i="17"/>
  <c r="X49" i="4"/>
  <c r="B14" i="17"/>
  <c r="V37" i="1"/>
  <c r="S13" i="17" s="1"/>
  <c r="M14" i="17"/>
  <c r="F12" i="4"/>
  <c r="N12" i="4"/>
  <c r="AC33" i="12"/>
  <c r="AF33" i="12"/>
  <c r="H33" i="12"/>
  <c r="AK33" i="12"/>
  <c r="E33" i="12"/>
  <c r="Q33" i="12"/>
  <c r="U33" i="12"/>
  <c r="I33" i="12"/>
  <c r="Y33" i="12"/>
  <c r="W33" i="12"/>
  <c r="G33" i="12"/>
  <c r="AD33" i="12"/>
  <c r="N33" i="12"/>
  <c r="AJ33" i="12"/>
  <c r="D33" i="12"/>
  <c r="AI33" i="12"/>
  <c r="S33" i="12"/>
  <c r="C33" i="12"/>
  <c r="Z33" i="12"/>
  <c r="J33" i="12"/>
  <c r="AB33" i="12"/>
  <c r="M33" i="12"/>
  <c r="AE33" i="12"/>
  <c r="O33" i="12"/>
  <c r="AL33" i="12"/>
  <c r="V33" i="12"/>
  <c r="F33" i="12"/>
  <c r="T33" i="12"/>
  <c r="X33" i="12"/>
  <c r="R33" i="12"/>
  <c r="B33" i="12"/>
  <c r="K33" i="12"/>
  <c r="P33" i="12"/>
  <c r="AH33" i="12"/>
  <c r="AG33" i="12"/>
  <c r="AA33" i="12"/>
  <c r="L33" i="12"/>
  <c r="AA14" i="17"/>
  <c r="T14" i="17"/>
  <c r="AJ12" i="4"/>
  <c r="K14" i="17"/>
  <c r="P12" i="4"/>
  <c r="E37" i="1"/>
  <c r="B13" i="17" s="1"/>
  <c r="B31" i="7"/>
  <c r="B64" i="7" s="1"/>
  <c r="B65" i="7" s="1"/>
  <c r="E36" i="1" s="1"/>
  <c r="AM7" i="17"/>
  <c r="AM31" i="17" s="1"/>
  <c r="AM67" i="17" s="1"/>
  <c r="AP17" i="4"/>
  <c r="N14" i="17"/>
  <c r="Z49" i="4"/>
  <c r="Y32" i="4"/>
  <c r="F14" i="17"/>
  <c r="AG14" i="17"/>
  <c r="AI14" i="17"/>
  <c r="AN49" i="4"/>
  <c r="L12" i="4"/>
  <c r="P16" i="17"/>
  <c r="K16" i="17"/>
  <c r="Q16" i="17"/>
  <c r="O12" i="4"/>
  <c r="AC14" i="17"/>
  <c r="W16" i="17"/>
  <c r="E14" i="17"/>
  <c r="AJ14" i="17"/>
  <c r="Y12" i="4"/>
  <c r="AF12" i="4"/>
  <c r="N6" i="17"/>
  <c r="Q8" i="4"/>
  <c r="I8" i="17"/>
  <c r="L38" i="4"/>
  <c r="L37" i="4" s="1"/>
  <c r="AD8" i="17"/>
  <c r="AG38" i="4"/>
  <c r="AG37" i="4" s="1"/>
  <c r="L6" i="17"/>
  <c r="O8" i="4"/>
  <c r="P8" i="17"/>
  <c r="S38" i="4"/>
  <c r="S37" i="4" s="1"/>
  <c r="AI47" i="12"/>
  <c r="AE47" i="12"/>
  <c r="AA47" i="12"/>
  <c r="W47" i="12"/>
  <c r="S47" i="12"/>
  <c r="O47" i="12"/>
  <c r="K47" i="12"/>
  <c r="G47" i="12"/>
  <c r="C47" i="12"/>
  <c r="AL47" i="12"/>
  <c r="AH47" i="12"/>
  <c r="AD47" i="12"/>
  <c r="Z47" i="12"/>
  <c r="V47" i="12"/>
  <c r="R47" i="12"/>
  <c r="N47" i="12"/>
  <c r="J47" i="12"/>
  <c r="F47" i="12"/>
  <c r="B47" i="12"/>
  <c r="AG47" i="12"/>
  <c r="Y47" i="12"/>
  <c r="Q47" i="12"/>
  <c r="I47" i="12"/>
  <c r="AK47" i="12"/>
  <c r="AB47" i="12"/>
  <c r="P47" i="12"/>
  <c r="E47" i="12"/>
  <c r="AJ47" i="12"/>
  <c r="X47" i="12"/>
  <c r="M47" i="12"/>
  <c r="D47" i="12"/>
  <c r="T47" i="12"/>
  <c r="AF47" i="12"/>
  <c r="L47" i="12"/>
  <c r="AC47" i="12"/>
  <c r="H47" i="12"/>
  <c r="U47" i="12"/>
  <c r="W6" i="17"/>
  <c r="Z8" i="4"/>
  <c r="AK8" i="17"/>
  <c r="AN38" i="4"/>
  <c r="AN37" i="4" s="1"/>
  <c r="H8" i="17"/>
  <c r="K38" i="4"/>
  <c r="K37" i="4" s="1"/>
  <c r="R8" i="17"/>
  <c r="U38" i="4"/>
  <c r="U37" i="4" s="1"/>
  <c r="Q14" i="17"/>
  <c r="Q8" i="17"/>
  <c r="T38" i="4"/>
  <c r="T37" i="4" s="1"/>
  <c r="N8" i="17"/>
  <c r="Q38" i="4"/>
  <c r="Q37" i="4" s="1"/>
  <c r="AF16" i="17"/>
  <c r="Y6" i="17"/>
  <c r="AB8" i="4"/>
  <c r="T6" i="17"/>
  <c r="W8" i="4"/>
  <c r="AF49" i="4"/>
  <c r="AI49" i="4"/>
  <c r="AK49" i="4"/>
  <c r="J49" i="4"/>
  <c r="Y49" i="4"/>
  <c r="J12" i="4"/>
  <c r="AC6" i="17"/>
  <c r="AF8" i="4"/>
  <c r="AB6" i="17"/>
  <c r="AE8" i="4"/>
  <c r="AJ49" i="4"/>
  <c r="I49" i="4"/>
  <c r="E6" i="17"/>
  <c r="H8" i="4"/>
  <c r="G6" i="17"/>
  <c r="J8" i="4"/>
  <c r="E16" i="17"/>
  <c r="V16" i="17"/>
  <c r="AB49" i="4"/>
  <c r="AC49" i="4"/>
  <c r="Q49" i="4"/>
  <c r="W12" i="4"/>
  <c r="J6" i="17"/>
  <c r="M8" i="4"/>
  <c r="N16" i="17"/>
  <c r="AO49" i="4"/>
  <c r="AF14" i="17"/>
  <c r="B6" i="17"/>
  <c r="E8" i="4"/>
  <c r="AL8" i="17"/>
  <c r="AO38" i="4"/>
  <c r="AO37" i="4" s="1"/>
  <c r="I6" i="17"/>
  <c r="L8" i="4"/>
  <c r="AH14" i="17"/>
  <c r="R14" i="17"/>
  <c r="Y8" i="17"/>
  <c r="AB38" i="4"/>
  <c r="AB37" i="4" s="1"/>
  <c r="AB8" i="17"/>
  <c r="AE38" i="4"/>
  <c r="AE37" i="4" s="1"/>
  <c r="W8" i="17"/>
  <c r="Z38" i="4"/>
  <c r="Z37" i="4" s="1"/>
  <c r="AI8" i="17"/>
  <c r="AL38" i="4"/>
  <c r="AL37" i="4" s="1"/>
  <c r="AA8" i="17"/>
  <c r="AD38" i="4"/>
  <c r="AD37" i="4" s="1"/>
  <c r="S49" i="4"/>
  <c r="AC12" i="4"/>
  <c r="AI12" i="4"/>
  <c r="AH12" i="4"/>
  <c r="G12" i="4"/>
  <c r="AG6" i="17"/>
  <c r="AJ8" i="4"/>
  <c r="AE14" i="17"/>
  <c r="AI6" i="17"/>
  <c r="AL8" i="4"/>
  <c r="G16" i="17"/>
  <c r="K49" i="4"/>
  <c r="AD49" i="4"/>
  <c r="AB12" i="4"/>
  <c r="D6" i="17"/>
  <c r="G8" i="4"/>
  <c r="X14" i="17"/>
  <c r="M8" i="17"/>
  <c r="P38" i="4"/>
  <c r="P37" i="4" s="1"/>
  <c r="AE8" i="17"/>
  <c r="AH38" i="4"/>
  <c r="AH37" i="4" s="1"/>
  <c r="AH8" i="17"/>
  <c r="AK38" i="4"/>
  <c r="AK37" i="4" s="1"/>
  <c r="Q12" i="4"/>
  <c r="AM12" i="4"/>
  <c r="V14" i="17"/>
  <c r="O14" i="17"/>
  <c r="S14" i="17"/>
  <c r="C14" i="17"/>
  <c r="U8" i="17"/>
  <c r="X38" i="4"/>
  <c r="X37" i="4" s="1"/>
  <c r="X8" i="17"/>
  <c r="AA38" i="4"/>
  <c r="AA37" i="4" s="1"/>
  <c r="O8" i="17"/>
  <c r="R38" i="4"/>
  <c r="R37" i="4" s="1"/>
  <c r="S8" i="17"/>
  <c r="V38" i="4"/>
  <c r="V37" i="4" s="1"/>
  <c r="K8" i="17"/>
  <c r="N38" i="4"/>
  <c r="N37" i="4" s="1"/>
  <c r="P14" i="17"/>
  <c r="H6" i="17"/>
  <c r="K8" i="4"/>
  <c r="D8" i="17"/>
  <c r="G38" i="4"/>
  <c r="G37" i="4" s="1"/>
  <c r="J8" i="17"/>
  <c r="M38" i="4"/>
  <c r="M37" i="4" s="1"/>
  <c r="AK12" i="4"/>
  <c r="S12" i="4"/>
  <c r="AF6" i="17"/>
  <c r="AI8" i="4"/>
  <c r="AL16" i="17"/>
  <c r="T49" i="4"/>
  <c r="M49" i="4"/>
  <c r="AD12" i="4"/>
  <c r="AD6" i="17"/>
  <c r="AG8" i="4"/>
  <c r="L8" i="17"/>
  <c r="O38" i="4"/>
  <c r="O37" i="4" s="1"/>
  <c r="B8" i="17"/>
  <c r="E38" i="4"/>
  <c r="E37" i="4" s="1"/>
  <c r="AL6" i="17"/>
  <c r="AO8" i="4"/>
  <c r="AC8" i="17"/>
  <c r="AF38" i="4"/>
  <c r="AF37" i="4" s="1"/>
  <c r="F8" i="17"/>
  <c r="I38" i="4"/>
  <c r="I37" i="4" s="1"/>
  <c r="AK14" i="17"/>
  <c r="G14" i="17"/>
  <c r="E8" i="17"/>
  <c r="H38" i="4"/>
  <c r="H37" i="4" s="1"/>
  <c r="V8" i="17"/>
  <c r="Y38" i="4"/>
  <c r="Y37" i="4" s="1"/>
  <c r="Z6" i="17"/>
  <c r="AC8" i="4"/>
  <c r="Z16" i="17"/>
  <c r="AA6" i="17"/>
  <c r="AD8" i="4"/>
  <c r="AD14" i="17"/>
  <c r="AE6" i="17"/>
  <c r="AH8" i="4"/>
  <c r="AJ8" i="17"/>
  <c r="AM38" i="4"/>
  <c r="AM37" i="4" s="1"/>
  <c r="G8" i="17"/>
  <c r="J38" i="4"/>
  <c r="J37" i="4" s="1"/>
  <c r="U12" i="4"/>
  <c r="K6" i="17"/>
  <c r="N8" i="4"/>
  <c r="AC16" i="17"/>
  <c r="F16" i="17"/>
  <c r="G49" i="4"/>
  <c r="AM9" i="17"/>
  <c r="AM33" i="17" s="1"/>
  <c r="AM69" i="17" s="1"/>
  <c r="AP23" i="4"/>
  <c r="AP22" i="4" s="1"/>
  <c r="AP4" i="4" s="1"/>
  <c r="AK6" i="17"/>
  <c r="AN8" i="4"/>
  <c r="AJ6" i="17"/>
  <c r="AM8" i="4"/>
  <c r="H16" i="17"/>
  <c r="R16" i="17"/>
  <c r="AE49" i="4"/>
  <c r="AL49" i="4"/>
  <c r="AA12" i="4"/>
  <c r="V12" i="4"/>
  <c r="Q6" i="17"/>
  <c r="T8" i="4"/>
  <c r="U49" i="4"/>
  <c r="I14" i="17"/>
  <c r="F6" i="17"/>
  <c r="I8" i="4"/>
  <c r="AH6" i="17"/>
  <c r="AK8" i="4"/>
  <c r="R6" i="17"/>
  <c r="U8" i="4"/>
  <c r="Y16" i="17"/>
  <c r="AB16" i="17"/>
  <c r="AI16" i="17"/>
  <c r="AA16" i="17"/>
  <c r="T12" i="4"/>
  <c r="AG8" i="17"/>
  <c r="AJ38" i="4"/>
  <c r="AJ37" i="4" s="1"/>
  <c r="T8" i="17"/>
  <c r="W38" i="4"/>
  <c r="W37" i="4" s="1"/>
  <c r="C8" i="17"/>
  <c r="F38" i="4"/>
  <c r="F37" i="4" s="1"/>
  <c r="H49" i="4"/>
  <c r="M6" i="17"/>
  <c r="P8" i="4"/>
  <c r="D14" i="17"/>
  <c r="X6" i="17"/>
  <c r="AA8" i="4"/>
  <c r="M16" i="17"/>
  <c r="AH16" i="17"/>
  <c r="AG12" i="4"/>
  <c r="AN12" i="4"/>
  <c r="U6" i="17"/>
  <c r="X8" i="4"/>
  <c r="X7" i="4" s="1"/>
  <c r="V6" i="17"/>
  <c r="Y8" i="4"/>
  <c r="Y7" i="4" s="1"/>
  <c r="O6" i="17"/>
  <c r="R8" i="4"/>
  <c r="S6" i="17"/>
  <c r="V8" i="4"/>
  <c r="C6" i="17"/>
  <c r="F8" i="4"/>
  <c r="U16" i="17"/>
  <c r="O16" i="17"/>
  <c r="L49" i="4"/>
  <c r="O49" i="4"/>
  <c r="AH49" i="4"/>
  <c r="N49" i="4"/>
  <c r="AO12" i="4"/>
  <c r="I12" i="4"/>
  <c r="Z12" i="4"/>
  <c r="AE12" i="4"/>
  <c r="P6" i="17"/>
  <c r="S8" i="4"/>
  <c r="D16" i="17"/>
  <c r="J16" i="17"/>
  <c r="AA49" i="4"/>
  <c r="V49" i="4"/>
  <c r="Z14" i="17"/>
  <c r="AF8" i="17"/>
  <c r="AI38" i="4"/>
  <c r="AI37" i="4" s="1"/>
  <c r="Z8" i="17"/>
  <c r="AC38" i="4"/>
  <c r="AC37" i="4" s="1"/>
  <c r="AO15" i="1"/>
  <c r="AO9" i="1" s="1"/>
  <c r="AO4" i="1" s="1"/>
  <c r="I11" i="1"/>
  <c r="H13" i="1"/>
  <c r="R7" i="4" l="1"/>
  <c r="N7" i="4"/>
  <c r="AJ7" i="4"/>
  <c r="AF7" i="4"/>
  <c r="K7" i="4"/>
  <c r="E7" i="4"/>
  <c r="V7" i="4"/>
  <c r="AD7" i="4"/>
  <c r="H7" i="4"/>
  <c r="AJ19" i="4"/>
  <c r="AG15" i="17" s="1"/>
  <c r="AG34" i="12"/>
  <c r="AJ18" i="4" s="1"/>
  <c r="F34" i="12"/>
  <c r="I18" i="4" s="1"/>
  <c r="I19" i="4"/>
  <c r="F15" i="17" s="1"/>
  <c r="D34" i="12"/>
  <c r="G18" i="4" s="1"/>
  <c r="G19" i="4"/>
  <c r="D15" i="17" s="1"/>
  <c r="U34" i="12"/>
  <c r="X18" i="4" s="1"/>
  <c r="X19" i="4"/>
  <c r="U15" i="17" s="1"/>
  <c r="G7" i="4"/>
  <c r="R34" i="12"/>
  <c r="U18" i="4" s="1"/>
  <c r="U19" i="4"/>
  <c r="R15" i="17" s="1"/>
  <c r="Y19" i="4"/>
  <c r="V15" i="17" s="1"/>
  <c r="V34" i="12"/>
  <c r="Y18" i="4" s="1"/>
  <c r="C34" i="12"/>
  <c r="F18" i="4" s="1"/>
  <c r="F19" i="4"/>
  <c r="C15" i="17" s="1"/>
  <c r="Z19" i="4"/>
  <c r="W15" i="17" s="1"/>
  <c r="W34" i="12"/>
  <c r="Z18" i="4" s="1"/>
  <c r="AF34" i="12"/>
  <c r="AI18" i="4" s="1"/>
  <c r="AI19" i="4"/>
  <c r="AF15" i="17" s="1"/>
  <c r="S7" i="4"/>
  <c r="F7" i="4"/>
  <c r="M7" i="4"/>
  <c r="L34" i="12"/>
  <c r="O18" i="4" s="1"/>
  <c r="O19" i="4"/>
  <c r="L15" i="17" s="1"/>
  <c r="P34" i="12"/>
  <c r="S18" i="4" s="1"/>
  <c r="S19" i="4"/>
  <c r="P15" i="17" s="1"/>
  <c r="AA19" i="4"/>
  <c r="X15" i="17" s="1"/>
  <c r="X34" i="12"/>
  <c r="AA18" i="4" s="1"/>
  <c r="AO19" i="4"/>
  <c r="AL15" i="17" s="1"/>
  <c r="AL34" i="12"/>
  <c r="AO18" i="4" s="1"/>
  <c r="AB34" i="12"/>
  <c r="AE18" i="4" s="1"/>
  <c r="AE19" i="4"/>
  <c r="AB15" i="17" s="1"/>
  <c r="S34" i="12"/>
  <c r="V18" i="4" s="1"/>
  <c r="V19" i="4"/>
  <c r="S15" i="17" s="1"/>
  <c r="Q19" i="4"/>
  <c r="N15" i="17" s="1"/>
  <c r="N34" i="12"/>
  <c r="Q18" i="4" s="1"/>
  <c r="AB19" i="4"/>
  <c r="Y15" i="17" s="1"/>
  <c r="Y34" i="12"/>
  <c r="AB18" i="4" s="1"/>
  <c r="E34" i="12"/>
  <c r="H18" i="4" s="1"/>
  <c r="H19" i="4"/>
  <c r="E15" i="17" s="1"/>
  <c r="AF19" i="4"/>
  <c r="AC15" i="17" s="1"/>
  <c r="AC34" i="12"/>
  <c r="AF18" i="4" s="1"/>
  <c r="V35" i="1"/>
  <c r="B34" i="12"/>
  <c r="E18" i="4" s="1"/>
  <c r="E19" i="4"/>
  <c r="B15" i="17" s="1"/>
  <c r="AE34" i="12"/>
  <c r="AH18" i="4" s="1"/>
  <c r="AH19" i="4"/>
  <c r="AE15" i="17" s="1"/>
  <c r="Z34" i="12"/>
  <c r="AC18" i="4" s="1"/>
  <c r="AC19" i="4"/>
  <c r="Z15" i="17" s="1"/>
  <c r="J19" i="4"/>
  <c r="G15" i="17" s="1"/>
  <c r="G34" i="12"/>
  <c r="J18" i="4" s="1"/>
  <c r="H34" i="12"/>
  <c r="K18" i="4" s="1"/>
  <c r="K19" i="4"/>
  <c r="H15" i="17" s="1"/>
  <c r="AK19" i="4"/>
  <c r="AH15" i="17" s="1"/>
  <c r="AH34" i="12"/>
  <c r="AK18" i="4" s="1"/>
  <c r="P19" i="4"/>
  <c r="M15" i="17" s="1"/>
  <c r="M34" i="12"/>
  <c r="P18" i="4" s="1"/>
  <c r="AJ34" i="12"/>
  <c r="AM18" i="4" s="1"/>
  <c r="AM19" i="4"/>
  <c r="AJ15" i="17" s="1"/>
  <c r="Q34" i="12"/>
  <c r="T18" i="4" s="1"/>
  <c r="T19" i="4"/>
  <c r="Q15" i="17" s="1"/>
  <c r="P7" i="4"/>
  <c r="AL7" i="4"/>
  <c r="B5" i="17"/>
  <c r="E35" i="1"/>
  <c r="AA34" i="12"/>
  <c r="AD18" i="4" s="1"/>
  <c r="AD19" i="4"/>
  <c r="AA15" i="17" s="1"/>
  <c r="K34" i="12"/>
  <c r="N18" i="4" s="1"/>
  <c r="N19" i="4"/>
  <c r="K15" i="17" s="1"/>
  <c r="W19" i="4"/>
  <c r="T15" i="17" s="1"/>
  <c r="T34" i="12"/>
  <c r="W18" i="4" s="1"/>
  <c r="O34" i="12"/>
  <c r="R18" i="4" s="1"/>
  <c r="R19" i="4"/>
  <c r="O15" i="17" s="1"/>
  <c r="M19" i="4"/>
  <c r="J15" i="17" s="1"/>
  <c r="J34" i="12"/>
  <c r="M18" i="4" s="1"/>
  <c r="AL19" i="4"/>
  <c r="AI15" i="17" s="1"/>
  <c r="AI34" i="12"/>
  <c r="AL18" i="4" s="1"/>
  <c r="AD34" i="12"/>
  <c r="AG18" i="4" s="1"/>
  <c r="AG19" i="4"/>
  <c r="AD15" i="17" s="1"/>
  <c r="I34" i="12"/>
  <c r="L18" i="4" s="1"/>
  <c r="L19" i="4"/>
  <c r="I15" i="17" s="1"/>
  <c r="AK34" i="12"/>
  <c r="AN18" i="4" s="1"/>
  <c r="AN19" i="4"/>
  <c r="AK15" i="17" s="1"/>
  <c r="AE7" i="4"/>
  <c r="AB7" i="4"/>
  <c r="O7" i="4"/>
  <c r="U7" i="4"/>
  <c r="AM7" i="4"/>
  <c r="AC7" i="4"/>
  <c r="AO7" i="4"/>
  <c r="L7" i="4"/>
  <c r="O25" i="4"/>
  <c r="L17" i="17" s="1"/>
  <c r="L48" i="12"/>
  <c r="O24" i="4" s="1"/>
  <c r="S25" i="4"/>
  <c r="P17" i="17" s="1"/>
  <c r="P48" i="12"/>
  <c r="S24" i="4" s="1"/>
  <c r="I25" i="4"/>
  <c r="F17" i="17" s="1"/>
  <c r="F48" i="12"/>
  <c r="I24" i="4" s="1"/>
  <c r="Y25" i="4"/>
  <c r="V17" i="17" s="1"/>
  <c r="V48" i="12"/>
  <c r="Y24" i="4" s="1"/>
  <c r="AO25" i="4"/>
  <c r="AL17" i="17" s="1"/>
  <c r="AL48" i="12"/>
  <c r="AO24" i="4" s="1"/>
  <c r="R25" i="4"/>
  <c r="O17" i="17" s="1"/>
  <c r="O48" i="12"/>
  <c r="R24" i="4" s="1"/>
  <c r="AH25" i="4"/>
  <c r="AE17" i="17" s="1"/>
  <c r="AE48" i="12"/>
  <c r="AH24" i="4" s="1"/>
  <c r="I7" i="4"/>
  <c r="T7" i="4"/>
  <c r="X25" i="4"/>
  <c r="U17" i="17" s="1"/>
  <c r="U48" i="12"/>
  <c r="X24" i="4" s="1"/>
  <c r="AI25" i="4"/>
  <c r="AF17" i="17" s="1"/>
  <c r="AF48" i="12"/>
  <c r="AI24" i="4" s="1"/>
  <c r="AA25" i="4"/>
  <c r="X17" i="17" s="1"/>
  <c r="X48" i="12"/>
  <c r="AA24" i="4" s="1"/>
  <c r="AE25" i="4"/>
  <c r="AB17" i="17" s="1"/>
  <c r="AB48" i="12"/>
  <c r="AE24" i="4" s="1"/>
  <c r="AB25" i="4"/>
  <c r="Y17" i="17" s="1"/>
  <c r="Y48" i="12"/>
  <c r="AB24" i="4" s="1"/>
  <c r="M25" i="4"/>
  <c r="J17" i="17" s="1"/>
  <c r="J48" i="12"/>
  <c r="M24" i="4" s="1"/>
  <c r="AC25" i="4"/>
  <c r="Z17" i="17" s="1"/>
  <c r="Z48" i="12"/>
  <c r="AC24" i="4" s="1"/>
  <c r="F25" i="4"/>
  <c r="C17" i="17" s="1"/>
  <c r="C48" i="12"/>
  <c r="F24" i="4" s="1"/>
  <c r="V25" i="4"/>
  <c r="S17" i="17" s="1"/>
  <c r="S48" i="12"/>
  <c r="V24" i="4" s="1"/>
  <c r="AL25" i="4"/>
  <c r="AI17" i="17" s="1"/>
  <c r="AI48" i="12"/>
  <c r="AL24" i="4" s="1"/>
  <c r="AH7" i="4"/>
  <c r="AI7" i="4"/>
  <c r="J7" i="4"/>
  <c r="W7" i="4"/>
  <c r="Z7" i="4"/>
  <c r="K25" i="4"/>
  <c r="H17" i="17" s="1"/>
  <c r="H48" i="12"/>
  <c r="K24" i="4" s="1"/>
  <c r="W25" i="4"/>
  <c r="T17" i="17" s="1"/>
  <c r="T48" i="12"/>
  <c r="W24" i="4" s="1"/>
  <c r="AM25" i="4"/>
  <c r="AJ17" i="17" s="1"/>
  <c r="AJ48" i="12"/>
  <c r="AM24" i="4" s="1"/>
  <c r="AN25" i="4"/>
  <c r="AK17" i="17" s="1"/>
  <c r="AK48" i="12"/>
  <c r="AN24" i="4" s="1"/>
  <c r="AJ25" i="4"/>
  <c r="AG17" i="17" s="1"/>
  <c r="AG48" i="12"/>
  <c r="AJ24" i="4" s="1"/>
  <c r="Q25" i="4"/>
  <c r="N17" i="17" s="1"/>
  <c r="N48" i="12"/>
  <c r="Q24" i="4" s="1"/>
  <c r="AG25" i="4"/>
  <c r="AD17" i="17" s="1"/>
  <c r="AD48" i="12"/>
  <c r="AG24" i="4" s="1"/>
  <c r="J25" i="4"/>
  <c r="G17" i="17" s="1"/>
  <c r="G48" i="12"/>
  <c r="J24" i="4" s="1"/>
  <c r="Z25" i="4"/>
  <c r="W17" i="17" s="1"/>
  <c r="W48" i="12"/>
  <c r="Z24" i="4" s="1"/>
  <c r="Q7" i="4"/>
  <c r="P25" i="4"/>
  <c r="M17" i="17" s="1"/>
  <c r="M48" i="12"/>
  <c r="P24" i="4" s="1"/>
  <c r="T25" i="4"/>
  <c r="Q17" i="17" s="1"/>
  <c r="Q48" i="12"/>
  <c r="T24" i="4" s="1"/>
  <c r="AA7" i="4"/>
  <c r="AK7" i="4"/>
  <c r="AN7" i="4"/>
  <c r="AG7" i="4"/>
  <c r="AF25" i="4"/>
  <c r="AC17" i="17" s="1"/>
  <c r="AC48" i="12"/>
  <c r="AF24" i="4" s="1"/>
  <c r="G25" i="4"/>
  <c r="D17" i="17" s="1"/>
  <c r="D48" i="12"/>
  <c r="G24" i="4" s="1"/>
  <c r="H25" i="4"/>
  <c r="E17" i="17" s="1"/>
  <c r="E48" i="12"/>
  <c r="H24" i="4" s="1"/>
  <c r="L25" i="4"/>
  <c r="I17" i="17" s="1"/>
  <c r="I48" i="12"/>
  <c r="L24" i="4" s="1"/>
  <c r="E25" i="4"/>
  <c r="B17" i="17" s="1"/>
  <c r="B48" i="12"/>
  <c r="E24" i="4" s="1"/>
  <c r="U25" i="4"/>
  <c r="R17" i="17" s="1"/>
  <c r="R48" i="12"/>
  <c r="U24" i="4" s="1"/>
  <c r="AK25" i="4"/>
  <c r="AH17" i="17" s="1"/>
  <c r="AH48" i="12"/>
  <c r="AK24" i="4" s="1"/>
  <c r="N25" i="4"/>
  <c r="K17" i="17" s="1"/>
  <c r="K48" i="12"/>
  <c r="N24" i="4" s="1"/>
  <c r="AD25" i="4"/>
  <c r="AA17" i="17" s="1"/>
  <c r="AA48" i="12"/>
  <c r="AD24" i="4" s="1"/>
  <c r="J11" i="1"/>
  <c r="I13" i="1"/>
  <c r="B18" i="17" l="1"/>
  <c r="M17" i="4"/>
  <c r="J7" i="17"/>
  <c r="J17" i="4"/>
  <c r="G7" i="17"/>
  <c r="H17" i="4"/>
  <c r="E7" i="17"/>
  <c r="AE17" i="4"/>
  <c r="AB7" i="17"/>
  <c r="O17" i="4"/>
  <c r="L7" i="17"/>
  <c r="U7" i="17"/>
  <c r="X17" i="4"/>
  <c r="AG17" i="4"/>
  <c r="AD7" i="17"/>
  <c r="AM17" i="4"/>
  <c r="AJ7" i="17"/>
  <c r="AC7" i="17"/>
  <c r="AF17" i="4"/>
  <c r="F17" i="4"/>
  <c r="C7" i="17"/>
  <c r="AJ17" i="4"/>
  <c r="AG7" i="17"/>
  <c r="S18" i="17"/>
  <c r="I7" i="17"/>
  <c r="L17" i="4"/>
  <c r="O7" i="17"/>
  <c r="R17" i="4"/>
  <c r="N17" i="4"/>
  <c r="K7" i="17"/>
  <c r="Q7" i="17"/>
  <c r="T17" i="4"/>
  <c r="H7" i="17"/>
  <c r="K17" i="4"/>
  <c r="Z7" i="17"/>
  <c r="AC17" i="4"/>
  <c r="B7" i="17"/>
  <c r="E17" i="4"/>
  <c r="N7" i="17"/>
  <c r="Q17" i="4"/>
  <c r="AA17" i="4"/>
  <c r="X7" i="17"/>
  <c r="W17" i="4"/>
  <c r="T7" i="17"/>
  <c r="AK17" i="4"/>
  <c r="AH7" i="17"/>
  <c r="I17" i="4"/>
  <c r="F7" i="17"/>
  <c r="AN17" i="4"/>
  <c r="AK7" i="17"/>
  <c r="AA7" i="17"/>
  <c r="AD17" i="4"/>
  <c r="AE7" i="17"/>
  <c r="AH17" i="4"/>
  <c r="AB17" i="4"/>
  <c r="Y7" i="17"/>
  <c r="AO17" i="4"/>
  <c r="AL7" i="17"/>
  <c r="AF7" i="17"/>
  <c r="AI17" i="4"/>
  <c r="U17" i="4"/>
  <c r="R7" i="17"/>
  <c r="AL17" i="4"/>
  <c r="AI7" i="17"/>
  <c r="P17" i="4"/>
  <c r="M7" i="17"/>
  <c r="V17" i="4"/>
  <c r="S7" i="17"/>
  <c r="P7" i="17"/>
  <c r="S17" i="4"/>
  <c r="W7" i="17"/>
  <c r="Z17" i="4"/>
  <c r="V7" i="17"/>
  <c r="Y17" i="4"/>
  <c r="G17" i="4"/>
  <c r="D7" i="17"/>
  <c r="B9" i="17"/>
  <c r="B10" i="17" s="1"/>
  <c r="B20" i="17" s="1"/>
  <c r="E23" i="4"/>
  <c r="E22" i="4" s="1"/>
  <c r="E4" i="4" s="1"/>
  <c r="AC9" i="17"/>
  <c r="AF23" i="4"/>
  <c r="AF22" i="4" s="1"/>
  <c r="V9" i="17"/>
  <c r="Y23" i="4"/>
  <c r="Y22" i="4" s="1"/>
  <c r="Y4" i="4" s="1"/>
  <c r="AD9" i="17"/>
  <c r="AG23" i="4"/>
  <c r="AG22" i="4" s="1"/>
  <c r="AJ9" i="17"/>
  <c r="AM23" i="4"/>
  <c r="AM22" i="4" s="1"/>
  <c r="AI9" i="17"/>
  <c r="AL23" i="4"/>
  <c r="AL22" i="4" s="1"/>
  <c r="J9" i="17"/>
  <c r="M23" i="4"/>
  <c r="M22" i="4" s="1"/>
  <c r="M4" i="4" s="1"/>
  <c r="AF9" i="17"/>
  <c r="AI23" i="4"/>
  <c r="AI22" i="4" s="1"/>
  <c r="AI4" i="4" s="1"/>
  <c r="K9" i="17"/>
  <c r="N23" i="4"/>
  <c r="N22" i="4" s="1"/>
  <c r="N4" i="4" s="1"/>
  <c r="R9" i="17"/>
  <c r="U23" i="4"/>
  <c r="U22" i="4" s="1"/>
  <c r="I9" i="17"/>
  <c r="L23" i="4"/>
  <c r="L22" i="4" s="1"/>
  <c r="L4" i="4" s="1"/>
  <c r="D9" i="17"/>
  <c r="G23" i="4"/>
  <c r="G22" i="4" s="1"/>
  <c r="AE9" i="17"/>
  <c r="AH23" i="4"/>
  <c r="AH22" i="4" s="1"/>
  <c r="AH4" i="4" s="1"/>
  <c r="AL9" i="17"/>
  <c r="AO23" i="4"/>
  <c r="AO22" i="4" s="1"/>
  <c r="F9" i="17"/>
  <c r="I23" i="4"/>
  <c r="I22" i="4" s="1"/>
  <c r="L9" i="17"/>
  <c r="O23" i="4"/>
  <c r="O22" i="4" s="1"/>
  <c r="AA9" i="17"/>
  <c r="AD23" i="4"/>
  <c r="AD22" i="4" s="1"/>
  <c r="AH9" i="17"/>
  <c r="AK23" i="4"/>
  <c r="AK22" i="4" s="1"/>
  <c r="AK4" i="4" s="1"/>
  <c r="E9" i="17"/>
  <c r="H23" i="4"/>
  <c r="H22" i="4" s="1"/>
  <c r="H4" i="4" s="1"/>
  <c r="O9" i="17"/>
  <c r="R23" i="4"/>
  <c r="R22" i="4" s="1"/>
  <c r="R4" i="4" s="1"/>
  <c r="P9" i="17"/>
  <c r="S23" i="4"/>
  <c r="S22" i="4" s="1"/>
  <c r="S4" i="4" s="1"/>
  <c r="Q9" i="17"/>
  <c r="T23" i="4"/>
  <c r="T22" i="4" s="1"/>
  <c r="T4" i="4" s="1"/>
  <c r="W9" i="17"/>
  <c r="Z23" i="4"/>
  <c r="Z22" i="4" s="1"/>
  <c r="AG9" i="17"/>
  <c r="AJ23" i="4"/>
  <c r="AJ22" i="4" s="1"/>
  <c r="H9" i="17"/>
  <c r="K23" i="4"/>
  <c r="K22" i="4" s="1"/>
  <c r="K4" i="4" s="1"/>
  <c r="C9" i="17"/>
  <c r="F23" i="4"/>
  <c r="F22" i="4" s="1"/>
  <c r="F4" i="4" s="1"/>
  <c r="AB9" i="17"/>
  <c r="AE23" i="4"/>
  <c r="AE22" i="4" s="1"/>
  <c r="AA4" i="4"/>
  <c r="M9" i="17"/>
  <c r="P23" i="4"/>
  <c r="P22" i="4" s="1"/>
  <c r="P4" i="4" s="1"/>
  <c r="G9" i="17"/>
  <c r="J23" i="4"/>
  <c r="J22" i="4" s="1"/>
  <c r="N9" i="17"/>
  <c r="Q23" i="4"/>
  <c r="Q22" i="4" s="1"/>
  <c r="AK9" i="17"/>
  <c r="AN23" i="4"/>
  <c r="AN22" i="4" s="1"/>
  <c r="AN4" i="4" s="1"/>
  <c r="T9" i="17"/>
  <c r="W23" i="4"/>
  <c r="W22" i="4" s="1"/>
  <c r="S9" i="17"/>
  <c r="V23" i="4"/>
  <c r="V22" i="4" s="1"/>
  <c r="V4" i="4" s="1"/>
  <c r="Z9" i="17"/>
  <c r="AC23" i="4"/>
  <c r="AC22" i="4" s="1"/>
  <c r="Y9" i="17"/>
  <c r="AB23" i="4"/>
  <c r="AB22" i="4" s="1"/>
  <c r="AB4" i="4" s="1"/>
  <c r="X9" i="17"/>
  <c r="AA23" i="4"/>
  <c r="AA22" i="4" s="1"/>
  <c r="U9" i="17"/>
  <c r="X23" i="4"/>
  <c r="X22" i="4" s="1"/>
  <c r="X4" i="4" s="1"/>
  <c r="K11" i="1"/>
  <c r="J13" i="1"/>
  <c r="AJ4" i="4" l="1"/>
  <c r="O4" i="4"/>
  <c r="AO4" i="4"/>
  <c r="G4" i="4"/>
  <c r="U4" i="4"/>
  <c r="AL4" i="4"/>
  <c r="AG4" i="4"/>
  <c r="AF4" i="4"/>
  <c r="Z4" i="4"/>
  <c r="W4" i="4"/>
  <c r="Q4" i="4"/>
  <c r="S10" i="17"/>
  <c r="S20" i="17" s="1"/>
  <c r="S21" i="17" s="1"/>
  <c r="J4" i="4"/>
  <c r="AC4" i="4"/>
  <c r="AE4" i="4"/>
  <c r="AD4" i="4"/>
  <c r="I4" i="4"/>
  <c r="AM4" i="4"/>
  <c r="B21" i="17"/>
  <c r="K13" i="1"/>
  <c r="L11" i="1"/>
  <c r="M11" i="1" l="1"/>
  <c r="L13" i="1"/>
  <c r="M13" i="1" l="1"/>
  <c r="N11" i="1"/>
  <c r="O11" i="1" l="1"/>
  <c r="N13" i="1"/>
  <c r="O13" i="1" l="1"/>
  <c r="P11" i="1"/>
  <c r="Q11" i="1" l="1"/>
  <c r="P13" i="1"/>
  <c r="R11" i="1" l="1"/>
  <c r="Q13" i="1"/>
  <c r="S11" i="1" l="1"/>
  <c r="R13" i="1"/>
  <c r="S13" i="1" l="1"/>
  <c r="T11" i="1"/>
  <c r="U11" i="1" l="1"/>
  <c r="T13" i="1"/>
  <c r="U13" i="1" l="1"/>
  <c r="V11" i="1"/>
  <c r="W11" i="1" l="1"/>
  <c r="V13" i="1"/>
  <c r="W13" i="1" l="1"/>
  <c r="X11" i="1"/>
  <c r="Y11" i="1" l="1"/>
  <c r="X13" i="1"/>
  <c r="Z11" i="1" l="1"/>
  <c r="Y13" i="1"/>
  <c r="AA11" i="1" l="1"/>
  <c r="Z13" i="1"/>
  <c r="AA13" i="1" l="1"/>
  <c r="AB11" i="1"/>
  <c r="AC11" i="1" l="1"/>
  <c r="AB13" i="1"/>
  <c r="AC13" i="1" l="1"/>
  <c r="AD11" i="1"/>
  <c r="AE11" i="1" l="1"/>
  <c r="AD13" i="1"/>
  <c r="AE13" i="1" l="1"/>
  <c r="AF11" i="1"/>
  <c r="AG11" i="1" l="1"/>
  <c r="AF13" i="1"/>
  <c r="AH11" i="1" l="1"/>
  <c r="AG13" i="1"/>
  <c r="AI11" i="1" l="1"/>
  <c r="AH13" i="1"/>
  <c r="AI13" i="1" l="1"/>
  <c r="AJ11" i="1"/>
  <c r="AK11" i="1" l="1"/>
  <c r="AJ13" i="1"/>
  <c r="AK13" i="1" l="1"/>
  <c r="AL11" i="1"/>
  <c r="AM11" i="1" l="1"/>
  <c r="AL13" i="1"/>
  <c r="AM13" i="1" l="1"/>
  <c r="AN11" i="1"/>
  <c r="AO11" i="1" l="1"/>
  <c r="AN13" i="1"/>
  <c r="AO13" i="1" l="1"/>
  <c r="AP11" i="1"/>
  <c r="AP13" i="1" s="1"/>
  <c r="F15" i="1"/>
  <c r="F9" i="1" s="1"/>
  <c r="F4" i="1" s="1"/>
  <c r="G15" i="1"/>
  <c r="G9" i="1" s="1"/>
  <c r="G4" i="1" s="1"/>
  <c r="H15" i="1"/>
  <c r="H9" i="1" s="1"/>
  <c r="H4" i="1" s="1"/>
  <c r="I15" i="1"/>
  <c r="I9" i="1" s="1"/>
  <c r="I4" i="1" s="1"/>
  <c r="J15" i="1"/>
  <c r="J9" i="1" s="1"/>
  <c r="J4" i="1" s="1"/>
  <c r="K15" i="1"/>
  <c r="K9" i="1" s="1"/>
  <c r="K4" i="1" s="1"/>
  <c r="L15" i="1"/>
  <c r="L9" i="1" s="1"/>
  <c r="L4" i="1" s="1"/>
  <c r="M15" i="1"/>
  <c r="M9" i="1" s="1"/>
  <c r="M4" i="1" s="1"/>
  <c r="N15" i="1"/>
  <c r="N9" i="1" s="1"/>
  <c r="N4" i="1" s="1"/>
  <c r="O15" i="1"/>
  <c r="O9" i="1" s="1"/>
  <c r="O4" i="1" s="1"/>
  <c r="Q15" i="1"/>
  <c r="Q9" i="1" s="1"/>
  <c r="Q4" i="1" s="1"/>
  <c r="S4" i="1"/>
  <c r="R15" i="1"/>
  <c r="R9" i="1" s="1"/>
  <c r="R4" i="1" s="1"/>
  <c r="S15" i="1"/>
  <c r="S9" i="1" s="1"/>
  <c r="U15" i="1"/>
  <c r="U9" i="1" s="1"/>
  <c r="U4" i="1" s="1"/>
  <c r="V15" i="1"/>
  <c r="V9" i="1" s="1"/>
  <c r="V4" i="1" s="1"/>
  <c r="W15" i="1"/>
  <c r="W9" i="1" s="1"/>
  <c r="W4" i="1" s="1"/>
  <c r="X15" i="1"/>
  <c r="X9" i="1" s="1"/>
  <c r="X4" i="1" s="1"/>
  <c r="Y15" i="1"/>
  <c r="Y9" i="1" s="1"/>
  <c r="Y4" i="1" s="1"/>
  <c r="Z15" i="1"/>
  <c r="Z9" i="1" s="1"/>
  <c r="Z4" i="1" s="1"/>
  <c r="AA15" i="1"/>
  <c r="AA9" i="1" s="1"/>
  <c r="AA4" i="1" s="1"/>
  <c r="AB15" i="1"/>
  <c r="AB9" i="1" s="1"/>
  <c r="AB4" i="1" s="1"/>
  <c r="AC15" i="1"/>
  <c r="AC9" i="1" s="1"/>
  <c r="AC4" i="1" s="1"/>
  <c r="AD15" i="1"/>
  <c r="AD9" i="1" s="1"/>
  <c r="AD4" i="1" s="1"/>
  <c r="AE15" i="1"/>
  <c r="AE9" i="1" s="1"/>
  <c r="AE4" i="1" s="1"/>
  <c r="AF15" i="1"/>
  <c r="AF9" i="1" s="1"/>
  <c r="AF4" i="1" s="1"/>
  <c r="AG15" i="1"/>
  <c r="AG9" i="1" s="1"/>
  <c r="AG4" i="1" s="1"/>
  <c r="S25" i="17"/>
  <c r="S33" i="17" s="1"/>
  <c r="S34" i="17" l="1"/>
  <c r="S29" i="17"/>
  <c r="S32" i="17"/>
  <c r="S30" i="17"/>
  <c r="S31" i="17"/>
  <c r="S35" i="17" l="1"/>
  <c r="AI4" i="1"/>
  <c r="AI15" i="1"/>
  <c r="AI9" i="1" s="1"/>
  <c r="AJ9" i="1"/>
  <c r="AJ4" i="1" s="1"/>
  <c r="AK9" i="1"/>
  <c r="AK4" i="1" s="1"/>
  <c r="AJ15" i="1"/>
  <c r="AK15" i="1"/>
  <c r="AL15" i="1"/>
  <c r="AL9" i="1" s="1"/>
  <c r="AL4" i="1" s="1"/>
  <c r="AM15" i="1"/>
  <c r="AM9" i="1" s="1"/>
  <c r="AM4" i="1" s="1"/>
  <c r="C26" i="1"/>
  <c r="C20" i="1" s="1"/>
  <c r="E5" i="1"/>
  <c r="U5" i="1"/>
  <c r="D26" i="1"/>
  <c r="D20" i="1" s="1"/>
  <c r="E26" i="1"/>
  <c r="E20" i="1" s="1"/>
  <c r="F26" i="1"/>
  <c r="F20" i="1" s="1"/>
  <c r="F5" i="1" s="1"/>
  <c r="G26" i="1"/>
  <c r="G20" i="1" s="1"/>
  <c r="G5" i="1" s="1"/>
  <c r="H26" i="1"/>
  <c r="H20" i="1" s="1"/>
  <c r="H5" i="1" s="1"/>
  <c r="I26" i="1"/>
  <c r="I20" i="1" s="1"/>
  <c r="I5" i="1" s="1"/>
  <c r="J26" i="1"/>
  <c r="J20" i="1" s="1"/>
  <c r="J5" i="1" s="1"/>
  <c r="K26" i="1"/>
  <c r="K20" i="1" s="1"/>
  <c r="K5" i="1" s="1"/>
  <c r="L26" i="1"/>
  <c r="L20" i="1" s="1"/>
  <c r="L5" i="1" s="1"/>
  <c r="M26" i="1"/>
  <c r="M20" i="1" s="1"/>
  <c r="M5" i="1" s="1"/>
  <c r="N26" i="1"/>
  <c r="N20" i="1" s="1"/>
  <c r="N5" i="1" s="1"/>
  <c r="O26" i="1"/>
  <c r="O20" i="1" s="1"/>
  <c r="O5" i="1" s="1"/>
  <c r="P26" i="1"/>
  <c r="P20" i="1" s="1"/>
  <c r="P5" i="1" s="1"/>
  <c r="Q26" i="1"/>
  <c r="Q20" i="1" s="1"/>
  <c r="Q5" i="1" s="1"/>
  <c r="R26" i="1"/>
  <c r="R20" i="1" s="1"/>
  <c r="R5" i="1" s="1"/>
  <c r="S26" i="1"/>
  <c r="S20" i="1" s="1"/>
  <c r="S5" i="1" s="1"/>
  <c r="T26" i="1"/>
  <c r="T20" i="1" s="1"/>
  <c r="T5" i="1" s="1"/>
  <c r="U26" i="1"/>
  <c r="U20" i="1" s="1"/>
  <c r="W5" i="1"/>
  <c r="W26" i="1"/>
  <c r="W20" i="1" s="1"/>
  <c r="T25" i="17"/>
  <c r="T30" i="17"/>
  <c r="T31" i="17"/>
  <c r="T32" i="17"/>
  <c r="T33" i="17"/>
  <c r="T34" i="17"/>
  <c r="X5" i="1"/>
  <c r="AN5" i="1"/>
  <c r="X20" i="1"/>
  <c r="AA20" i="1"/>
  <c r="AA5" i="1" s="1"/>
  <c r="AB20" i="1"/>
  <c r="AB5" i="1" s="1"/>
  <c r="AE20" i="1"/>
  <c r="AE5" i="1" s="1"/>
  <c r="AF20" i="1"/>
  <c r="AF5" i="1" s="1"/>
  <c r="AI20" i="1"/>
  <c r="AI5" i="1" s="1"/>
  <c r="AJ20" i="1"/>
  <c r="AJ5" i="1" s="1"/>
  <c r="AM20" i="1"/>
  <c r="AM5" i="1" s="1"/>
  <c r="AN20" i="1"/>
  <c r="X26" i="1"/>
  <c r="Y26" i="1"/>
  <c r="Y20" i="1" s="1"/>
  <c r="Y5" i="1" s="1"/>
  <c r="Z26" i="1"/>
  <c r="Z20" i="1" s="1"/>
  <c r="Z5" i="1" s="1"/>
  <c r="AA26" i="1"/>
  <c r="AB26" i="1"/>
  <c r="AC26" i="1"/>
  <c r="AC20" i="1" s="1"/>
  <c r="AC5" i="1" s="1"/>
  <c r="AD26" i="1"/>
  <c r="AD20" i="1" s="1"/>
  <c r="AD5" i="1" s="1"/>
  <c r="AE26" i="1"/>
  <c r="AF26" i="1"/>
  <c r="AG26" i="1"/>
  <c r="AG20" i="1" s="1"/>
  <c r="AG5" i="1" s="1"/>
  <c r="AH26" i="1"/>
  <c r="AH20" i="1" s="1"/>
  <c r="AH5" i="1" s="1"/>
  <c r="AI26" i="1"/>
  <c r="AJ26" i="1"/>
  <c r="AK26" i="1"/>
  <c r="AK20" i="1" s="1"/>
  <c r="AK5" i="1" s="1"/>
  <c r="AL26" i="1"/>
  <c r="AL20" i="1" s="1"/>
  <c r="AL5" i="1" s="1"/>
  <c r="AM26" i="1"/>
  <c r="AN26" i="1"/>
  <c r="AO26" i="1"/>
  <c r="AO20" i="1" s="1"/>
  <c r="AO5" i="1" s="1"/>
  <c r="U25" i="17"/>
  <c r="V25" i="17"/>
  <c r="V32" i="17" s="1"/>
  <c r="W25" i="17"/>
  <c r="X25" i="17"/>
  <c r="Y25" i="17"/>
  <c r="Z25" i="17"/>
  <c r="Z32" i="17" s="1"/>
  <c r="AA25" i="17"/>
  <c r="AB25" i="17"/>
  <c r="AB32" i="17" s="1"/>
  <c r="AC25" i="17"/>
  <c r="AD25" i="17"/>
  <c r="AD32" i="17" s="1"/>
  <c r="AE25" i="17"/>
  <c r="AF25" i="17"/>
  <c r="AG25" i="17"/>
  <c r="AH25" i="17"/>
  <c r="AI25" i="17"/>
  <c r="AJ25" i="17"/>
  <c r="AK25" i="17"/>
  <c r="AL25" i="17"/>
  <c r="U30" i="17"/>
  <c r="V30" i="17"/>
  <c r="Y30" i="17"/>
  <c r="Z30" i="17"/>
  <c r="AC30" i="17"/>
  <c r="AD30" i="17"/>
  <c r="U31" i="17"/>
  <c r="V31" i="17"/>
  <c r="W31" i="17"/>
  <c r="Y31" i="17"/>
  <c r="Z31" i="17"/>
  <c r="AC31" i="17"/>
  <c r="AD31" i="17"/>
  <c r="U32" i="17"/>
  <c r="Y32" i="17"/>
  <c r="AC32" i="17"/>
  <c r="U33" i="17"/>
  <c r="V33" i="17"/>
  <c r="Y33" i="17"/>
  <c r="Z33" i="17"/>
  <c r="AC33" i="17"/>
  <c r="AD33" i="17"/>
  <c r="U34" i="17"/>
  <c r="V34" i="17"/>
  <c r="Y34" i="17"/>
  <c r="Z34" i="17"/>
  <c r="AC34" i="17"/>
  <c r="AD34" i="17"/>
  <c r="AA32" i="17" l="1"/>
  <c r="AA33" i="17"/>
  <c r="AA30" i="17"/>
  <c r="AA34" i="17"/>
  <c r="AA31" i="17"/>
  <c r="W32" i="17"/>
  <c r="W33" i="17"/>
  <c r="W34" i="17"/>
  <c r="W30" i="17"/>
  <c r="AB33" i="17"/>
  <c r="AB30" i="17"/>
  <c r="AB34" i="17"/>
  <c r="AB31" i="17"/>
  <c r="X33" i="17"/>
  <c r="X30" i="17"/>
  <c r="X34" i="17"/>
  <c r="X32" i="17"/>
  <c r="X31" i="17"/>
  <c r="F46" i="1"/>
  <c r="F44" i="1" s="1"/>
  <c r="J44" i="1"/>
  <c r="K44" i="1"/>
  <c r="N44" i="1"/>
  <c r="R44" i="1"/>
  <c r="S44" i="1"/>
  <c r="G46" i="1"/>
  <c r="G44" i="1" s="1"/>
  <c r="H46" i="1"/>
  <c r="H44" i="1" s="1"/>
  <c r="I46" i="1"/>
  <c r="I44" i="1" s="1"/>
  <c r="J46" i="1"/>
  <c r="K46" i="1"/>
  <c r="L46" i="1"/>
  <c r="L44" i="1" s="1"/>
  <c r="M46" i="1"/>
  <c r="M44" i="1" s="1"/>
  <c r="N46" i="1"/>
  <c r="O46" i="1"/>
  <c r="O44" i="1" s="1"/>
  <c r="P46" i="1"/>
  <c r="P44" i="1" s="1"/>
  <c r="Q46" i="1"/>
  <c r="Q44" i="1" s="1"/>
  <c r="R46" i="1"/>
  <c r="S46" i="1"/>
  <c r="T46" i="1"/>
  <c r="T44" i="1" s="1"/>
  <c r="U46" i="1"/>
  <c r="U44" i="1" s="1"/>
  <c r="Q25" i="17"/>
  <c r="R25" i="17"/>
  <c r="Q30" i="17"/>
  <c r="R30" i="17"/>
  <c r="Q31" i="17"/>
  <c r="R31" i="17"/>
  <c r="Q32" i="17"/>
  <c r="R32" i="17"/>
  <c r="Q33" i="17"/>
  <c r="R33" i="17"/>
  <c r="Q34" i="17"/>
  <c r="R34" i="17"/>
  <c r="C12" i="7" l="1"/>
  <c r="D12" i="7"/>
  <c r="E12" i="7"/>
  <c r="F12" i="7"/>
  <c r="G12" i="7"/>
  <c r="H12" i="7"/>
  <c r="I12" i="7"/>
  <c r="J12" i="7"/>
  <c r="K12" i="7"/>
  <c r="N12" i="7"/>
  <c r="O12" i="7"/>
  <c r="P12" i="7"/>
  <c r="Q12" i="7"/>
  <c r="R12" i="7"/>
  <c r="S12" i="7"/>
  <c r="T12" i="7"/>
  <c r="U12" i="7"/>
  <c r="V12" i="7"/>
  <c r="W12" i="7"/>
  <c r="X12" i="7"/>
  <c r="Y12" i="7"/>
  <c r="Z12" i="7"/>
  <c r="AA12" i="7"/>
  <c r="AB12" i="7"/>
  <c r="AC12" i="7"/>
  <c r="AD12" i="7"/>
  <c r="AE12" i="7"/>
  <c r="S18" i="7"/>
  <c r="V33" i="1" s="1"/>
  <c r="V31" i="1" s="1"/>
  <c r="V30" i="1" s="1"/>
  <c r="V6" i="1" s="1"/>
  <c r="S19" i="7"/>
  <c r="S26" i="17"/>
  <c r="S39" i="17"/>
  <c r="S66" i="17" s="1"/>
  <c r="S40" i="17" l="1"/>
  <c r="S67" i="17" s="1"/>
  <c r="S38" i="17"/>
  <c r="S41" i="17"/>
  <c r="S68" i="17" s="1"/>
  <c r="S43" i="17"/>
  <c r="S47" i="17" s="1"/>
  <c r="S42" i="17"/>
  <c r="S69" i="17" s="1"/>
  <c r="S44" i="17" l="1"/>
  <c r="S46" i="17" s="1"/>
  <c r="S48" i="17" s="1"/>
  <c r="AF12" i="7"/>
  <c r="AG12" i="7"/>
  <c r="AH12" i="7"/>
  <c r="AI12" i="7"/>
  <c r="AJ12" i="7"/>
  <c r="AK12" i="7"/>
  <c r="AL12" i="7"/>
  <c r="AM12" i="7"/>
  <c r="G31" i="1"/>
  <c r="L31" i="1"/>
  <c r="I33" i="1"/>
  <c r="C18" i="7"/>
  <c r="F33" i="1" s="1"/>
  <c r="F31" i="1" s="1"/>
  <c r="D18" i="7"/>
  <c r="G33" i="1" s="1"/>
  <c r="E18" i="7"/>
  <c r="H33" i="1" s="1"/>
  <c r="H31" i="1" s="1"/>
  <c r="F18" i="7"/>
  <c r="F19" i="7" s="1"/>
  <c r="G18" i="7"/>
  <c r="J33" i="1" s="1"/>
  <c r="J31" i="1" s="1"/>
  <c r="H18" i="7"/>
  <c r="K33" i="1" s="1"/>
  <c r="K31" i="1" s="1"/>
  <c r="I18" i="7"/>
  <c r="L33" i="1" s="1"/>
  <c r="J18" i="7"/>
  <c r="K18" i="7"/>
  <c r="N33" i="1" s="1"/>
  <c r="N31" i="1" s="1"/>
  <c r="M18" i="7"/>
  <c r="N18" i="7"/>
  <c r="O18" i="7"/>
  <c r="R33" i="1" s="1"/>
  <c r="R31" i="1" s="1"/>
  <c r="P18" i="7"/>
  <c r="S33" i="1" s="1"/>
  <c r="S31" i="1" s="1"/>
  <c r="Q18" i="7"/>
  <c r="R18" i="7"/>
  <c r="C19" i="7"/>
  <c r="D19" i="7"/>
  <c r="E19" i="7"/>
  <c r="G19" i="7"/>
  <c r="H19" i="7"/>
  <c r="K19" i="7"/>
  <c r="O19" i="7"/>
  <c r="P19" i="7"/>
  <c r="I31" i="1" l="1"/>
  <c r="T33" i="1"/>
  <c r="Q19" i="7"/>
  <c r="P33" i="1"/>
  <c r="M19" i="7"/>
  <c r="I19" i="7"/>
  <c r="U33" i="1"/>
  <c r="R19" i="7"/>
  <c r="Q33" i="1"/>
  <c r="N19" i="7"/>
  <c r="M33" i="1"/>
  <c r="J19" i="7"/>
  <c r="P31" i="1" l="1"/>
  <c r="Q31" i="1"/>
  <c r="T31" i="1"/>
  <c r="Q26" i="17"/>
  <c r="M31" i="1"/>
  <c r="U31" i="1"/>
  <c r="R26" i="17"/>
  <c r="R40" i="17" l="1"/>
  <c r="R67" i="17" s="1"/>
  <c r="R42" i="17"/>
  <c r="R69" i="17" s="1"/>
  <c r="R41" i="17"/>
  <c r="R68" i="17" s="1"/>
  <c r="R39" i="17"/>
  <c r="R66" i="17" s="1"/>
  <c r="R43" i="17"/>
  <c r="R47" i="17" s="1"/>
  <c r="Q39" i="17"/>
  <c r="Q66" i="17" s="1"/>
  <c r="Q40" i="17"/>
  <c r="Q67" i="17" s="1"/>
  <c r="Q41" i="17"/>
  <c r="Q68" i="17" s="1"/>
  <c r="Q42" i="17"/>
  <c r="Q69" i="17" s="1"/>
  <c r="Q43" i="17"/>
  <c r="Q47" i="17" s="1"/>
  <c r="AJ31" i="1"/>
  <c r="AK31" i="1"/>
  <c r="Y33" i="1"/>
  <c r="Z33" i="1"/>
  <c r="Z31" i="1" s="1"/>
  <c r="AG33" i="1"/>
  <c r="AH33" i="1"/>
  <c r="AO33" i="1"/>
  <c r="T18" i="7"/>
  <c r="U18" i="7"/>
  <c r="V18" i="7"/>
  <c r="W18" i="7"/>
  <c r="X18" i="7"/>
  <c r="Y18" i="7"/>
  <c r="Z18" i="7"/>
  <c r="AC33" i="1" s="1"/>
  <c r="Z26" i="17" s="1"/>
  <c r="AA18" i="7"/>
  <c r="AD33" i="1" s="1"/>
  <c r="AD31" i="1" s="1"/>
  <c r="AB18" i="7"/>
  <c r="AC18" i="7"/>
  <c r="AF33" i="1" s="1"/>
  <c r="AD18" i="7"/>
  <c r="AE18" i="7"/>
  <c r="AF18" i="7"/>
  <c r="AG18" i="7"/>
  <c r="AJ33" i="1" s="1"/>
  <c r="AG26" i="17" s="1"/>
  <c r="AH18" i="7"/>
  <c r="AK33" i="1" s="1"/>
  <c r="AH26" i="17" s="1"/>
  <c r="AI18" i="7"/>
  <c r="AL33" i="1" s="1"/>
  <c r="AL31" i="1" s="1"/>
  <c r="AJ18" i="7"/>
  <c r="AK18" i="7"/>
  <c r="AL18" i="7"/>
  <c r="V19" i="7"/>
  <c r="W19" i="7"/>
  <c r="Z19" i="7"/>
  <c r="AA19" i="7"/>
  <c r="AC19" i="7"/>
  <c r="AD19" i="7"/>
  <c r="AE19" i="7"/>
  <c r="AG19" i="7"/>
  <c r="AH19" i="7"/>
  <c r="AI19" i="7"/>
  <c r="AL19" i="7"/>
  <c r="W26" i="17"/>
  <c r="AA26" i="17"/>
  <c r="AI26" i="17"/>
  <c r="W39" i="17"/>
  <c r="W66" i="17" s="1"/>
  <c r="Z40" i="17"/>
  <c r="Z67" i="17" s="1"/>
  <c r="W41" i="17"/>
  <c r="Z42" i="17"/>
  <c r="Z69" i="17" s="1"/>
  <c r="W43" i="17"/>
  <c r="W47" i="17" s="1"/>
  <c r="W68" i="17"/>
  <c r="AA40" i="17" l="1"/>
  <c r="AA67" i="17" s="1"/>
  <c r="AA42" i="17"/>
  <c r="AA69" i="17" s="1"/>
  <c r="AA39" i="17"/>
  <c r="AA66" i="17" s="1"/>
  <c r="AA43" i="17"/>
  <c r="AA47" i="17" s="1"/>
  <c r="AA41" i="17"/>
  <c r="AA68" i="17" s="1"/>
  <c r="AG31" i="1"/>
  <c r="AD26" i="17"/>
  <c r="AN33" i="1"/>
  <c r="AK19" i="7"/>
  <c r="AF31" i="1"/>
  <c r="AC26" i="17"/>
  <c r="AB33" i="1"/>
  <c r="Y19" i="7"/>
  <c r="X33" i="1"/>
  <c r="U19" i="7"/>
  <c r="AM33" i="1"/>
  <c r="AJ19" i="7"/>
  <c r="AI33" i="1"/>
  <c r="AF19" i="7"/>
  <c r="AE33" i="1"/>
  <c r="AB19" i="7"/>
  <c r="AA33" i="1"/>
  <c r="X19" i="7"/>
  <c r="W33" i="1"/>
  <c r="T19" i="7"/>
  <c r="AH31" i="1"/>
  <c r="AE26" i="17"/>
  <c r="W40" i="17"/>
  <c r="W67" i="17" s="1"/>
  <c r="W42" i="17"/>
  <c r="W69" i="17" s="1"/>
  <c r="AC31" i="1"/>
  <c r="Z39" i="17"/>
  <c r="Z66" i="17" s="1"/>
  <c r="Z41" i="17"/>
  <c r="Z68" i="17" s="1"/>
  <c r="Z43" i="17"/>
  <c r="Z47" i="17" s="1"/>
  <c r="AO31" i="1"/>
  <c r="AL26" i="17"/>
  <c r="Y31" i="1"/>
  <c r="V26" i="17"/>
  <c r="AI31" i="1" l="1"/>
  <c r="AF26" i="17"/>
  <c r="AD39" i="17"/>
  <c r="AD66" i="17" s="1"/>
  <c r="AD41" i="17"/>
  <c r="AD68" i="17" s="1"/>
  <c r="AD43" i="17"/>
  <c r="AD47" i="17" s="1"/>
  <c r="AD40" i="17"/>
  <c r="AD67" i="17" s="1"/>
  <c r="AD42" i="17"/>
  <c r="AD69" i="17" s="1"/>
  <c r="AC39" i="17"/>
  <c r="AC66" i="17" s="1"/>
  <c r="AC41" i="17"/>
  <c r="AC68" i="17" s="1"/>
  <c r="AC43" i="17"/>
  <c r="AC47" i="17" s="1"/>
  <c r="AC42" i="17"/>
  <c r="AC69" i="17" s="1"/>
  <c r="AC40" i="17"/>
  <c r="AC67" i="17" s="1"/>
  <c r="AA31" i="1"/>
  <c r="X26" i="17"/>
  <c r="X31" i="1"/>
  <c r="U26" i="17"/>
  <c r="V39" i="17"/>
  <c r="V66" i="17" s="1"/>
  <c r="V41" i="17"/>
  <c r="V68" i="17" s="1"/>
  <c r="V43" i="17"/>
  <c r="V47" i="17" s="1"/>
  <c r="V40" i="17"/>
  <c r="V67" i="17" s="1"/>
  <c r="V42" i="17"/>
  <c r="V69" i="17" s="1"/>
  <c r="W31" i="1"/>
  <c r="T26" i="17"/>
  <c r="AE31" i="1"/>
  <c r="AB26" i="17"/>
  <c r="AM31" i="1"/>
  <c r="AJ26" i="17"/>
  <c r="Y26" i="17"/>
  <c r="AB31" i="1"/>
  <c r="AN31" i="1"/>
  <c r="AK26" i="17"/>
  <c r="T40" i="17" l="1"/>
  <c r="T67" i="17" s="1"/>
  <c r="T42" i="17"/>
  <c r="T69" i="17" s="1"/>
  <c r="T41" i="17"/>
  <c r="T68" i="17" s="1"/>
  <c r="T39" i="17"/>
  <c r="T66" i="17" s="1"/>
  <c r="T43" i="17"/>
  <c r="T47" i="17" s="1"/>
  <c r="Y39" i="17"/>
  <c r="Y66" i="17" s="1"/>
  <c r="Y41" i="17"/>
  <c r="Y68" i="17" s="1"/>
  <c r="Y43" i="17"/>
  <c r="Y47" i="17" s="1"/>
  <c r="Y40" i="17"/>
  <c r="Y67" i="17" s="1"/>
  <c r="Y42" i="17"/>
  <c r="Y69" i="17" s="1"/>
  <c r="U39" i="17"/>
  <c r="U66" i="17" s="1"/>
  <c r="U41" i="17"/>
  <c r="U68" i="17" s="1"/>
  <c r="U43" i="17"/>
  <c r="U47" i="17" s="1"/>
  <c r="U42" i="17"/>
  <c r="U69" i="17" s="1"/>
  <c r="U40" i="17"/>
  <c r="U67" i="17" s="1"/>
  <c r="X40" i="17"/>
  <c r="X67" i="17" s="1"/>
  <c r="X42" i="17"/>
  <c r="X69" i="17" s="1"/>
  <c r="X39" i="17"/>
  <c r="X66" i="17" s="1"/>
  <c r="X43" i="17"/>
  <c r="X47" i="17" s="1"/>
  <c r="X41" i="17"/>
  <c r="X68" i="17" s="1"/>
  <c r="AB40" i="17"/>
  <c r="AB67" i="17" s="1"/>
  <c r="AB42" i="17"/>
  <c r="AB69" i="17" s="1"/>
  <c r="AB41" i="17"/>
  <c r="AB68" i="17" s="1"/>
  <c r="AB43" i="17"/>
  <c r="AB47" i="17" s="1"/>
  <c r="AB39" i="17"/>
  <c r="AB66" i="17" s="1"/>
  <c r="C30" i="7"/>
  <c r="D30" i="7"/>
  <c r="E30" i="7"/>
  <c r="E31" i="7" s="1"/>
  <c r="F30" i="7"/>
  <c r="G30" i="7"/>
  <c r="H30" i="7"/>
  <c r="I30" i="7"/>
  <c r="J30" i="7"/>
  <c r="K30" i="7"/>
  <c r="L30" i="7"/>
  <c r="N30" i="7"/>
  <c r="O30" i="7"/>
  <c r="P30" i="7"/>
  <c r="Q30" i="7"/>
  <c r="R30" i="7"/>
  <c r="D31" i="7"/>
  <c r="F31" i="7"/>
  <c r="F64" i="7" s="1"/>
  <c r="G31" i="7"/>
  <c r="G64" i="7" s="1"/>
  <c r="H31" i="7"/>
  <c r="J31" i="7"/>
  <c r="K31" i="7"/>
  <c r="K64" i="7" s="1"/>
  <c r="L31" i="7"/>
  <c r="N31" i="7"/>
  <c r="P31" i="7"/>
  <c r="R31" i="7"/>
  <c r="R64" i="7" s="1"/>
  <c r="D64" i="7"/>
  <c r="E64" i="7"/>
  <c r="H64" i="7"/>
  <c r="J64" i="7"/>
  <c r="L64" i="7"/>
  <c r="N64" i="7"/>
  <c r="P64" i="7"/>
  <c r="O31" i="7" l="1"/>
  <c r="O64" i="7" s="1"/>
  <c r="C31" i="7"/>
  <c r="C64" i="7" s="1"/>
  <c r="Q31" i="7"/>
  <c r="Q64" i="7" s="1"/>
  <c r="I31" i="7"/>
  <c r="I64" i="7" s="1"/>
  <c r="T30" i="7"/>
  <c r="U30" i="7"/>
  <c r="V30" i="7"/>
  <c r="W30" i="7"/>
  <c r="X30" i="7"/>
  <c r="Y30" i="7"/>
  <c r="Z30" i="7"/>
  <c r="AA30" i="7"/>
  <c r="AB30" i="7"/>
  <c r="AC30" i="7"/>
  <c r="AD30" i="7"/>
  <c r="U31" i="7"/>
  <c r="U64" i="7" s="1"/>
  <c r="V31" i="7"/>
  <c r="Y31" i="7"/>
  <c r="Y64" i="7" s="1"/>
  <c r="Z31" i="7"/>
  <c r="AB31" i="7"/>
  <c r="AB64" i="7" s="1"/>
  <c r="AC31" i="7"/>
  <c r="AC64" i="7" s="1"/>
  <c r="AD31" i="7"/>
  <c r="V64" i="7"/>
  <c r="Z64" i="7"/>
  <c r="AD64" i="7"/>
  <c r="X31" i="7" l="1"/>
  <c r="X64" i="7" s="1"/>
  <c r="T31" i="7"/>
  <c r="T64" i="7" s="1"/>
  <c r="AA31" i="7"/>
  <c r="AA64" i="7" s="1"/>
  <c r="W31" i="7"/>
  <c r="W64" i="7" s="1"/>
  <c r="L12" i="7"/>
  <c r="M12" i="7"/>
  <c r="L18" i="7"/>
  <c r="O33" i="1" s="1"/>
  <c r="O31" i="1" s="1"/>
  <c r="L19" i="7"/>
  <c r="C48" i="7"/>
  <c r="S42" i="1"/>
  <c r="D48" i="7"/>
  <c r="E48" i="7"/>
  <c r="F48" i="7"/>
  <c r="G48" i="7"/>
  <c r="H48" i="7"/>
  <c r="I48" i="7"/>
  <c r="J48" i="7"/>
  <c r="K48" i="7"/>
  <c r="L48" i="7"/>
  <c r="M48" i="7"/>
  <c r="N48" i="7"/>
  <c r="O48" i="7"/>
  <c r="P48" i="7"/>
  <c r="Q48" i="7"/>
  <c r="P50" i="7"/>
  <c r="N52" i="7"/>
  <c r="O52" i="7"/>
  <c r="P52" i="7"/>
  <c r="P51" i="7" s="1"/>
  <c r="S41" i="1" s="1"/>
  <c r="P25" i="17"/>
  <c r="P26" i="17"/>
  <c r="P33" i="17"/>
  <c r="P34" i="17"/>
  <c r="P39" i="17"/>
  <c r="P32" i="17" l="1"/>
  <c r="P31" i="17"/>
  <c r="P30" i="17"/>
  <c r="P66" i="17" s="1"/>
  <c r="N50" i="7"/>
  <c r="Q42" i="1" s="1"/>
  <c r="N26" i="17" s="1"/>
  <c r="M52" i="7"/>
  <c r="N51" i="7"/>
  <c r="Q41" i="1" s="1"/>
  <c r="P42" i="17"/>
  <c r="P69" i="17" s="1"/>
  <c r="P41" i="17"/>
  <c r="P43" i="17"/>
  <c r="P47" i="17" s="1"/>
  <c r="P40" i="17"/>
  <c r="S40" i="1"/>
  <c r="O50" i="7"/>
  <c r="R42" i="1" s="1"/>
  <c r="O26" i="17" s="1"/>
  <c r="P67" i="17" l="1"/>
  <c r="O41" i="17"/>
  <c r="O40" i="17"/>
  <c r="O43" i="17"/>
  <c r="O42" i="17"/>
  <c r="O39" i="17"/>
  <c r="N25" i="17"/>
  <c r="Q40" i="1"/>
  <c r="O51" i="7"/>
  <c r="R41" i="1" s="1"/>
  <c r="L52" i="7"/>
  <c r="M50" i="7"/>
  <c r="P42" i="1" s="1"/>
  <c r="M26" i="17" s="1"/>
  <c r="M51" i="7"/>
  <c r="P41" i="1" s="1"/>
  <c r="P68" i="17"/>
  <c r="N40" i="17"/>
  <c r="N39" i="17"/>
  <c r="N43" i="17"/>
  <c r="N42" i="17"/>
  <c r="N41" i="17"/>
  <c r="M25" i="17" l="1"/>
  <c r="P40" i="1"/>
  <c r="N30" i="17"/>
  <c r="N66" i="17" s="1"/>
  <c r="N34" i="17"/>
  <c r="N47" i="17" s="1"/>
  <c r="N33" i="17"/>
  <c r="N69" i="17" s="1"/>
  <c r="N31" i="17"/>
  <c r="N67" i="17" s="1"/>
  <c r="N32" i="17"/>
  <c r="N68" i="17" s="1"/>
  <c r="R40" i="1"/>
  <c r="O25" i="17"/>
  <c r="M39" i="17"/>
  <c r="M43" i="17"/>
  <c r="M42" i="17"/>
  <c r="M41" i="17"/>
  <c r="M40" i="17"/>
  <c r="L51" i="7"/>
  <c r="O41" i="1" s="1"/>
  <c r="L50" i="7"/>
  <c r="O42" i="1" s="1"/>
  <c r="L26" i="17" s="1"/>
  <c r="K52" i="7"/>
  <c r="O40" i="1" l="1"/>
  <c r="L25" i="17"/>
  <c r="K51" i="7"/>
  <c r="N41" i="1" s="1"/>
  <c r="K50" i="7"/>
  <c r="N42" i="1" s="1"/>
  <c r="K26" i="17" s="1"/>
  <c r="J52" i="7"/>
  <c r="O31" i="17"/>
  <c r="O67" i="17" s="1"/>
  <c r="O30" i="17"/>
  <c r="O66" i="17" s="1"/>
  <c r="O34" i="17"/>
  <c r="O47" i="17" s="1"/>
  <c r="O33" i="17"/>
  <c r="O69" i="17" s="1"/>
  <c r="O32" i="17"/>
  <c r="O68" i="17" s="1"/>
  <c r="M33" i="17"/>
  <c r="M69" i="17" s="1"/>
  <c r="M32" i="17"/>
  <c r="M68" i="17" s="1"/>
  <c r="M34" i="17"/>
  <c r="M47" i="17" s="1"/>
  <c r="M31" i="17"/>
  <c r="M67" i="17" s="1"/>
  <c r="M30" i="17"/>
  <c r="M66" i="17" s="1"/>
  <c r="L42" i="17"/>
  <c r="L41" i="17"/>
  <c r="L40" i="17"/>
  <c r="L39" i="17"/>
  <c r="L43" i="17"/>
  <c r="N40" i="1" l="1"/>
  <c r="K25" i="17"/>
  <c r="L32" i="17"/>
  <c r="L68" i="17" s="1"/>
  <c r="L31" i="17"/>
  <c r="L67" i="17" s="1"/>
  <c r="L34" i="17"/>
  <c r="L47" i="17" s="1"/>
  <c r="L33" i="17"/>
  <c r="L69" i="17" s="1"/>
  <c r="L30" i="17"/>
  <c r="L66" i="17" s="1"/>
  <c r="J50" i="7"/>
  <c r="M42" i="1" s="1"/>
  <c r="J26" i="17" s="1"/>
  <c r="I52" i="7"/>
  <c r="J51" i="7"/>
  <c r="M41" i="1" s="1"/>
  <c r="M40" i="1" l="1"/>
  <c r="J25" i="17"/>
  <c r="H52" i="7"/>
  <c r="I50" i="7"/>
  <c r="L42" i="1" s="1"/>
  <c r="I26" i="17" s="1"/>
  <c r="I51" i="7" l="1"/>
  <c r="L41" i="1" s="1"/>
  <c r="G52" i="7"/>
  <c r="H50" i="7"/>
  <c r="K42" i="1" s="1"/>
  <c r="H26" i="17" s="1"/>
  <c r="I25" i="17" l="1"/>
  <c r="L40" i="1"/>
  <c r="G50" i="7"/>
  <c r="J42" i="1" s="1"/>
  <c r="G26" i="17" s="1"/>
  <c r="F52" i="7"/>
  <c r="H51" i="7"/>
  <c r="K41" i="1" s="1"/>
  <c r="G51" i="7" l="1"/>
  <c r="J41" i="1" s="1"/>
  <c r="K40" i="1"/>
  <c r="H25" i="17"/>
  <c r="F50" i="7"/>
  <c r="I42" i="1" s="1"/>
  <c r="F26" i="17" s="1"/>
  <c r="E52" i="7"/>
  <c r="D52" i="7" l="1"/>
  <c r="E50" i="7"/>
  <c r="H42" i="1" s="1"/>
  <c r="E26" i="17" s="1"/>
  <c r="E51" i="7"/>
  <c r="H41" i="1" s="1"/>
  <c r="J40" i="1"/>
  <c r="G25" i="17"/>
  <c r="F40" i="17"/>
  <c r="F39" i="17"/>
  <c r="F43" i="17"/>
  <c r="F42" i="17"/>
  <c r="F41" i="17"/>
  <c r="F51" i="7"/>
  <c r="I41" i="1" s="1"/>
  <c r="E25" i="17" l="1"/>
  <c r="H40" i="1"/>
  <c r="E39" i="17"/>
  <c r="E43" i="17"/>
  <c r="E42" i="17"/>
  <c r="E41" i="17"/>
  <c r="E40" i="17"/>
  <c r="D51" i="7"/>
  <c r="G41" i="1" s="1"/>
  <c r="D50" i="7"/>
  <c r="G42" i="1" s="1"/>
  <c r="D26" i="17" s="1"/>
  <c r="C52" i="7"/>
  <c r="F25" i="17"/>
  <c r="I40" i="1"/>
  <c r="G40" i="1" l="1"/>
  <c r="D25" i="17"/>
  <c r="E33" i="17"/>
  <c r="E69" i="17" s="1"/>
  <c r="E32" i="17"/>
  <c r="E68" i="17" s="1"/>
  <c r="E34" i="17"/>
  <c r="E47" i="17" s="1"/>
  <c r="E30" i="17"/>
  <c r="E66" i="17" s="1"/>
  <c r="E31" i="17"/>
  <c r="E67" i="17" s="1"/>
  <c r="F30" i="17"/>
  <c r="F66" i="17" s="1"/>
  <c r="F34" i="17"/>
  <c r="F47" i="17" s="1"/>
  <c r="F33" i="17"/>
  <c r="F69" i="17" s="1"/>
  <c r="F32" i="17"/>
  <c r="F68" i="17" s="1"/>
  <c r="F31" i="17"/>
  <c r="F67" i="17" s="1"/>
  <c r="C50" i="7"/>
  <c r="F42" i="1" s="1"/>
  <c r="C26" i="17" s="1"/>
  <c r="B52" i="7"/>
  <c r="D42" i="17"/>
  <c r="D41" i="17"/>
  <c r="D40" i="17"/>
  <c r="D39" i="17"/>
  <c r="D43" i="17"/>
  <c r="B50" i="7" l="1"/>
  <c r="E42" i="1" s="1"/>
  <c r="B26" i="17" s="1"/>
  <c r="B51" i="7"/>
  <c r="E41" i="1" s="1"/>
  <c r="C41" i="17"/>
  <c r="C40" i="17"/>
  <c r="C39" i="17"/>
  <c r="C42" i="17"/>
  <c r="C43" i="17"/>
  <c r="D32" i="17"/>
  <c r="D68" i="17" s="1"/>
  <c r="D31" i="17"/>
  <c r="D67" i="17" s="1"/>
  <c r="D34" i="17"/>
  <c r="D47" i="17" s="1"/>
  <c r="D33" i="17"/>
  <c r="D69" i="17" s="1"/>
  <c r="D30" i="17"/>
  <c r="D66" i="17" s="1"/>
  <c r="C51" i="7"/>
  <c r="F41" i="1" s="1"/>
  <c r="E40" i="1" l="1"/>
  <c r="E30" i="1" s="1"/>
  <c r="E6" i="1" s="1"/>
  <c r="B25" i="17"/>
  <c r="F40" i="1"/>
  <c r="C25" i="17"/>
  <c r="B38" i="17"/>
  <c r="B40" i="17"/>
  <c r="B39" i="17"/>
  <c r="B43" i="17"/>
  <c r="B42" i="17"/>
  <c r="B41" i="17"/>
  <c r="C31" i="17" l="1"/>
  <c r="C67" i="17" s="1"/>
  <c r="C30" i="17"/>
  <c r="C66" i="17" s="1"/>
  <c r="C34" i="17"/>
  <c r="C47" i="17" s="1"/>
  <c r="C33" i="17"/>
  <c r="C69" i="17" s="1"/>
  <c r="C32" i="17"/>
  <c r="C68" i="17" s="1"/>
  <c r="B30" i="17"/>
  <c r="B66" i="17" s="1"/>
  <c r="B34" i="17"/>
  <c r="B47" i="17" s="1"/>
  <c r="B33" i="17"/>
  <c r="B69" i="17" s="1"/>
  <c r="B32" i="17"/>
  <c r="B68" i="17" s="1"/>
  <c r="B31" i="17"/>
  <c r="B67" i="17" s="1"/>
  <c r="B29" i="17"/>
  <c r="B44" i="17"/>
  <c r="B35" i="17" l="1"/>
  <c r="B46" i="17" s="1"/>
  <c r="B48" i="17" s="1"/>
  <c r="C66" i="12" l="1"/>
  <c r="D66" i="12"/>
  <c r="E66" i="12"/>
  <c r="F66" i="12"/>
  <c r="G66" i="12"/>
  <c r="H66" i="12"/>
  <c r="I66" i="12"/>
  <c r="J66" i="12"/>
  <c r="K66" i="12"/>
  <c r="L66" i="12"/>
  <c r="M66" i="12"/>
  <c r="N66" i="12"/>
  <c r="O66" i="12"/>
  <c r="P66" i="12"/>
  <c r="Q66" i="12"/>
  <c r="R66" i="12"/>
  <c r="C5" i="12"/>
  <c r="D5" i="12"/>
  <c r="E5" i="12"/>
  <c r="F5" i="12"/>
  <c r="G5" i="12"/>
  <c r="H5" i="12"/>
  <c r="I5" i="12"/>
  <c r="J5" i="12"/>
  <c r="K5" i="12"/>
  <c r="L5" i="12"/>
  <c r="M5" i="12"/>
  <c r="N5" i="12"/>
  <c r="O5" i="12"/>
  <c r="P5" i="12"/>
  <c r="Q5" i="12"/>
  <c r="R5" i="12"/>
  <c r="C16" i="12"/>
  <c r="D16" i="12"/>
  <c r="E16" i="12"/>
  <c r="F16" i="12"/>
  <c r="G16" i="12"/>
  <c r="H16" i="12"/>
  <c r="I16" i="12"/>
  <c r="J16" i="12"/>
  <c r="K16" i="12"/>
  <c r="L16" i="12"/>
  <c r="M16" i="12"/>
  <c r="N16" i="12"/>
  <c r="O16" i="12"/>
  <c r="P16" i="12"/>
  <c r="Q16" i="12"/>
  <c r="R16" i="12"/>
  <c r="C29" i="12"/>
  <c r="D29" i="12"/>
  <c r="E29" i="12"/>
  <c r="F29" i="12"/>
  <c r="G29" i="12"/>
  <c r="H29" i="12"/>
  <c r="I29" i="12"/>
  <c r="J29" i="12"/>
  <c r="K29" i="12"/>
  <c r="L29" i="12"/>
  <c r="M29" i="12"/>
  <c r="N29" i="12"/>
  <c r="O29" i="12"/>
  <c r="P29" i="12"/>
  <c r="Q29" i="12"/>
  <c r="R29" i="12"/>
  <c r="C78" i="12"/>
  <c r="D78" i="12"/>
  <c r="E78" i="12"/>
  <c r="F78" i="12"/>
  <c r="G78" i="12"/>
  <c r="H78" i="12"/>
  <c r="I78" i="12"/>
  <c r="J78" i="12"/>
  <c r="K78" i="12"/>
  <c r="L78" i="12"/>
  <c r="M78" i="12"/>
  <c r="N78" i="12"/>
  <c r="O78" i="12"/>
  <c r="P78" i="12"/>
  <c r="Q78" i="12"/>
  <c r="R78" i="12"/>
  <c r="C100" i="12"/>
  <c r="D100" i="12"/>
  <c r="E100" i="12"/>
  <c r="F100" i="12"/>
  <c r="G100" i="12"/>
  <c r="H100" i="12"/>
  <c r="I100" i="12"/>
  <c r="J100" i="12"/>
  <c r="K100" i="12"/>
  <c r="L100" i="12"/>
  <c r="M100" i="12"/>
  <c r="N100" i="12"/>
  <c r="O100" i="12"/>
  <c r="P100" i="12"/>
  <c r="Q100" i="12"/>
  <c r="R100" i="12"/>
  <c r="C113" i="12"/>
  <c r="D113" i="12"/>
  <c r="E113" i="12"/>
  <c r="F113" i="12"/>
  <c r="G113" i="12"/>
  <c r="H113" i="12"/>
  <c r="I113" i="12"/>
  <c r="J113" i="12"/>
  <c r="K113" i="12"/>
  <c r="L113" i="12"/>
  <c r="M113" i="12"/>
  <c r="N113" i="12"/>
  <c r="O113" i="12"/>
  <c r="P113" i="12"/>
  <c r="Q113" i="12"/>
  <c r="R113" i="12"/>
  <c r="M37" i="1"/>
  <c r="J13" i="17" s="1"/>
  <c r="N37" i="1"/>
  <c r="K13" i="17" s="1"/>
  <c r="C57" i="7"/>
  <c r="C66" i="7" s="1"/>
  <c r="C63" i="7" s="1"/>
  <c r="F37" i="1" s="1"/>
  <c r="C13" i="17" s="1"/>
  <c r="C38" i="17" s="1"/>
  <c r="C44" i="17" s="1"/>
  <c r="D57" i="7"/>
  <c r="D66" i="7" s="1"/>
  <c r="D63" i="7" s="1"/>
  <c r="G37" i="1" s="1"/>
  <c r="D13" i="17" s="1"/>
  <c r="D38" i="17" s="1"/>
  <c r="D44" i="17" s="1"/>
  <c r="E57" i="7"/>
  <c r="F57" i="7"/>
  <c r="G57" i="7"/>
  <c r="G66" i="7" s="1"/>
  <c r="H57" i="7"/>
  <c r="H66" i="7" s="1"/>
  <c r="I57" i="7"/>
  <c r="J57" i="7"/>
  <c r="K57" i="7"/>
  <c r="K66" i="7" s="1"/>
  <c r="K63" i="7" s="1"/>
  <c r="L57" i="7"/>
  <c r="L66" i="7" s="1"/>
  <c r="L63" i="7" s="1"/>
  <c r="O37" i="1" s="1"/>
  <c r="L13" i="17" s="1"/>
  <c r="L38" i="17" s="1"/>
  <c r="L44" i="17" s="1"/>
  <c r="M57" i="7"/>
  <c r="N57" i="7"/>
  <c r="O57" i="7"/>
  <c r="O66" i="7" s="1"/>
  <c r="P57" i="7"/>
  <c r="P66" i="7" s="1"/>
  <c r="Q57" i="7"/>
  <c r="R57" i="7"/>
  <c r="G63" i="7"/>
  <c r="J37" i="1" s="1"/>
  <c r="G13" i="17" s="1"/>
  <c r="G18" i="17" s="1"/>
  <c r="H63" i="7"/>
  <c r="K37" i="1" s="1"/>
  <c r="H13" i="17" s="1"/>
  <c r="O63" i="7"/>
  <c r="R37" i="1" s="1"/>
  <c r="P63" i="7"/>
  <c r="S37" i="1" s="1"/>
  <c r="P13" i="17" s="1"/>
  <c r="P38" i="17" s="1"/>
  <c r="P44" i="17" s="1"/>
  <c r="C65" i="7"/>
  <c r="F36" i="1" s="1"/>
  <c r="D65" i="7"/>
  <c r="G36" i="1" s="1"/>
  <c r="K65" i="7"/>
  <c r="N36" i="1" s="1"/>
  <c r="L65" i="7"/>
  <c r="O36" i="1" s="1"/>
  <c r="E66" i="7"/>
  <c r="E63" i="7" s="1"/>
  <c r="H37" i="1" s="1"/>
  <c r="E13" i="17" s="1"/>
  <c r="F66" i="7"/>
  <c r="F63" i="7" s="1"/>
  <c r="I37" i="1" s="1"/>
  <c r="F13" i="17" s="1"/>
  <c r="I66" i="7"/>
  <c r="I63" i="7" s="1"/>
  <c r="L37" i="1" s="1"/>
  <c r="I13" i="17" s="1"/>
  <c r="J66" i="7"/>
  <c r="J63" i="7" s="1"/>
  <c r="P37" i="1"/>
  <c r="M13" i="17" s="1"/>
  <c r="N66" i="7"/>
  <c r="N63" i="7" s="1"/>
  <c r="Q37" i="1" s="1"/>
  <c r="N13" i="17" s="1"/>
  <c r="N18" i="17" s="1"/>
  <c r="Q66" i="7"/>
  <c r="Q63" i="7" s="1"/>
  <c r="T37" i="1" s="1"/>
  <c r="Q13" i="17" s="1"/>
  <c r="R66" i="7"/>
  <c r="R63" i="7" s="1"/>
  <c r="U37" i="1" s="1"/>
  <c r="R13" i="17" s="1"/>
  <c r="O13" i="17"/>
  <c r="O18" i="17" s="1"/>
  <c r="C18" i="17"/>
  <c r="D18" i="17"/>
  <c r="L18" i="17"/>
  <c r="P18" i="17"/>
  <c r="O38" i="17"/>
  <c r="O44" i="17" s="1"/>
  <c r="K18" i="17" l="1"/>
  <c r="N38" i="17"/>
  <c r="N44" i="17" s="1"/>
  <c r="F18" i="17"/>
  <c r="F38" i="17"/>
  <c r="F44" i="17" s="1"/>
  <c r="M18" i="17"/>
  <c r="M38" i="17"/>
  <c r="M44" i="17" s="1"/>
  <c r="O35" i="1"/>
  <c r="O30" i="1" s="1"/>
  <c r="O6" i="1" s="1"/>
  <c r="L5" i="17"/>
  <c r="E18" i="17"/>
  <c r="E38" i="17"/>
  <c r="E44" i="17" s="1"/>
  <c r="K5" i="17"/>
  <c r="N35" i="1"/>
  <c r="N30" i="1" s="1"/>
  <c r="N6" i="1" s="1"/>
  <c r="J18" i="17"/>
  <c r="R18" i="17"/>
  <c r="R38" i="17"/>
  <c r="R44" i="17" s="1"/>
  <c r="H18" i="17"/>
  <c r="G35" i="1"/>
  <c r="G30" i="1" s="1"/>
  <c r="G6" i="1" s="1"/>
  <c r="D5" i="17"/>
  <c r="P65" i="7"/>
  <c r="S36" i="1" s="1"/>
  <c r="H65" i="7"/>
  <c r="K36" i="1" s="1"/>
  <c r="Q18" i="17"/>
  <c r="Q38" i="17"/>
  <c r="Q44" i="17" s="1"/>
  <c r="I18" i="17"/>
  <c r="F35" i="1"/>
  <c r="F30" i="1" s="1"/>
  <c r="F6" i="1" s="1"/>
  <c r="C5" i="17"/>
  <c r="O65" i="7"/>
  <c r="R36" i="1" s="1"/>
  <c r="G65" i="7"/>
  <c r="J36" i="1" s="1"/>
  <c r="R65" i="7"/>
  <c r="U36" i="1" s="1"/>
  <c r="Q36" i="1"/>
  <c r="J65" i="7"/>
  <c r="M36" i="1" s="1"/>
  <c r="F65" i="7"/>
  <c r="I36" i="1" s="1"/>
  <c r="Q65" i="7"/>
  <c r="T36" i="1" s="1"/>
  <c r="I65" i="7"/>
  <c r="L36" i="1" s="1"/>
  <c r="E65" i="7"/>
  <c r="H36" i="1" s="1"/>
  <c r="I5" i="17" l="1"/>
  <c r="L35" i="1"/>
  <c r="L30" i="1" s="1"/>
  <c r="L6" i="1" s="1"/>
  <c r="R35" i="1"/>
  <c r="R30" i="1" s="1"/>
  <c r="R6" i="1" s="1"/>
  <c r="O5" i="17"/>
  <c r="K35" i="1"/>
  <c r="K30" i="1" s="1"/>
  <c r="K6" i="1" s="1"/>
  <c r="H5" i="17"/>
  <c r="L10" i="17"/>
  <c r="L20" i="17" s="1"/>
  <c r="L21" i="17" s="1"/>
  <c r="L29" i="17"/>
  <c r="L35" i="17" s="1"/>
  <c r="L46" i="17" s="1"/>
  <c r="L48" i="17" s="1"/>
  <c r="P35" i="1"/>
  <c r="P30" i="1" s="1"/>
  <c r="P6" i="1" s="1"/>
  <c r="C29" i="17"/>
  <c r="C35" i="17" s="1"/>
  <c r="C46" i="17" s="1"/>
  <c r="C48" i="17" s="1"/>
  <c r="C10" i="17"/>
  <c r="C20" i="17" s="1"/>
  <c r="C21" i="17" s="1"/>
  <c r="E5" i="17"/>
  <c r="H35" i="1"/>
  <c r="H30" i="1" s="1"/>
  <c r="H6" i="1" s="1"/>
  <c r="I35" i="1"/>
  <c r="I30" i="1" s="1"/>
  <c r="I6" i="1" s="1"/>
  <c r="F5" i="17"/>
  <c r="J35" i="1"/>
  <c r="J30" i="1" s="1"/>
  <c r="J6" i="1" s="1"/>
  <c r="G5" i="17"/>
  <c r="M35" i="1"/>
  <c r="M30" i="1" s="1"/>
  <c r="M6" i="1" s="1"/>
  <c r="J5" i="17"/>
  <c r="D29" i="17"/>
  <c r="D35" i="17" s="1"/>
  <c r="D46" i="17" s="1"/>
  <c r="D48" i="17" s="1"/>
  <c r="D10" i="17"/>
  <c r="D20" i="17" s="1"/>
  <c r="D21" i="17" s="1"/>
  <c r="N5" i="17"/>
  <c r="Q35" i="1"/>
  <c r="Q30" i="1" s="1"/>
  <c r="Q6" i="1" s="1"/>
  <c r="K10" i="17"/>
  <c r="K20" i="17" s="1"/>
  <c r="K21" i="17" s="1"/>
  <c r="Q5" i="17"/>
  <c r="T35" i="1"/>
  <c r="T30" i="1" s="1"/>
  <c r="T6" i="1" s="1"/>
  <c r="R5" i="17"/>
  <c r="U35" i="1"/>
  <c r="U30" i="1" s="1"/>
  <c r="U6" i="1" s="1"/>
  <c r="S35" i="1"/>
  <c r="S30" i="1" s="1"/>
  <c r="S6" i="1" s="1"/>
  <c r="P5" i="17"/>
  <c r="O10" i="17" l="1"/>
  <c r="O20" i="17" s="1"/>
  <c r="O21" i="17" s="1"/>
  <c r="O29" i="17"/>
  <c r="O35" i="17" s="1"/>
  <c r="O46" i="17" s="1"/>
  <c r="O48" i="17" s="1"/>
  <c r="N10" i="17"/>
  <c r="N20" i="17" s="1"/>
  <c r="N21" i="17" s="1"/>
  <c r="N29" i="17"/>
  <c r="N35" i="17" s="1"/>
  <c r="N46" i="17" s="1"/>
  <c r="N48" i="17" s="1"/>
  <c r="G10" i="17"/>
  <c r="G20" i="17" s="1"/>
  <c r="G21" i="17" s="1"/>
  <c r="Q10" i="17"/>
  <c r="Q20" i="17" s="1"/>
  <c r="Q21" i="17" s="1"/>
  <c r="Q29" i="17"/>
  <c r="Q35" i="17" s="1"/>
  <c r="Q46" i="17" s="1"/>
  <c r="Q48" i="17" s="1"/>
  <c r="J10" i="17"/>
  <c r="J20" i="17" s="1"/>
  <c r="J21" i="17" s="1"/>
  <c r="E10" i="17"/>
  <c r="E20" i="17" s="1"/>
  <c r="E21" i="17" s="1"/>
  <c r="E29" i="17"/>
  <c r="E35" i="17" s="1"/>
  <c r="E46" i="17" s="1"/>
  <c r="E48" i="17" s="1"/>
  <c r="M10" i="17"/>
  <c r="M20" i="17" s="1"/>
  <c r="M21" i="17" s="1"/>
  <c r="M29" i="17"/>
  <c r="M35" i="17" s="1"/>
  <c r="M46" i="17" s="1"/>
  <c r="M48" i="17" s="1"/>
  <c r="H10" i="17"/>
  <c r="H20" i="17" s="1"/>
  <c r="H21" i="17" s="1"/>
  <c r="P10" i="17"/>
  <c r="P20" i="17" s="1"/>
  <c r="P21" i="17" s="1"/>
  <c r="P29" i="17"/>
  <c r="P35" i="17" s="1"/>
  <c r="P46" i="17" s="1"/>
  <c r="P48" i="17" s="1"/>
  <c r="R10" i="17"/>
  <c r="R20" i="17" s="1"/>
  <c r="R21" i="17" s="1"/>
  <c r="R29" i="17"/>
  <c r="R35" i="17" s="1"/>
  <c r="R46" i="17" s="1"/>
  <c r="R48" i="17" s="1"/>
  <c r="F10" i="17"/>
  <c r="F20" i="17" s="1"/>
  <c r="F21" i="17" s="1"/>
  <c r="F29" i="17"/>
  <c r="F35" i="17" s="1"/>
  <c r="F46" i="17" s="1"/>
  <c r="F48" i="17" s="1"/>
  <c r="I10" i="17"/>
  <c r="I20" i="17" s="1"/>
  <c r="I21" i="17" s="1"/>
  <c r="T66" i="12"/>
  <c r="U66" i="12"/>
  <c r="V66" i="12"/>
  <c r="W66" i="12"/>
  <c r="X66" i="12"/>
  <c r="Y66" i="12"/>
  <c r="Z66" i="12"/>
  <c r="AA66" i="12"/>
  <c r="AB66" i="12"/>
  <c r="AC66" i="12"/>
  <c r="AD66" i="12"/>
  <c r="AE66" i="12"/>
  <c r="AF66" i="12"/>
  <c r="AG66" i="12"/>
  <c r="AH66" i="12"/>
  <c r="AI66" i="12"/>
  <c r="AJ66" i="12"/>
  <c r="AK66" i="12"/>
  <c r="AL66" i="12"/>
  <c r="T5" i="12"/>
  <c r="U5" i="12"/>
  <c r="V5" i="12"/>
  <c r="W5" i="12"/>
  <c r="X5" i="12"/>
  <c r="Y5" i="12"/>
  <c r="Z5" i="12"/>
  <c r="AA5" i="12"/>
  <c r="AB5" i="12"/>
  <c r="AC5" i="12"/>
  <c r="AD5" i="12"/>
  <c r="AE5" i="12"/>
  <c r="AF5" i="12"/>
  <c r="AG5" i="12"/>
  <c r="AH5" i="12"/>
  <c r="AI5" i="12"/>
  <c r="AJ5" i="12"/>
  <c r="AK5" i="12"/>
  <c r="AL5" i="12"/>
  <c r="T16" i="12"/>
  <c r="U16" i="12"/>
  <c r="V16" i="12"/>
  <c r="W16" i="12"/>
  <c r="X16" i="12"/>
  <c r="Y16" i="12"/>
  <c r="Z16" i="12"/>
  <c r="AA16" i="12"/>
  <c r="AB16" i="12"/>
  <c r="AC16" i="12"/>
  <c r="AD16" i="12"/>
  <c r="AE16" i="12"/>
  <c r="AF16" i="12"/>
  <c r="AG16" i="12"/>
  <c r="AH16" i="12"/>
  <c r="AI16" i="12"/>
  <c r="AJ16" i="12"/>
  <c r="AK16" i="12"/>
  <c r="AL16" i="12"/>
  <c r="T29" i="12"/>
  <c r="U29" i="12"/>
  <c r="V29" i="12"/>
  <c r="W29" i="12"/>
  <c r="X29" i="12"/>
  <c r="Y29" i="12"/>
  <c r="Z29" i="12"/>
  <c r="AA29" i="12"/>
  <c r="AB29" i="12"/>
  <c r="AC29" i="12"/>
  <c r="AD29" i="12"/>
  <c r="AE29" i="12"/>
  <c r="AF29" i="12"/>
  <c r="AG29" i="12"/>
  <c r="AH29" i="12"/>
  <c r="AI29" i="12"/>
  <c r="AJ29" i="12"/>
  <c r="AK29" i="12"/>
  <c r="AL29" i="12"/>
  <c r="T78" i="12"/>
  <c r="U78" i="12"/>
  <c r="V78" i="12"/>
  <c r="W78" i="12"/>
  <c r="X78" i="12"/>
  <c r="Y78" i="12"/>
  <c r="Z78" i="12"/>
  <c r="AA78" i="12"/>
  <c r="AB78" i="12"/>
  <c r="AC78" i="12"/>
  <c r="AD78" i="12"/>
  <c r="AE78" i="12"/>
  <c r="AF78" i="12"/>
  <c r="AG78" i="12"/>
  <c r="AH78" i="12"/>
  <c r="AI78" i="12"/>
  <c r="AJ78" i="12"/>
  <c r="AK78" i="12"/>
  <c r="AL78" i="12"/>
  <c r="T100" i="12"/>
  <c r="U100" i="12"/>
  <c r="V100" i="12"/>
  <c r="W100" i="12"/>
  <c r="X100" i="12"/>
  <c r="Y100" i="12"/>
  <c r="Z100" i="12"/>
  <c r="AA100" i="12"/>
  <c r="AB100" i="12"/>
  <c r="AC100" i="12"/>
  <c r="AD100" i="12"/>
  <c r="AE100" i="12"/>
  <c r="AF100" i="12"/>
  <c r="AG100" i="12"/>
  <c r="AH100" i="12"/>
  <c r="AI100" i="12"/>
  <c r="AJ100" i="12"/>
  <c r="AK100" i="12"/>
  <c r="AL100" i="12"/>
  <c r="T113" i="12"/>
  <c r="U113" i="12"/>
  <c r="V113" i="12"/>
  <c r="W113" i="12"/>
  <c r="X113" i="12"/>
  <c r="Y113" i="12"/>
  <c r="Z113" i="12"/>
  <c r="AA113" i="12"/>
  <c r="AB113" i="12"/>
  <c r="AC113" i="12"/>
  <c r="AD113" i="12"/>
  <c r="AE113" i="12"/>
  <c r="AF113" i="12"/>
  <c r="AG113" i="12"/>
  <c r="AH113" i="12"/>
  <c r="AI113" i="12"/>
  <c r="AJ113" i="12"/>
  <c r="AK113" i="12"/>
  <c r="AL113" i="12"/>
  <c r="AA37" i="1"/>
  <c r="X13" i="17" s="1"/>
  <c r="X18" i="17" s="1"/>
  <c r="T57" i="7"/>
  <c r="U57" i="7"/>
  <c r="U66" i="7" s="1"/>
  <c r="U63" i="7" s="1"/>
  <c r="X37" i="1" s="1"/>
  <c r="U13" i="17" s="1"/>
  <c r="V57" i="7"/>
  <c r="W57" i="7"/>
  <c r="X57" i="7"/>
  <c r="Y57" i="7"/>
  <c r="Y66" i="7" s="1"/>
  <c r="Z57" i="7"/>
  <c r="AA57" i="7"/>
  <c r="AB57" i="7"/>
  <c r="AC57" i="7"/>
  <c r="AC66" i="7" s="1"/>
  <c r="AC63" i="7" s="1"/>
  <c r="AF37" i="1" s="1"/>
  <c r="AC13" i="17" s="1"/>
  <c r="AD57" i="7"/>
  <c r="AE57" i="7"/>
  <c r="AF57" i="7"/>
  <c r="AG57" i="7"/>
  <c r="AH57" i="7"/>
  <c r="AI57" i="7"/>
  <c r="AJ57" i="7"/>
  <c r="AK57" i="7"/>
  <c r="AL57" i="7"/>
  <c r="Y63" i="7"/>
  <c r="AB37" i="1" s="1"/>
  <c r="Y13" i="17" s="1"/>
  <c r="Z63" i="7"/>
  <c r="AC37" i="1" s="1"/>
  <c r="U65" i="7"/>
  <c r="X36" i="1" s="1"/>
  <c r="AC65" i="7"/>
  <c r="AF36" i="1" s="1"/>
  <c r="AD65" i="7"/>
  <c r="AG36" i="1" s="1"/>
  <c r="T66" i="7"/>
  <c r="T63" i="7" s="1"/>
  <c r="W37" i="1" s="1"/>
  <c r="T13" i="17" s="1"/>
  <c r="V66" i="7"/>
  <c r="W66" i="7"/>
  <c r="W63" i="7" s="1"/>
  <c r="Z37" i="1" s="1"/>
  <c r="W13" i="17" s="1"/>
  <c r="W18" i="17" s="1"/>
  <c r="X66" i="7"/>
  <c r="X63" i="7" s="1"/>
  <c r="Z66" i="7"/>
  <c r="AA66" i="7"/>
  <c r="AA63" i="7" s="1"/>
  <c r="AD37" i="1" s="1"/>
  <c r="AA13" i="17" s="1"/>
  <c r="AB66" i="7"/>
  <c r="AB63" i="7" s="1"/>
  <c r="AE37" i="1" s="1"/>
  <c r="AB13" i="17" s="1"/>
  <c r="AB18" i="17" s="1"/>
  <c r="AD66" i="7"/>
  <c r="AD63" i="7" s="1"/>
  <c r="AG37" i="1" s="1"/>
  <c r="AD13" i="17" s="1"/>
  <c r="AD38" i="17" s="1"/>
  <c r="Z13" i="17"/>
  <c r="AD18" i="17"/>
  <c r="X38" i="17"/>
  <c r="X44" i="17" s="1"/>
  <c r="AB38" i="17"/>
  <c r="AB44" i="17" s="1"/>
  <c r="AD44" i="17"/>
  <c r="AA38" i="17" l="1"/>
  <c r="AA44" i="17" s="1"/>
  <c r="AA18" i="17"/>
  <c r="Z18" i="17"/>
  <c r="Z38" i="17"/>
  <c r="Z44" i="17" s="1"/>
  <c r="AF35" i="1"/>
  <c r="AF30" i="1" s="1"/>
  <c r="AF6" i="1" s="1"/>
  <c r="AC5" i="17"/>
  <c r="Y18" i="17"/>
  <c r="Y38" i="17"/>
  <c r="Y44" i="17" s="1"/>
  <c r="W38" i="17"/>
  <c r="W44" i="17" s="1"/>
  <c r="Z65" i="7"/>
  <c r="AC36" i="1" s="1"/>
  <c r="T18" i="17"/>
  <c r="T38" i="17"/>
  <c r="T44" i="17" s="1"/>
  <c r="V63" i="7"/>
  <c r="Y37" i="1" s="1"/>
  <c r="V13" i="17" s="1"/>
  <c r="AG35" i="1"/>
  <c r="AG30" i="1" s="1"/>
  <c r="AG6" i="1" s="1"/>
  <c r="AD5" i="17"/>
  <c r="X35" i="1"/>
  <c r="X30" i="1" s="1"/>
  <c r="X6" i="1" s="1"/>
  <c r="U5" i="17"/>
  <c r="AC18" i="17"/>
  <c r="AC38" i="17"/>
  <c r="AC44" i="17" s="1"/>
  <c r="Y65" i="7"/>
  <c r="AB36" i="1" s="1"/>
  <c r="U18" i="17"/>
  <c r="U38" i="17"/>
  <c r="U44" i="17" s="1"/>
  <c r="AB65" i="7"/>
  <c r="AE36" i="1" s="1"/>
  <c r="X65" i="7"/>
  <c r="AA36" i="1" s="1"/>
  <c r="T65" i="7"/>
  <c r="W36" i="1" s="1"/>
  <c r="AA65" i="7"/>
  <c r="AD36" i="1" s="1"/>
  <c r="W65" i="7"/>
  <c r="Z36" i="1" s="1"/>
  <c r="AB35" i="1" l="1"/>
  <c r="AB30" i="1" s="1"/>
  <c r="AB6" i="1" s="1"/>
  <c r="Y5" i="17"/>
  <c r="V38" i="17"/>
  <c r="V44" i="17" s="1"/>
  <c r="V18" i="17"/>
  <c r="AC10" i="17"/>
  <c r="AC29" i="17"/>
  <c r="AC35" i="17" s="1"/>
  <c r="AC46" i="17" s="1"/>
  <c r="AC48" i="17" s="1"/>
  <c r="AD29" i="17"/>
  <c r="AD35" i="17" s="1"/>
  <c r="AD46" i="17" s="1"/>
  <c r="AD48" i="17" s="1"/>
  <c r="AD10" i="17"/>
  <c r="AD20" i="17" s="1"/>
  <c r="AD21" i="17" s="1"/>
  <c r="AA5" i="17"/>
  <c r="AD35" i="1"/>
  <c r="AD30" i="1" s="1"/>
  <c r="AD6" i="1" s="1"/>
  <c r="AC20" i="17"/>
  <c r="AC21" i="17" s="1"/>
  <c r="X5" i="17"/>
  <c r="AA35" i="1"/>
  <c r="AA30" i="1" s="1"/>
  <c r="AA6" i="1" s="1"/>
  <c r="AC35" i="1"/>
  <c r="AC30" i="1" s="1"/>
  <c r="AC6" i="1" s="1"/>
  <c r="Z5" i="17"/>
  <c r="Z35" i="1"/>
  <c r="Z30" i="1" s="1"/>
  <c r="Z6" i="1" s="1"/>
  <c r="W5" i="17"/>
  <c r="AB5" i="17"/>
  <c r="AE35" i="1"/>
  <c r="AE30" i="1" s="1"/>
  <c r="AE6" i="1" s="1"/>
  <c r="T5" i="17"/>
  <c r="W35" i="1"/>
  <c r="W30" i="1" s="1"/>
  <c r="W6" i="1" s="1"/>
  <c r="U10" i="17"/>
  <c r="U20" i="17" s="1"/>
  <c r="U21" i="17" s="1"/>
  <c r="U29" i="17"/>
  <c r="U35" i="17" s="1"/>
  <c r="U46" i="17" s="1"/>
  <c r="U48" i="17" s="1"/>
  <c r="V65" i="7"/>
  <c r="Y36" i="1" s="1"/>
  <c r="T10" i="17" l="1"/>
  <c r="T20" i="17" s="1"/>
  <c r="T21" i="17" s="1"/>
  <c r="T29" i="17"/>
  <c r="T35" i="17" s="1"/>
  <c r="T46" i="17" s="1"/>
  <c r="T48" i="17" s="1"/>
  <c r="X10" i="17"/>
  <c r="X20" i="17" s="1"/>
  <c r="X21" i="17" s="1"/>
  <c r="X29" i="17"/>
  <c r="X35" i="17" s="1"/>
  <c r="X46" i="17" s="1"/>
  <c r="X48" i="17" s="1"/>
  <c r="Y35" i="1"/>
  <c r="Y30" i="1" s="1"/>
  <c r="Y6" i="1" s="1"/>
  <c r="V5" i="17"/>
  <c r="W29" i="17"/>
  <c r="W35" i="17" s="1"/>
  <c r="W46" i="17" s="1"/>
  <c r="W48" i="17" s="1"/>
  <c r="W10" i="17"/>
  <c r="W20" i="17" s="1"/>
  <c r="W21" i="17" s="1"/>
  <c r="AA29" i="17"/>
  <c r="AA35" i="17" s="1"/>
  <c r="AA46" i="17" s="1"/>
  <c r="AA48" i="17" s="1"/>
  <c r="AA10" i="17"/>
  <c r="AA20" i="17" s="1"/>
  <c r="AA21" i="17" s="1"/>
  <c r="Z10" i="17"/>
  <c r="Z20" i="17" s="1"/>
  <c r="Z21" i="17" s="1"/>
  <c r="Z29" i="17"/>
  <c r="Z35" i="17" s="1"/>
  <c r="Z46" i="17" s="1"/>
  <c r="Z48" i="17" s="1"/>
  <c r="Y10" i="17"/>
  <c r="Y20" i="17" s="1"/>
  <c r="Y21" i="17" s="1"/>
  <c r="Y29" i="17"/>
  <c r="Y35" i="17" s="1"/>
  <c r="Y46" i="17" s="1"/>
  <c r="Y48" i="17" s="1"/>
  <c r="AB10" i="17"/>
  <c r="AB20" i="17" s="1"/>
  <c r="AB21" i="17" s="1"/>
  <c r="AB29" i="17"/>
  <c r="AB35" i="17" s="1"/>
  <c r="AB46" i="17" s="1"/>
  <c r="AB48" i="17" s="1"/>
  <c r="V29" i="17" l="1"/>
  <c r="V35" i="17" s="1"/>
  <c r="V46" i="17" s="1"/>
  <c r="V48" i="17" s="1"/>
  <c r="V10" i="17"/>
  <c r="V20" i="17" s="1"/>
  <c r="V21" i="17" s="1"/>
  <c r="G91" i="17"/>
  <c r="G17" i="12"/>
  <c r="G112" i="17" l="1"/>
  <c r="G117" i="17" s="1"/>
  <c r="G96" i="17"/>
  <c r="G104" i="17" l="1"/>
  <c r="G102" i="17"/>
  <c r="G105" i="17"/>
  <c r="G100" i="17"/>
  <c r="G103" i="17"/>
  <c r="G101" i="17"/>
  <c r="G43" i="17" l="1"/>
  <c r="G34" i="17"/>
  <c r="G106" i="17"/>
  <c r="G29" i="17"/>
  <c r="G38" i="17"/>
  <c r="G30" i="17"/>
  <c r="G39" i="17"/>
  <c r="G31" i="17"/>
  <c r="G67" i="17" s="1"/>
  <c r="G40" i="17"/>
  <c r="G32" i="17"/>
  <c r="G41" i="17"/>
  <c r="G42" i="17"/>
  <c r="G33" i="17"/>
  <c r="G35" i="17" l="1"/>
  <c r="G68" i="17"/>
  <c r="G66" i="17"/>
  <c r="G47" i="17"/>
  <c r="G69" i="17"/>
  <c r="G44" i="17"/>
  <c r="G46" i="17" l="1"/>
  <c r="G48" i="17" s="1"/>
  <c r="H91" i="17"/>
  <c r="I91" i="17"/>
  <c r="I96" i="17" s="1"/>
  <c r="J91" i="17"/>
  <c r="K91" i="17"/>
  <c r="H17" i="12"/>
  <c r="I17" i="12"/>
  <c r="J17" i="12" s="1"/>
  <c r="K17" i="12" s="1"/>
  <c r="L17" i="12" s="1"/>
  <c r="M17" i="12" s="1"/>
  <c r="N17" i="12" s="1"/>
  <c r="O17" i="12" s="1"/>
  <c r="P17" i="12" s="1"/>
  <c r="Q17" i="12" s="1"/>
  <c r="R17" i="12" s="1"/>
  <c r="S17" i="12" s="1"/>
  <c r="T17" i="12" s="1"/>
  <c r="U17" i="12" s="1"/>
  <c r="V17" i="12" s="1"/>
  <c r="W17" i="12" s="1"/>
  <c r="X17" i="12" s="1"/>
  <c r="Y17" i="12" s="1"/>
  <c r="Z17" i="12" s="1"/>
  <c r="AA17" i="12" s="1"/>
  <c r="AB17" i="12" s="1"/>
  <c r="AC17" i="12" s="1"/>
  <c r="AD17" i="12" s="1"/>
  <c r="AE17" i="12" s="1"/>
  <c r="AF17" i="12" s="1"/>
  <c r="AG17" i="12" s="1"/>
  <c r="AH17" i="12" s="1"/>
  <c r="AI17" i="12" s="1"/>
  <c r="AJ17" i="12" s="1"/>
  <c r="AK17" i="12" s="1"/>
  <c r="AL17" i="12" s="1"/>
  <c r="AM17" i="12" s="1"/>
  <c r="H112" i="17" l="1"/>
  <c r="H117" i="17" s="1"/>
  <c r="H96" i="17"/>
  <c r="I104" i="17"/>
  <c r="I102" i="17"/>
  <c r="I103" i="17"/>
  <c r="I105" i="17"/>
  <c r="I100" i="17"/>
  <c r="K112" i="17"/>
  <c r="K117" i="17" s="1"/>
  <c r="K96" i="17"/>
  <c r="J112" i="17"/>
  <c r="J117" i="17" s="1"/>
  <c r="J96" i="17"/>
  <c r="J101" i="17" s="1"/>
  <c r="I101" i="17"/>
  <c r="I112" i="17"/>
  <c r="I117" i="17" s="1"/>
  <c r="J30" i="17" l="1"/>
  <c r="J39" i="17"/>
  <c r="I30" i="17"/>
  <c r="I39" i="17"/>
  <c r="H102" i="17"/>
  <c r="H105" i="17"/>
  <c r="H100" i="17"/>
  <c r="H103" i="17"/>
  <c r="H104" i="17"/>
  <c r="I106" i="17"/>
  <c r="I38" i="17"/>
  <c r="I29" i="17"/>
  <c r="I33" i="17"/>
  <c r="I42" i="17"/>
  <c r="K103" i="17"/>
  <c r="K102" i="17"/>
  <c r="K104" i="17"/>
  <c r="K100" i="17"/>
  <c r="K105" i="17"/>
  <c r="I43" i="17"/>
  <c r="I34" i="17"/>
  <c r="J103" i="17"/>
  <c r="J105" i="17"/>
  <c r="J100" i="17"/>
  <c r="J102" i="17"/>
  <c r="J104" i="17"/>
  <c r="I32" i="17"/>
  <c r="I41" i="17"/>
  <c r="K101" i="17"/>
  <c r="I40" i="17"/>
  <c r="I31" i="17"/>
  <c r="I67" i="17" s="1"/>
  <c r="H101" i="17"/>
  <c r="I68" i="17" l="1"/>
  <c r="I44" i="17"/>
  <c r="I66" i="17"/>
  <c r="J43" i="17"/>
  <c r="J34" i="17"/>
  <c r="K43" i="17"/>
  <c r="K34" i="17"/>
  <c r="K47" i="17" s="1"/>
  <c r="K32" i="17"/>
  <c r="K68" i="17" s="1"/>
  <c r="K41" i="17"/>
  <c r="J42" i="17"/>
  <c r="J33" i="17"/>
  <c r="J69" i="17" s="1"/>
  <c r="K106" i="17"/>
  <c r="K29" i="17"/>
  <c r="K38" i="17"/>
  <c r="H34" i="17"/>
  <c r="H43" i="17"/>
  <c r="H30" i="17"/>
  <c r="H39" i="17"/>
  <c r="J106" i="17"/>
  <c r="J29" i="17"/>
  <c r="J38" i="17"/>
  <c r="K40" i="17"/>
  <c r="K31" i="17"/>
  <c r="K67" i="17" s="1"/>
  <c r="I35" i="17"/>
  <c r="H32" i="17"/>
  <c r="H41" i="17"/>
  <c r="H106" i="17"/>
  <c r="H29" i="17"/>
  <c r="H38" i="17"/>
  <c r="J41" i="17"/>
  <c r="J32" i="17"/>
  <c r="K39" i="17"/>
  <c r="K30" i="17"/>
  <c r="J40" i="17"/>
  <c r="J31" i="17"/>
  <c r="I47" i="17"/>
  <c r="K42" i="17"/>
  <c r="K33" i="17"/>
  <c r="K69" i="17" s="1"/>
  <c r="I69" i="17"/>
  <c r="H42" i="17"/>
  <c r="H33" i="17"/>
  <c r="H40" i="17"/>
  <c r="H31" i="17"/>
  <c r="J66" i="17"/>
  <c r="I46" i="17" l="1"/>
  <c r="I48" i="17" s="1"/>
  <c r="H47" i="17"/>
  <c r="H69" i="17"/>
  <c r="K66" i="17"/>
  <c r="H44" i="17"/>
  <c r="K44" i="17"/>
  <c r="H35" i="17"/>
  <c r="H68" i="17"/>
  <c r="J44" i="17"/>
  <c r="H66" i="17"/>
  <c r="K35" i="17"/>
  <c r="J47" i="17"/>
  <c r="H67" i="17"/>
  <c r="J67" i="17"/>
  <c r="J68" i="17"/>
  <c r="J35" i="17"/>
  <c r="K46" i="17" l="1"/>
  <c r="K48" i="17" s="1"/>
  <c r="J46" i="17"/>
  <c r="J48" i="17" s="1"/>
  <c r="H46" i="17"/>
  <c r="H48" i="17" s="1"/>
  <c r="AG66" i="7" l="1"/>
  <c r="AG63" i="7" s="1"/>
  <c r="AJ66" i="7"/>
  <c r="AJ63" i="7" s="1"/>
  <c r="AK66" i="7"/>
  <c r="AK63" i="7" s="1"/>
  <c r="AH66" i="7"/>
  <c r="AH63" i="7" s="1"/>
  <c r="AE66" i="7"/>
  <c r="AE63" i="7" s="1"/>
  <c r="AI66" i="7"/>
  <c r="AJ111" i="17"/>
  <c r="AJ117" i="17" s="1"/>
  <c r="AL66" i="7"/>
  <c r="AL63" i="7" s="1"/>
  <c r="AF66" i="7"/>
  <c r="AF63" i="7" s="1"/>
  <c r="AI90" i="17"/>
  <c r="AJ90" i="17"/>
  <c r="AJ96" i="17"/>
  <c r="AJ103" i="17" s="1"/>
  <c r="AJ41" i="17" s="1"/>
  <c r="AJ104" i="17"/>
  <c r="AH111" i="17"/>
  <c r="AH117" i="17"/>
  <c r="AE90" i="17"/>
  <c r="AE111" i="17" s="1"/>
  <c r="AE117" i="17" s="1"/>
  <c r="AF90" i="17"/>
  <c r="AG90" i="17"/>
  <c r="AL90" i="17"/>
  <c r="AL96" i="17" s="1"/>
  <c r="AL104" i="17" s="1"/>
  <c r="AL42" i="17" s="1"/>
  <c r="AK90" i="17"/>
  <c r="AK96" i="17" s="1"/>
  <c r="AH90" i="17"/>
  <c r="AH96" i="17" s="1"/>
  <c r="AK103" i="17" l="1"/>
  <c r="AK101" i="17"/>
  <c r="AK105" i="17"/>
  <c r="AK102" i="17"/>
  <c r="AK104" i="17"/>
  <c r="AF111" i="17"/>
  <c r="AF117" i="17" s="1"/>
  <c r="AF96" i="17"/>
  <c r="AJ33" i="17"/>
  <c r="AK111" i="17"/>
  <c r="AK117" i="17" s="1"/>
  <c r="AJ101" i="17"/>
  <c r="AJ102" i="17"/>
  <c r="AJ105" i="17"/>
  <c r="AI111" i="17"/>
  <c r="AI117" i="17" s="1"/>
  <c r="AI96" i="17"/>
  <c r="AH100" i="17"/>
  <c r="AL100" i="17"/>
  <c r="AE96" i="17"/>
  <c r="AK100" i="17"/>
  <c r="AL111" i="17"/>
  <c r="AL117" i="17" s="1"/>
  <c r="AH101" i="17"/>
  <c r="AH103" i="17"/>
  <c r="AH105" i="17"/>
  <c r="AH104" i="17"/>
  <c r="AL102" i="17"/>
  <c r="AL103" i="17"/>
  <c r="AL101" i="17"/>
  <c r="AL105" i="17"/>
  <c r="AG96" i="17"/>
  <c r="AG100" i="17" s="1"/>
  <c r="AG111" i="17"/>
  <c r="AG117" i="17" s="1"/>
  <c r="AL33" i="17"/>
  <c r="AL69" i="17" s="1"/>
  <c r="AJ32" i="17"/>
  <c r="AJ68" i="17" s="1"/>
  <c r="AH102" i="17"/>
  <c r="AJ100" i="17"/>
  <c r="AI63" i="7"/>
  <c r="AH31" i="17" l="1"/>
  <c r="AH40" i="17"/>
  <c r="AL31" i="17"/>
  <c r="AL40" i="17"/>
  <c r="AH39" i="17"/>
  <c r="AH30" i="17"/>
  <c r="AH106" i="17"/>
  <c r="AJ40" i="17"/>
  <c r="AJ31" i="17"/>
  <c r="AK42" i="17"/>
  <c r="AK33" i="17"/>
  <c r="AK41" i="17"/>
  <c r="AK32" i="17"/>
  <c r="AL43" i="17"/>
  <c r="AL34" i="17"/>
  <c r="AI102" i="17"/>
  <c r="AI101" i="17"/>
  <c r="AI105" i="17"/>
  <c r="AI104" i="17"/>
  <c r="AI103" i="17"/>
  <c r="AF102" i="17"/>
  <c r="AF104" i="17"/>
  <c r="AF105" i="17"/>
  <c r="AF101" i="17"/>
  <c r="AF103" i="17"/>
  <c r="AH43" i="17"/>
  <c r="AH34" i="17"/>
  <c r="AE101" i="17"/>
  <c r="AE104" i="17"/>
  <c r="AE102" i="17"/>
  <c r="AE105" i="17"/>
  <c r="AE103" i="17"/>
  <c r="AE100" i="17"/>
  <c r="AK43" i="17"/>
  <c r="AK34" i="17"/>
  <c r="AG103" i="17"/>
  <c r="AG105" i="17"/>
  <c r="AG101" i="17"/>
  <c r="AG104" i="17"/>
  <c r="AG102" i="17"/>
  <c r="AH42" i="17"/>
  <c r="AH33" i="17"/>
  <c r="AH69" i="17" s="1"/>
  <c r="AK106" i="17"/>
  <c r="AJ30" i="17"/>
  <c r="AJ39" i="17"/>
  <c r="AK40" i="17"/>
  <c r="AK31" i="17"/>
  <c r="AJ106" i="17"/>
  <c r="AL39" i="17"/>
  <c r="AL30" i="17"/>
  <c r="AL66" i="17" s="1"/>
  <c r="AL32" i="17"/>
  <c r="AL41" i="17"/>
  <c r="AH41" i="17"/>
  <c r="AH32" i="17"/>
  <c r="AH68" i="17" s="1"/>
  <c r="AI100" i="17"/>
  <c r="AL106" i="17"/>
  <c r="AJ43" i="17"/>
  <c r="AJ34" i="17"/>
  <c r="AJ47" i="17" s="1"/>
  <c r="AJ69" i="17"/>
  <c r="AF100" i="17"/>
  <c r="AK39" i="17"/>
  <c r="AK30" i="17"/>
  <c r="AK66" i="17" s="1"/>
  <c r="AJ66" i="17" l="1"/>
  <c r="AH66" i="17"/>
  <c r="AI106" i="17"/>
  <c r="AL68" i="17"/>
  <c r="AK67" i="17"/>
  <c r="AK47" i="17"/>
  <c r="AH47" i="17"/>
  <c r="AL47" i="17"/>
  <c r="AK69" i="17"/>
  <c r="AL67" i="17"/>
  <c r="AK68" i="17"/>
  <c r="AJ67" i="17"/>
  <c r="AE34" i="17"/>
  <c r="AE43" i="17"/>
  <c r="AF43" i="17"/>
  <c r="AF34" i="17"/>
  <c r="AF47" i="17" s="1"/>
  <c r="AG30" i="17"/>
  <c r="AG39" i="17"/>
  <c r="AE31" i="17"/>
  <c r="AE40" i="17"/>
  <c r="AI43" i="17"/>
  <c r="AI34" i="17"/>
  <c r="AG43" i="17"/>
  <c r="AG34" i="17"/>
  <c r="AG47" i="17" s="1"/>
  <c r="AE106" i="17"/>
  <c r="AE42" i="17"/>
  <c r="AE33" i="17"/>
  <c r="AF32" i="17"/>
  <c r="AF41" i="17"/>
  <c r="AF31" i="17"/>
  <c r="AF40" i="17"/>
  <c r="AI30" i="17"/>
  <c r="AI39" i="17"/>
  <c r="AH67" i="17"/>
  <c r="AG42" i="17"/>
  <c r="AG33" i="17"/>
  <c r="AG69" i="17" s="1"/>
  <c r="AI33" i="17"/>
  <c r="AF42" i="17"/>
  <c r="AF33" i="17"/>
  <c r="AF69" i="17" s="1"/>
  <c r="AF106" i="17"/>
  <c r="AG40" i="17"/>
  <c r="AG31" i="17"/>
  <c r="AG41" i="17"/>
  <c r="AG32" i="17"/>
  <c r="AE41" i="17"/>
  <c r="AE32" i="17"/>
  <c r="AE39" i="17"/>
  <c r="AE30" i="17"/>
  <c r="AF30" i="17"/>
  <c r="AF39" i="17"/>
  <c r="AI41" i="17"/>
  <c r="AI32" i="17"/>
  <c r="AI31" i="17"/>
  <c r="AI40" i="17"/>
  <c r="AG106" i="17"/>
  <c r="AI68" i="17" l="1"/>
  <c r="AE66" i="17"/>
  <c r="AG68" i="17"/>
  <c r="AG66" i="17"/>
  <c r="AE47" i="17"/>
  <c r="AE68" i="17"/>
  <c r="AG67" i="17"/>
  <c r="AE69" i="17"/>
  <c r="AI66" i="17"/>
  <c r="AF68" i="17"/>
  <c r="AE67" i="17"/>
  <c r="AI67" i="17"/>
  <c r="AF66" i="17"/>
  <c r="AF67" i="17"/>
  <c r="AI47" i="17"/>
  <c r="AE59" i="7"/>
  <c r="AI90" i="7" s="1"/>
  <c r="AJ59" i="7"/>
  <c r="AM95" i="7" s="1"/>
  <c r="AF59" i="7"/>
  <c r="AL91" i="7" s="1"/>
  <c r="AG59" i="7"/>
  <c r="AG92" i="7" s="1"/>
  <c r="AH59" i="7"/>
  <c r="AL93" i="7" s="1"/>
  <c r="AL59" i="7"/>
  <c r="AM97" i="7" s="1"/>
  <c r="AM59" i="7"/>
  <c r="AM98" i="7" s="1"/>
  <c r="AK59" i="7"/>
  <c r="AL96" i="7" s="1"/>
  <c r="AI59" i="7"/>
  <c r="AL94" i="7" s="1"/>
  <c r="AM96" i="7" l="1"/>
  <c r="AK95" i="7"/>
  <c r="AM94" i="7"/>
  <c r="AK93" i="7"/>
  <c r="AI93" i="7"/>
  <c r="AJ92" i="7"/>
  <c r="AL92" i="7"/>
  <c r="AG91" i="7"/>
  <c r="AM91" i="7"/>
  <c r="AG90" i="7"/>
  <c r="AL90" i="7"/>
  <c r="AL97" i="7"/>
  <c r="AJ95" i="7"/>
  <c r="AI94" i="7"/>
  <c r="AH93" i="7"/>
  <c r="AJ93" i="7"/>
  <c r="AM92" i="7"/>
  <c r="AK91" i="7"/>
  <c r="AJ91" i="7"/>
  <c r="AJ90" i="7"/>
  <c r="AE90" i="7"/>
  <c r="AK90" i="7"/>
  <c r="AK96" i="7"/>
  <c r="AL95" i="7"/>
  <c r="AK94" i="7"/>
  <c r="AM93" i="7"/>
  <c r="AK92" i="7"/>
  <c r="AI92" i="7"/>
  <c r="AH91" i="7"/>
  <c r="AF91" i="7"/>
  <c r="AH90" i="7"/>
  <c r="AM90" i="7"/>
  <c r="AJ94" i="7"/>
  <c r="AH92" i="7"/>
  <c r="AI91" i="7"/>
  <c r="AF90" i="7"/>
  <c r="AG35" i="7"/>
  <c r="AJ35" i="7"/>
  <c r="AL35" i="7"/>
  <c r="AK35" i="7"/>
  <c r="AJ36" i="7"/>
  <c r="AM36" i="7"/>
  <c r="AK37" i="7"/>
  <c r="AJ37" i="7"/>
  <c r="AI37" i="7"/>
  <c r="AL37" i="7"/>
  <c r="AH37" i="7"/>
  <c r="AL39" i="7"/>
  <c r="AK39" i="7"/>
  <c r="AL24" i="7"/>
  <c r="AM38" i="7"/>
  <c r="AL38" i="7"/>
  <c r="AK38" i="7"/>
  <c r="AJ38" i="7"/>
  <c r="AL40" i="7"/>
  <c r="AM40" i="7"/>
  <c r="AI24" i="7"/>
  <c r="AI38" i="7" s="1"/>
  <c r="AG24" i="7"/>
  <c r="AK24" i="7"/>
  <c r="AK40" i="7" s="1"/>
  <c r="AF24" i="7"/>
  <c r="AI35" i="7" s="1"/>
  <c r="AM24" i="7"/>
  <c r="AM42" i="7" s="1"/>
  <c r="AH24" i="7"/>
  <c r="AM37" i="7" s="1"/>
  <c r="AJ24" i="7"/>
  <c r="AF34" i="7"/>
  <c r="AI34" i="7"/>
  <c r="AL34" i="7"/>
  <c r="AE30" i="7"/>
  <c r="AL30" i="7"/>
  <c r="AI30" i="7"/>
  <c r="AG30" i="7"/>
  <c r="AJ30" i="7"/>
  <c r="AM34" i="7"/>
  <c r="AF30" i="7"/>
  <c r="AH30" i="7"/>
  <c r="AG34" i="7"/>
  <c r="AH34" i="7"/>
  <c r="AK30" i="7"/>
  <c r="AE24" i="7"/>
  <c r="AE34" i="7" s="1"/>
  <c r="AE29" i="7" s="1"/>
  <c r="AK34" i="7"/>
  <c r="AH36" i="1" l="1"/>
  <c r="AM29" i="7"/>
  <c r="AE31" i="7"/>
  <c r="AE64" i="7" s="1"/>
  <c r="AE65" i="7" s="1"/>
  <c r="AI31" i="7"/>
  <c r="AI64" i="7" s="1"/>
  <c r="AM39" i="7"/>
  <c r="AJ39" i="7"/>
  <c r="AK36" i="7"/>
  <c r="AK29" i="7" s="1"/>
  <c r="AH36" i="7"/>
  <c r="AH29" i="7" s="1"/>
  <c r="AI36" i="7"/>
  <c r="AI29" i="7" s="1"/>
  <c r="AG36" i="7"/>
  <c r="AG29" i="7" s="1"/>
  <c r="AM41" i="7"/>
  <c r="AL41" i="7"/>
  <c r="AL36" i="7"/>
  <c r="AL29" i="7" s="1"/>
  <c r="AH37" i="1"/>
  <c r="AE13" i="17" s="1"/>
  <c r="AH35" i="7"/>
  <c r="AF35" i="7"/>
  <c r="AF29" i="7" s="1"/>
  <c r="AJ34" i="7"/>
  <c r="AJ29" i="7" s="1"/>
  <c r="AM35" i="7"/>
  <c r="AG31" i="7" l="1"/>
  <c r="AG64" i="7" s="1"/>
  <c r="AL31" i="7"/>
  <c r="AL64" i="7" s="1"/>
  <c r="AF31" i="7"/>
  <c r="AF64" i="7" s="1"/>
  <c r="AH31" i="7"/>
  <c r="AH64" i="7" s="1"/>
  <c r="AK31" i="7"/>
  <c r="AK64" i="7" s="1"/>
  <c r="AI65" i="7"/>
  <c r="AL37" i="1"/>
  <c r="AI13" i="17" s="1"/>
  <c r="AM31" i="7"/>
  <c r="AM64" i="7" s="1"/>
  <c r="AE5" i="17"/>
  <c r="AH35" i="1"/>
  <c r="AH30" i="1" s="1"/>
  <c r="AH6" i="1" s="1"/>
  <c r="AE38" i="17"/>
  <c r="AE44" i="17" s="1"/>
  <c r="AE18" i="17"/>
  <c r="AL36" i="1"/>
  <c r="AJ31" i="7"/>
  <c r="AJ64" i="7" s="1"/>
  <c r="AF65" i="7" l="1"/>
  <c r="AI36" i="1" s="1"/>
  <c r="AI37" i="1"/>
  <c r="AF13" i="17" s="1"/>
  <c r="AG65" i="7"/>
  <c r="AJ36" i="1" s="1"/>
  <c r="AJ37" i="1"/>
  <c r="AG13" i="17" s="1"/>
  <c r="AJ65" i="7"/>
  <c r="AM36" i="1" s="1"/>
  <c r="AM37" i="1"/>
  <c r="AJ13" i="17" s="1"/>
  <c r="AM65" i="7"/>
  <c r="AP36" i="1" s="1"/>
  <c r="AP37" i="1"/>
  <c r="AM13" i="17" s="1"/>
  <c r="AK65" i="7"/>
  <c r="AN36" i="1" s="1"/>
  <c r="AN37" i="1"/>
  <c r="AK13" i="17" s="1"/>
  <c r="AL35" i="1"/>
  <c r="AL30" i="1" s="1"/>
  <c r="AL6" i="1" s="1"/>
  <c r="AI5" i="17"/>
  <c r="AI18" i="17"/>
  <c r="AI38" i="17"/>
  <c r="AI44" i="17" s="1"/>
  <c r="AH65" i="7"/>
  <c r="AK36" i="1" s="1"/>
  <c r="AK37" i="1"/>
  <c r="AH13" i="17" s="1"/>
  <c r="AL65" i="7"/>
  <c r="AO36" i="1" s="1"/>
  <c r="AO37" i="1"/>
  <c r="AL13" i="17" s="1"/>
  <c r="AE10" i="17"/>
  <c r="AE20" i="17" s="1"/>
  <c r="AE21" i="17" s="1"/>
  <c r="AE29" i="17"/>
  <c r="AH38" i="17" l="1"/>
  <c r="AH44" i="17" s="1"/>
  <c r="AH18" i="17"/>
  <c r="AM38" i="17"/>
  <c r="AM44" i="17" s="1"/>
  <c r="AM18" i="17"/>
  <c r="AM35" i="1"/>
  <c r="AM30" i="1" s="1"/>
  <c r="AM6" i="1" s="1"/>
  <c r="AJ5" i="17"/>
  <c r="AH5" i="17"/>
  <c r="AK35" i="1"/>
  <c r="AK30" i="1" s="1"/>
  <c r="AK6" i="1" s="1"/>
  <c r="AM5" i="17"/>
  <c r="AP35" i="1"/>
  <c r="AP30" i="1" s="1"/>
  <c r="AP6" i="1" s="1"/>
  <c r="AG38" i="17"/>
  <c r="AG44" i="17" s="1"/>
  <c r="AG18" i="17"/>
  <c r="AL18" i="17"/>
  <c r="AL38" i="17"/>
  <c r="AL44" i="17" s="1"/>
  <c r="AK38" i="17"/>
  <c r="AK44" i="17" s="1"/>
  <c r="AK18" i="17"/>
  <c r="AG5" i="17"/>
  <c r="AJ35" i="1"/>
  <c r="AJ30" i="1" s="1"/>
  <c r="AJ6" i="1" s="1"/>
  <c r="AL5" i="17"/>
  <c r="AO35" i="1"/>
  <c r="AO30" i="1" s="1"/>
  <c r="AO6" i="1" s="1"/>
  <c r="AK5" i="17"/>
  <c r="AN35" i="1"/>
  <c r="AN30" i="1" s="1"/>
  <c r="AN6" i="1" s="1"/>
  <c r="AJ18" i="17"/>
  <c r="AJ38" i="17"/>
  <c r="AJ44" i="17" s="1"/>
  <c r="AF18" i="17"/>
  <c r="AF38" i="17"/>
  <c r="AF44" i="17" s="1"/>
  <c r="AE65" i="17"/>
  <c r="AE35" i="17"/>
  <c r="AE46" i="17" s="1"/>
  <c r="AE48" i="17" s="1"/>
  <c r="AI29" i="17"/>
  <c r="AI10" i="17"/>
  <c r="AI20" i="17" s="1"/>
  <c r="AI21" i="17" s="1"/>
  <c r="AI35" i="1"/>
  <c r="AI30" i="1" s="1"/>
  <c r="AI6" i="1" s="1"/>
  <c r="AF5" i="17"/>
  <c r="AM29" i="17" l="1"/>
  <c r="AM10" i="17"/>
  <c r="AM20" i="17" s="1"/>
  <c r="AM21" i="17" s="1"/>
  <c r="AL29" i="17"/>
  <c r="AL10" i="17"/>
  <c r="AL20" i="17" s="1"/>
  <c r="AL21" i="17" s="1"/>
  <c r="AI65" i="17"/>
  <c r="AI35" i="17"/>
  <c r="AI46" i="17" s="1"/>
  <c r="AI48" i="17" s="1"/>
  <c r="AK10" i="17"/>
  <c r="AK20" i="17" s="1"/>
  <c r="AK21" i="17" s="1"/>
  <c r="AK29" i="17"/>
  <c r="AH10" i="17"/>
  <c r="AH20" i="17" s="1"/>
  <c r="AH21" i="17" s="1"/>
  <c r="AH29" i="17"/>
  <c r="AF10" i="17"/>
  <c r="AF20" i="17" s="1"/>
  <c r="AF21" i="17" s="1"/>
  <c r="AF29" i="17"/>
  <c r="AG29" i="17"/>
  <c r="AG10" i="17"/>
  <c r="AG20" i="17" s="1"/>
  <c r="AG21" i="17" s="1"/>
  <c r="AJ29" i="17"/>
  <c r="AJ10" i="17"/>
  <c r="AJ20" i="17" s="1"/>
  <c r="AJ21" i="17" s="1"/>
  <c r="AM35" i="17" l="1"/>
  <c r="AM46" i="17" s="1"/>
  <c r="AM48" i="17" s="1"/>
  <c r="AM65" i="17"/>
  <c r="AF65" i="17"/>
  <c r="AF35" i="17"/>
  <c r="AF46" i="17" s="1"/>
  <c r="AF48" i="17" s="1"/>
  <c r="AJ65" i="17"/>
  <c r="AJ35" i="17"/>
  <c r="AJ46" i="17" s="1"/>
  <c r="AJ48" i="17" s="1"/>
  <c r="AH65" i="17"/>
  <c r="AH35" i="17"/>
  <c r="AH46" i="17" s="1"/>
  <c r="AH48" i="17" s="1"/>
  <c r="AL35" i="17"/>
  <c r="AL46" i="17" s="1"/>
  <c r="AL48" i="17" s="1"/>
  <c r="AL65" i="17"/>
  <c r="AG65" i="17"/>
  <c r="AG35" i="17"/>
  <c r="AG46" i="17" s="1"/>
  <c r="AG48" i="17" s="1"/>
  <c r="AK65" i="17"/>
  <c r="AK35" i="17"/>
  <c r="AK46" i="17" s="1"/>
  <c r="AK48" i="17" s="1"/>
</calcChain>
</file>

<file path=xl/comments1.xml><?xml version="1.0" encoding="utf-8"?>
<comments xmlns="http://schemas.openxmlformats.org/spreadsheetml/2006/main">
  <authors>
    <author>Auteur</author>
  </authors>
  <commentList>
    <comment ref="A25" authorId="0">
      <text>
        <r>
          <rPr>
            <b/>
            <sz val="9"/>
            <color indexed="81"/>
            <rFont val="Tahoma"/>
            <charset val="1"/>
          </rPr>
          <t>Auteur:</t>
        </r>
        <r>
          <rPr>
            <sz val="9"/>
            <color indexed="81"/>
            <rFont val="Tahoma"/>
            <charset val="1"/>
          </rPr>
          <t xml:space="preserve">
Hors coûts de la méthanation
</t>
        </r>
      </text>
    </comment>
    <comment ref="A28" authorId="0">
      <text>
        <r>
          <rPr>
            <b/>
            <sz val="9"/>
            <color indexed="81"/>
            <rFont val="Tahoma"/>
            <charset val="1"/>
          </rPr>
          <t>Auteur:</t>
        </r>
        <r>
          <rPr>
            <sz val="9"/>
            <color indexed="81"/>
            <rFont val="Tahoma"/>
            <charset val="1"/>
          </rPr>
          <t xml:space="preserve">
Part CAPEX des coûts systèmes (réseaux, stockage, flex demande - hors méthanation) sont attribués aux différentes filières EnR de production, en fonction de leur poids dans la production nette totale</t>
        </r>
      </text>
    </comment>
    <comment ref="A37" authorId="0">
      <text>
        <r>
          <rPr>
            <b/>
            <sz val="9"/>
            <color indexed="81"/>
            <rFont val="Tahoma"/>
            <charset val="1"/>
          </rPr>
          <t>Auteur:</t>
        </r>
        <r>
          <rPr>
            <sz val="9"/>
            <color indexed="81"/>
            <rFont val="Tahoma"/>
            <charset val="1"/>
          </rPr>
          <t xml:space="preserve">
Part OPEX des coûts systèmes (réseaux, stockage, flex demande - hors méthanation) sont attribués aux différentes filières EnR de production, en fonction de leur poids dans la production nette totale</t>
        </r>
      </text>
    </comment>
    <comment ref="A47" authorId="0">
      <text>
        <r>
          <rPr>
            <b/>
            <sz val="9"/>
            <color indexed="81"/>
            <rFont val="Tahoma"/>
            <charset val="1"/>
          </rPr>
          <t>Auteur:</t>
        </r>
        <r>
          <rPr>
            <sz val="9"/>
            <color indexed="81"/>
            <rFont val="Tahoma"/>
            <charset val="1"/>
          </rPr>
          <t xml:space="preserve">
Part des coûts du système (réseaux, stockage infra jour, STEP, flex Demande) attribuables aux sources non-EnR. Cela n'inclut pas les coûts de production de l'énergie</t>
        </r>
      </text>
    </comment>
  </commentList>
</comments>
</file>

<file path=xl/comments2.xml><?xml version="1.0" encoding="utf-8"?>
<comments xmlns="http://schemas.openxmlformats.org/spreadsheetml/2006/main">
  <authors>
    <author>Auteur</author>
  </authors>
  <commentList>
    <comment ref="A9" authorId="0">
      <text>
        <r>
          <rPr>
            <b/>
            <sz val="9"/>
            <color indexed="81"/>
            <rFont val="Tahoma"/>
            <charset val="1"/>
          </rPr>
          <t>Auteur:</t>
        </r>
        <r>
          <rPr>
            <sz val="9"/>
            <color indexed="81"/>
            <rFont val="Tahoma"/>
            <charset val="1"/>
          </rPr>
          <t xml:space="preserve">
Coûts gardés constants en ligne avec hypothèses de l'étude 100% EnR</t>
        </r>
      </text>
    </comment>
    <comment ref="AP9" authorId="0">
      <text>
        <r>
          <rPr>
            <b/>
            <sz val="9"/>
            <color indexed="81"/>
            <rFont val="Tahoma"/>
            <family val="2"/>
          </rPr>
          <t>Auteur:</t>
        </r>
        <r>
          <rPr>
            <sz val="9"/>
            <color indexed="81"/>
            <rFont val="Tahoma"/>
            <family val="2"/>
          </rPr>
          <t xml:space="preserve">
Coûts totaux du réseau distribution et transport?</t>
        </r>
      </text>
    </comment>
    <comment ref="A22" authorId="0">
      <text>
        <r>
          <rPr>
            <b/>
            <sz val="9"/>
            <color indexed="81"/>
            <rFont val="Tahoma"/>
            <family val="2"/>
          </rPr>
          <t>Auteur:</t>
        </r>
        <r>
          <rPr>
            <sz val="9"/>
            <color indexed="81"/>
            <rFont val="Tahoma"/>
            <family val="2"/>
          </rPr>
          <t xml:space="preserve">
2014 à 2019: montants prévisionnels qui seront imputés au compte régulé de lissage au titre du déploiement des compteurs linky par ErDF (délibaération CRE du 2 juil 2014. P.14.)</t>
        </r>
      </text>
    </comment>
    <comment ref="A26" authorId="0">
      <text>
        <r>
          <rPr>
            <b/>
            <sz val="9"/>
            <color indexed="81"/>
            <rFont val="Tahoma"/>
            <charset val="1"/>
          </rPr>
          <t>Auteur:</t>
        </r>
        <r>
          <rPr>
            <sz val="9"/>
            <color indexed="81"/>
            <rFont val="Tahoma"/>
            <charset val="1"/>
          </rPr>
          <t xml:space="preserve">
• 33,5 M€/an pour les recharges optimisées de véhicules. La trajectoire de pénétration des véhicules électrique est linéaire entre les points de passages suivants (tirés des Visions) : 2010=0% ; 2030=11% soit 3.7M pour un part total de 35M ; 2050=65% soit 14,3 pour parc total de 22 M.</t>
        </r>
      </text>
    </comment>
  </commentList>
</comments>
</file>

<file path=xl/comments3.xml><?xml version="1.0" encoding="utf-8"?>
<comments xmlns="http://schemas.openxmlformats.org/spreadsheetml/2006/main">
  <authors>
    <author>Auteur</author>
  </authors>
  <commentList>
    <comment ref="B13" authorId="0">
      <text>
        <r>
          <rPr>
            <b/>
            <sz val="9"/>
            <color indexed="81"/>
            <rFont val="Tahoma"/>
            <charset val="1"/>
          </rPr>
          <t>Auteur:</t>
        </r>
        <r>
          <rPr>
            <sz val="9"/>
            <color indexed="81"/>
            <rFont val="Tahoma"/>
            <charset val="1"/>
          </rPr>
          <t xml:space="preserve">
Quelle capex en €/MW/an</t>
        </r>
      </text>
    </comment>
    <comment ref="A23" authorId="0">
      <text>
        <r>
          <rPr>
            <b/>
            <sz val="9"/>
            <color indexed="81"/>
            <rFont val="Tahoma"/>
            <family val="2"/>
          </rPr>
          <t>Auteur:</t>
        </r>
        <r>
          <rPr>
            <sz val="9"/>
            <color indexed="81"/>
            <rFont val="Tahoma"/>
            <family val="2"/>
          </rPr>
          <t xml:space="preserve">
A quelle année installer les premier MW de capacité de conversion PtG</t>
        </r>
      </text>
    </comment>
    <comment ref="B25" authorId="0">
      <text>
        <r>
          <rPr>
            <b/>
            <sz val="9"/>
            <color indexed="81"/>
            <rFont val="Tahoma"/>
            <charset val="1"/>
          </rPr>
          <t>Auteur:</t>
        </r>
        <r>
          <rPr>
            <sz val="9"/>
            <color indexed="81"/>
            <rFont val="Tahoma"/>
            <charset val="1"/>
          </rPr>
          <t xml:space="preserve">
Quelle capex en €/MW/an</t>
        </r>
      </text>
    </comment>
    <comment ref="A47" authorId="0">
      <text>
        <r>
          <rPr>
            <b/>
            <sz val="9"/>
            <color indexed="81"/>
            <rFont val="Tahoma"/>
            <family val="2"/>
          </rPr>
          <t>Auteur:</t>
        </r>
        <r>
          <rPr>
            <sz val="9"/>
            <color indexed="81"/>
            <rFont val="Tahoma"/>
            <family val="2"/>
          </rPr>
          <t xml:space="preserve">
A quelle année installer les premier MW de capacité de conversion PtG</t>
        </r>
      </text>
    </comment>
    <comment ref="A58" authorId="0">
      <text>
        <r>
          <rPr>
            <b/>
            <sz val="9"/>
            <color indexed="81"/>
            <rFont val="Tahoma"/>
            <family val="2"/>
          </rPr>
          <t>Auteur:</t>
        </r>
        <r>
          <rPr>
            <sz val="9"/>
            <color indexed="81"/>
            <rFont val="Tahoma"/>
            <family val="2"/>
          </rPr>
          <t xml:space="preserve">
A quelle année installer les premier MW de capacité de conversion PtG</t>
        </r>
      </text>
    </comment>
    <comment ref="J58" authorId="0">
      <text>
        <r>
          <rPr>
            <b/>
            <sz val="9"/>
            <color indexed="81"/>
            <rFont val="Tahoma"/>
            <family val="2"/>
          </rPr>
          <t>Auteur:</t>
        </r>
        <r>
          <rPr>
            <sz val="9"/>
            <color indexed="81"/>
            <rFont val="Tahoma"/>
            <family val="2"/>
          </rPr>
          <t xml:space="preserve">
Démarrer les installations en 2021 pour être à un rythme d'à peu près 500 MW par an</t>
        </r>
      </text>
    </comment>
    <comment ref="K58" authorId="0">
      <text>
        <r>
          <rPr>
            <b/>
            <sz val="9"/>
            <color indexed="81"/>
            <rFont val="Tahoma"/>
            <family val="2"/>
          </rPr>
          <t>Auteur:</t>
        </r>
        <r>
          <rPr>
            <sz val="9"/>
            <color indexed="81"/>
            <rFont val="Tahoma"/>
            <family val="2"/>
          </rPr>
          <t xml:space="preserve">
Démarrer les installations en 2021 pour être à un rythme d'à peu près 500 MW par an</t>
        </r>
      </text>
    </comment>
    <comment ref="L58" authorId="0">
      <text>
        <r>
          <rPr>
            <b/>
            <sz val="9"/>
            <color indexed="81"/>
            <rFont val="Tahoma"/>
            <family val="2"/>
          </rPr>
          <t>Auteur:</t>
        </r>
        <r>
          <rPr>
            <sz val="9"/>
            <color indexed="81"/>
            <rFont val="Tahoma"/>
            <family val="2"/>
          </rPr>
          <t xml:space="preserve">
Démarrer les installations en 2021 pour être à un rythme d'à peu près 500 MW par an</t>
        </r>
      </text>
    </comment>
    <comment ref="M58" authorId="0">
      <text>
        <r>
          <rPr>
            <b/>
            <sz val="9"/>
            <color indexed="81"/>
            <rFont val="Tahoma"/>
            <family val="2"/>
          </rPr>
          <t>Auteur:</t>
        </r>
        <r>
          <rPr>
            <sz val="9"/>
            <color indexed="81"/>
            <rFont val="Tahoma"/>
            <family val="2"/>
          </rPr>
          <t xml:space="preserve">
Les TACs d'équilibrage (pas encore au gaz de synthèse)</t>
        </r>
      </text>
    </comment>
    <comment ref="N58" authorId="0">
      <text>
        <r>
          <rPr>
            <b/>
            <sz val="9"/>
            <color indexed="81"/>
            <rFont val="Tahoma"/>
            <family val="2"/>
          </rPr>
          <t>Auteur:</t>
        </r>
        <r>
          <rPr>
            <sz val="9"/>
            <color indexed="81"/>
            <rFont val="Tahoma"/>
            <family val="2"/>
          </rPr>
          <t xml:space="preserve">
Démarrer les installations en 2021 pour être à un rythme d'à peu près 500 MW par an</t>
        </r>
      </text>
    </comment>
    <comment ref="AM58" authorId="0">
      <text>
        <r>
          <rPr>
            <b/>
            <sz val="9"/>
            <color indexed="81"/>
            <rFont val="Tahoma"/>
            <family val="2"/>
          </rPr>
          <t>Auteur:</t>
        </r>
        <r>
          <rPr>
            <sz val="9"/>
            <color indexed="81"/>
            <rFont val="Tahoma"/>
            <family val="2"/>
          </rPr>
          <t xml:space="preserve">
TACs 100% gaz de synthèse</t>
        </r>
      </text>
    </comment>
    <comment ref="B61" authorId="0">
      <text>
        <r>
          <rPr>
            <b/>
            <sz val="9"/>
            <color indexed="81"/>
            <rFont val="Tahoma"/>
            <family val="2"/>
          </rPr>
          <t>Auteur:</t>
        </r>
        <r>
          <rPr>
            <sz val="9"/>
            <color indexed="81"/>
            <rFont val="Tahoma"/>
            <family val="2"/>
          </rPr>
          <t xml:space="preserve">
Sur la base d'une progression linéaire entre les coûts 2010 et 2015 tels que localisés sur la courbe d'Artélys (livrable [coût])   </t>
        </r>
      </text>
    </comment>
    <comment ref="D61" authorId="0">
      <text>
        <r>
          <rPr>
            <b/>
            <sz val="9"/>
            <color indexed="81"/>
            <rFont val="Tahoma"/>
            <family val="2"/>
          </rPr>
          <t>Auteur:</t>
        </r>
        <r>
          <rPr>
            <sz val="9"/>
            <color indexed="81"/>
            <rFont val="Tahoma"/>
            <family val="2"/>
          </rPr>
          <t xml:space="preserve">
la courbe d'Artélys (livrable [coût])   </t>
        </r>
      </text>
    </comment>
    <comment ref="N61" authorId="0">
      <text>
        <r>
          <rPr>
            <b/>
            <sz val="9"/>
            <color indexed="81"/>
            <rFont val="Tahoma"/>
            <family val="2"/>
          </rPr>
          <t>Auteur:</t>
        </r>
        <r>
          <rPr>
            <sz val="9"/>
            <color indexed="81"/>
            <rFont val="Tahoma"/>
            <family val="2"/>
          </rPr>
          <t xml:space="preserve">
la courbe d'Artélys (livrable [coût])   </t>
        </r>
      </text>
    </comment>
    <comment ref="A64" authorId="0">
      <text>
        <r>
          <rPr>
            <b/>
            <sz val="9"/>
            <color indexed="81"/>
            <rFont val="Tahoma"/>
            <charset val="1"/>
          </rPr>
          <t>Auteur:</t>
        </r>
        <r>
          <rPr>
            <sz val="9"/>
            <color indexed="81"/>
            <rFont val="Tahoma"/>
            <charset val="1"/>
          </rPr>
          <t xml:space="preserve">
Ne comprend pas le coût de revient de la filière méthanation qui est une conso intermédiaire de la filière TAC au gaz de synthèse. En effet, ces coûts sont soustraits des opex var afin d'éviter tout double compte, au moment de la somme des coûts méthanation + TAC au gaz de synthèse pour les coûts du système.</t>
        </r>
      </text>
    </comment>
  </commentList>
</comments>
</file>

<file path=xl/comments4.xml><?xml version="1.0" encoding="utf-8"?>
<comments xmlns="http://schemas.openxmlformats.org/spreadsheetml/2006/main">
  <authors>
    <author>Auteur</author>
  </authors>
  <commentList>
    <comment ref="A3" authorId="0">
      <text>
        <r>
          <rPr>
            <b/>
            <sz val="9"/>
            <color indexed="81"/>
            <rFont val="Tahoma"/>
            <charset val="1"/>
          </rPr>
          <t>Auteur:</t>
        </r>
        <r>
          <rPr>
            <sz val="9"/>
            <color indexed="81"/>
            <rFont val="Tahoma"/>
            <charset val="1"/>
          </rPr>
          <t xml:space="preserve">
Supposés constants</t>
        </r>
      </text>
    </comment>
    <comment ref="A4" authorId="0">
      <text>
        <r>
          <rPr>
            <b/>
            <sz val="9"/>
            <color indexed="81"/>
            <rFont val="Tahoma"/>
            <charset val="1"/>
          </rPr>
          <t>Auteur:</t>
        </r>
        <r>
          <rPr>
            <sz val="9"/>
            <color indexed="81"/>
            <rFont val="Tahoma"/>
            <charset val="1"/>
          </rPr>
          <t xml:space="preserve">
LCOE supposé constant</t>
        </r>
      </text>
    </comment>
    <comment ref="A5" authorId="0">
      <text>
        <r>
          <rPr>
            <b/>
            <sz val="9"/>
            <color indexed="81"/>
            <rFont val="Tahoma"/>
            <charset val="1"/>
          </rPr>
          <t>Auteur:</t>
        </r>
        <r>
          <rPr>
            <sz val="9"/>
            <color indexed="81"/>
            <rFont val="Tahoma"/>
            <charset val="1"/>
          </rPr>
          <t xml:space="preserve">
Points de passage tirés du livrable "Coûts"</t>
        </r>
      </text>
    </comment>
    <comment ref="A6" authorId="0">
      <text>
        <r>
          <rPr>
            <b/>
            <sz val="9"/>
            <color indexed="81"/>
            <rFont val="Tahoma"/>
            <charset val="1"/>
          </rPr>
          <t>Auteur:</t>
        </r>
        <r>
          <rPr>
            <sz val="9"/>
            <color indexed="81"/>
            <rFont val="Tahoma"/>
            <charset val="1"/>
          </rPr>
          <t xml:space="preserve">
Points de passage tirés du livrable "Coûts"</t>
        </r>
      </text>
    </comment>
    <comment ref="AN6" authorId="0">
      <text>
        <r>
          <rPr>
            <b/>
            <sz val="9"/>
            <color indexed="81"/>
            <rFont val="Tahoma"/>
            <family val="2"/>
          </rPr>
          <t>Auteur:</t>
        </r>
        <r>
          <rPr>
            <sz val="9"/>
            <color indexed="81"/>
            <rFont val="Tahoma"/>
            <family val="2"/>
          </rPr>
          <t xml:space="preserve">
Reconstruction du capex en ligne avec évolution du LCOE projeté par Artelys de 8cts/kWh en 2013 à 7cts/kWh en 2030 à 6,5cts/kWh en 2050</t>
        </r>
      </text>
    </comment>
    <comment ref="A7" authorId="0">
      <text>
        <r>
          <rPr>
            <b/>
            <sz val="9"/>
            <color indexed="81"/>
            <rFont val="Tahoma"/>
            <charset val="1"/>
          </rPr>
          <t>Auteur:</t>
        </r>
        <r>
          <rPr>
            <sz val="9"/>
            <color indexed="81"/>
            <rFont val="Tahoma"/>
            <charset val="1"/>
          </rPr>
          <t xml:space="preserve">
Points de passage tirés du livrable "Coûts"</t>
        </r>
      </text>
    </comment>
    <comment ref="AN7" authorId="0">
      <text>
        <r>
          <rPr>
            <b/>
            <sz val="9"/>
            <color indexed="81"/>
            <rFont val="Tahoma"/>
            <family val="2"/>
          </rPr>
          <t>Auteur:</t>
        </r>
        <r>
          <rPr>
            <sz val="9"/>
            <color indexed="81"/>
            <rFont val="Tahoma"/>
            <family val="2"/>
          </rPr>
          <t xml:space="preserve">
Reconstruction du capex en ligne avec évolution du LCOE projeté par Artelys de 8cts/kWh en 2013 à 7cts/kWh en 2030 à 6,5cts/kWh en 2050</t>
        </r>
      </text>
    </comment>
    <comment ref="A9" authorId="0">
      <text>
        <r>
          <rPr>
            <b/>
            <sz val="9"/>
            <color indexed="81"/>
            <rFont val="Tahoma"/>
            <charset val="1"/>
          </rPr>
          <t>Auteur:</t>
        </r>
        <r>
          <rPr>
            <sz val="9"/>
            <color indexed="81"/>
            <rFont val="Tahoma"/>
            <charset val="1"/>
          </rPr>
          <t xml:space="preserve">
Points de passage tirés du livrable "Coûts"</t>
        </r>
      </text>
    </comment>
    <comment ref="AN9" authorId="0">
      <text>
        <r>
          <rPr>
            <b/>
            <sz val="9"/>
            <color indexed="81"/>
            <rFont val="Tahoma"/>
            <family val="2"/>
          </rPr>
          <t>Auteur:</t>
        </r>
        <r>
          <rPr>
            <sz val="9"/>
            <color indexed="81"/>
            <rFont val="Tahoma"/>
            <family val="2"/>
          </rPr>
          <t xml:space="preserve">
Reconstruction du capex en ligne avec évolution du LCOE projeté par Artelys de 15cts/kWh en 2013 à 9,5cts/kWh en 2030 à 8cts/kWh en 2050</t>
        </r>
      </text>
    </comment>
    <comment ref="A10" authorId="0">
      <text>
        <r>
          <rPr>
            <b/>
            <sz val="9"/>
            <color indexed="81"/>
            <rFont val="Tahoma"/>
            <charset val="1"/>
          </rPr>
          <t>Auteur:</t>
        </r>
        <r>
          <rPr>
            <sz val="9"/>
            <color indexed="81"/>
            <rFont val="Tahoma"/>
            <charset val="1"/>
          </rPr>
          <t xml:space="preserve">
Points de passage tirés du livrable "Coûts" sur la base d'une comparaison au posé</t>
        </r>
      </text>
    </comment>
    <comment ref="AN10" authorId="0">
      <text>
        <r>
          <rPr>
            <b/>
            <sz val="9"/>
            <color indexed="81"/>
            <rFont val="Tahoma"/>
            <family val="2"/>
          </rPr>
          <t>Auteur:</t>
        </r>
        <r>
          <rPr>
            <sz val="9"/>
            <color indexed="81"/>
            <rFont val="Tahoma"/>
            <family val="2"/>
          </rPr>
          <t xml:space="preserve">
Reconstruction du capex en ligne avec évolution du LCOE projeté par Artelys d'un prix triple de celui du offshore posé (45cts/kWh) en 2013 à un prix double en 2030 </t>
        </r>
      </text>
    </comment>
    <comment ref="A12" authorId="0">
      <text>
        <r>
          <rPr>
            <b/>
            <sz val="9"/>
            <color indexed="81"/>
            <rFont val="Tahoma"/>
            <charset val="1"/>
          </rPr>
          <t>Auteur:</t>
        </r>
        <r>
          <rPr>
            <sz val="9"/>
            <color indexed="81"/>
            <rFont val="Tahoma"/>
            <charset val="1"/>
          </rPr>
          <t xml:space="preserve">
Points de passage tirés du livrable "Coûts"</t>
        </r>
      </text>
    </comment>
    <comment ref="AN12" authorId="0">
      <text>
        <r>
          <rPr>
            <b/>
            <sz val="9"/>
            <color indexed="81"/>
            <rFont val="Tahoma"/>
            <family val="2"/>
          </rPr>
          <t>Auteur:</t>
        </r>
        <r>
          <rPr>
            <sz val="9"/>
            <color indexed="81"/>
            <rFont val="Tahoma"/>
            <family val="2"/>
          </rPr>
          <t xml:space="preserve">
Sur la base d'un LCOE de 14cts/kwh en 2013 et 10cts/kwh en 2030</t>
        </r>
      </text>
    </comment>
    <comment ref="A13" authorId="0">
      <text>
        <r>
          <rPr>
            <b/>
            <sz val="9"/>
            <color indexed="81"/>
            <rFont val="Tahoma"/>
            <charset val="1"/>
          </rPr>
          <t>Auteur:</t>
        </r>
        <r>
          <rPr>
            <sz val="9"/>
            <color indexed="81"/>
            <rFont val="Tahoma"/>
            <charset val="1"/>
          </rPr>
          <t xml:space="preserve">
Points de passage tirés du livrable "Coûts"</t>
        </r>
      </text>
    </comment>
    <comment ref="AN13" authorId="0">
      <text>
        <r>
          <rPr>
            <b/>
            <sz val="9"/>
            <color indexed="81"/>
            <rFont val="Tahoma"/>
            <family val="2"/>
          </rPr>
          <t>Auteur:</t>
        </r>
        <r>
          <rPr>
            <sz val="9"/>
            <color indexed="81"/>
            <rFont val="Tahoma"/>
            <family val="2"/>
          </rPr>
          <t xml:space="preserve">
18 et 14</t>
        </r>
      </text>
    </comment>
    <comment ref="A14" authorId="0">
      <text>
        <r>
          <rPr>
            <b/>
            <sz val="9"/>
            <color indexed="81"/>
            <rFont val="Tahoma"/>
            <charset val="1"/>
          </rPr>
          <t>Auteur:</t>
        </r>
        <r>
          <rPr>
            <sz val="9"/>
            <color indexed="81"/>
            <rFont val="Tahoma"/>
            <charset val="1"/>
          </rPr>
          <t xml:space="preserve">
Points de passage tirés du livrable "Coûts"</t>
        </r>
      </text>
    </comment>
    <comment ref="AN14" authorId="0">
      <text>
        <r>
          <rPr>
            <b/>
            <sz val="9"/>
            <color indexed="81"/>
            <rFont val="Tahoma"/>
            <family val="2"/>
          </rPr>
          <t>Auteur:</t>
        </r>
        <r>
          <rPr>
            <sz val="9"/>
            <color indexed="81"/>
            <rFont val="Tahoma"/>
            <family val="2"/>
          </rPr>
          <t xml:space="preserve">
Lu à l'œil nu du rapport [Coûts]</t>
        </r>
      </text>
    </comment>
    <comment ref="A16" authorId="0">
      <text>
        <r>
          <rPr>
            <b/>
            <sz val="9"/>
            <color indexed="81"/>
            <rFont val="Tahoma"/>
            <charset val="1"/>
          </rPr>
          <t>Auteur:</t>
        </r>
        <r>
          <rPr>
            <sz val="9"/>
            <color indexed="81"/>
            <rFont val="Tahoma"/>
            <charset val="1"/>
          </rPr>
          <t xml:space="preserve">
Points de passage tirés du livrable "Coûts" sur la base de points de passage capex (en €/kw), supposant évolution du LCOE parallèle à évolution du capex</t>
        </r>
      </text>
    </comment>
    <comment ref="AO16" authorId="0">
      <text>
        <r>
          <rPr>
            <b/>
            <sz val="9"/>
            <color indexed="81"/>
            <rFont val="Tahoma"/>
            <family val="2"/>
          </rPr>
          <t>Auteur:</t>
        </r>
        <r>
          <rPr>
            <sz val="9"/>
            <color indexed="81"/>
            <rFont val="Tahoma"/>
            <family val="2"/>
          </rPr>
          <t xml:space="preserve">
Dont 200€ liés au raccordement</t>
        </r>
      </text>
    </comment>
    <comment ref="A18" authorId="0">
      <text>
        <r>
          <rPr>
            <b/>
            <sz val="9"/>
            <color indexed="81"/>
            <rFont val="Tahoma"/>
            <charset val="1"/>
          </rPr>
          <t>Auteur:</t>
        </r>
        <r>
          <rPr>
            <sz val="9"/>
            <color indexed="81"/>
            <rFont val="Tahoma"/>
            <charset val="1"/>
          </rPr>
          <t xml:space="preserve">
Points de passage tirés du livrable "Coûts"</t>
        </r>
      </text>
    </comment>
    <comment ref="A19" authorId="0">
      <text>
        <r>
          <rPr>
            <b/>
            <sz val="9"/>
            <color indexed="81"/>
            <rFont val="Tahoma"/>
            <charset val="1"/>
          </rPr>
          <t>Auteur:</t>
        </r>
        <r>
          <rPr>
            <sz val="9"/>
            <color indexed="81"/>
            <rFont val="Tahoma"/>
            <charset val="1"/>
          </rPr>
          <t xml:space="preserve">
Point d'arrivée en 2050 déduit du différentiel coût capacitaire EnR total - coûts toutes filières sauf hydro. Puis trajectoire calquée sur la trajectoire d'évolution du capex (€/kw)</t>
        </r>
      </text>
    </comment>
    <comment ref="A22" authorId="0">
      <text>
        <r>
          <rPr>
            <b/>
            <sz val="9"/>
            <color indexed="81"/>
            <rFont val="Tahoma"/>
            <charset val="1"/>
          </rPr>
          <t>Auteur:</t>
        </r>
        <r>
          <rPr>
            <sz val="9"/>
            <color indexed="81"/>
            <rFont val="Tahoma"/>
            <charset val="1"/>
          </rPr>
          <t xml:space="preserve">
Points de passage tirés du livrable "Coûts" sur la base de points de passage capex (en €/kw), supposant évolution du LCOE parallèle à évolution du capex</t>
        </r>
      </text>
    </comment>
    <comment ref="A23" authorId="0">
      <text>
        <r>
          <rPr>
            <b/>
            <sz val="9"/>
            <color indexed="81"/>
            <rFont val="Tahoma"/>
            <charset val="1"/>
          </rPr>
          <t>Auteur:</t>
        </r>
        <r>
          <rPr>
            <sz val="9"/>
            <color indexed="81"/>
            <rFont val="Tahoma"/>
            <charset val="1"/>
          </rPr>
          <t xml:space="preserve">
Points de passage tirés du livrable "Coûts" sur la base de points de passage capex (en €/kw), supposant évolution du LCOE parallèle à évolution du capex</t>
        </r>
      </text>
    </comment>
    <comment ref="AN26" authorId="0">
      <text>
        <r>
          <rPr>
            <b/>
            <sz val="9"/>
            <color indexed="81"/>
            <rFont val="Tahoma"/>
            <family val="2"/>
          </rPr>
          <t>Auteur:</t>
        </r>
        <r>
          <rPr>
            <sz val="9"/>
            <color indexed="81"/>
            <rFont val="Tahoma"/>
            <family val="2"/>
          </rPr>
          <t xml:space="preserve">
Sur la base de chiffrages ETSAP/IEA avec un capex de 3077€/kW en 2013 et 2769€/kW en 2020</t>
        </r>
      </text>
    </comment>
    <comment ref="AQ28" authorId="0">
      <text>
        <r>
          <rPr>
            <b/>
            <sz val="9"/>
            <color indexed="81"/>
            <rFont val="Tahoma"/>
            <charset val="1"/>
          </rPr>
          <t>Auteur:</t>
        </r>
        <r>
          <rPr>
            <sz val="9"/>
            <color indexed="81"/>
            <rFont val="Tahoma"/>
            <charset val="1"/>
          </rPr>
          <t xml:space="preserve">
Source: IRENA "Electricity storage and RE for Island Power" 2012</t>
        </r>
      </text>
    </comment>
    <comment ref="A29" authorId="0">
      <text>
        <r>
          <rPr>
            <b/>
            <sz val="9"/>
            <color indexed="81"/>
            <rFont val="Tahoma"/>
            <family val="2"/>
          </rPr>
          <t>Auteur:</t>
        </r>
        <r>
          <rPr>
            <sz val="9"/>
            <color indexed="81"/>
            <rFont val="Tahoma"/>
            <charset val="1"/>
          </rPr>
          <t xml:space="preserve">
Données issues du rapport [Modèle]</t>
        </r>
      </text>
    </comment>
  </commentList>
</comments>
</file>

<file path=xl/sharedStrings.xml><?xml version="1.0" encoding="utf-8"?>
<sst xmlns="http://schemas.openxmlformats.org/spreadsheetml/2006/main" count="487" uniqueCount="250">
  <si>
    <t>Dont coût pour le secteur résidentiel</t>
  </si>
  <si>
    <t>Dont coût des recharges optimisées</t>
  </si>
  <si>
    <t>Dont coût des STEP supplémentaires</t>
  </si>
  <si>
    <t>Dont coût du stockage inter-saisonnier</t>
  </si>
  <si>
    <t>Dont coût du stockage infra-journalier</t>
  </si>
  <si>
    <t>Dont inter-régional</t>
  </si>
  <si>
    <t>CAPEX 2050 (€/kW)</t>
  </si>
  <si>
    <t>OPEX fixe 2050 (€/kW/an)</t>
  </si>
  <si>
    <t>Eolien terrestre NG</t>
  </si>
  <si>
    <t>Eolien terrestre AG</t>
  </si>
  <si>
    <t>Eolien en mer posé</t>
  </si>
  <si>
    <t>Eolien flottant</t>
  </si>
  <si>
    <t>PV au sol</t>
  </si>
  <si>
    <t>PV sur toiture</t>
  </si>
  <si>
    <t>Solaire thermodynamique</t>
  </si>
  <si>
    <t>Marémotrice</t>
  </si>
  <si>
    <t>STEP additionnelles (2,7 GW)</t>
  </si>
  <si>
    <t>STEP additionnelles (+2,3 GW)</t>
  </si>
  <si>
    <t>Géothermie</t>
  </si>
  <si>
    <t>Cogénération à bois</t>
  </si>
  <si>
    <t>OPEX var (c€/kWh)</t>
  </si>
  <si>
    <t>UIOM</t>
  </si>
  <si>
    <t>Méthanisation</t>
  </si>
  <si>
    <t>Production nette 2050 (MWh)</t>
  </si>
  <si>
    <t>Solaire (moyenne pondérée)</t>
  </si>
  <si>
    <t>Dont OPEX</t>
  </si>
  <si>
    <t>Dont CAPEX</t>
  </si>
  <si>
    <t>LCOE filières et sous-filières (PTI)</t>
  </si>
  <si>
    <t>Stockage infra-journalier</t>
  </si>
  <si>
    <t>Stockage inter-saisonnier</t>
  </si>
  <si>
    <t>Durée de vie</t>
  </si>
  <si>
    <t>CAPEX 2050 (€/kW/an)</t>
  </si>
  <si>
    <t>Dont distribution et infra-régional</t>
  </si>
  <si>
    <t>Dotations aux amortissements</t>
  </si>
  <si>
    <t>Charges financières nettes</t>
  </si>
  <si>
    <t>Autres achats (entretien et maintenance)</t>
  </si>
  <si>
    <t>Achats liés à l'équilibre du syst élec (hors pertes)</t>
  </si>
  <si>
    <t>Achats liés aux pertes</t>
  </si>
  <si>
    <t>Autres produits et charges opé</t>
  </si>
  <si>
    <t>Charges de personnel</t>
  </si>
  <si>
    <t>Impôts et taxes</t>
  </si>
  <si>
    <t>CAPEX</t>
  </si>
  <si>
    <t>OPEX</t>
  </si>
  <si>
    <t>Total (hors pertes)</t>
  </si>
  <si>
    <t>Charges nettes à tarifer</t>
  </si>
  <si>
    <t>RTE</t>
  </si>
  <si>
    <t>ERdF</t>
  </si>
  <si>
    <t>Structure des coûts 2013 de RTE et ERdF</t>
  </si>
  <si>
    <t>http://www.cre.fr/documents/consultations-publiques/quatriemes-tarifs-d-utilisation-des-reseaux-publics-d-electricite</t>
  </si>
  <si>
    <t>Part OPEX (hors pertes et services systèmes)</t>
  </si>
  <si>
    <t>Moins charges de pertes, services systèmes et raccordements (PSR)</t>
  </si>
  <si>
    <t>Charges nettes (hors PSR)</t>
  </si>
  <si>
    <t>Part CAPEX (hors raccordement)</t>
  </si>
  <si>
    <t>Part OPEX pour charge de personnel</t>
  </si>
  <si>
    <t>Dont OPEX (charges de personnel)</t>
  </si>
  <si>
    <t>Dont OPEX (hors charges de personnel)</t>
  </si>
  <si>
    <t>Cas de référence</t>
  </si>
  <si>
    <t>Cogénération Bois</t>
  </si>
  <si>
    <t>TAC au gaz de synthèse</t>
  </si>
  <si>
    <t>STEP</t>
  </si>
  <si>
    <t>PowertoHeat</t>
  </si>
  <si>
    <t>PV toiture</t>
  </si>
  <si>
    <t>PV sol</t>
  </si>
  <si>
    <t>Eolien Onshore surtoilé</t>
  </si>
  <si>
    <t>Eolien Onshore classique</t>
  </si>
  <si>
    <t>Eolien Offshore posé</t>
  </si>
  <si>
    <t>Houlomoteur</t>
  </si>
  <si>
    <t>Nucléaire</t>
  </si>
  <si>
    <t>Hydrolienne</t>
  </si>
  <si>
    <t>Hydraulique à réservoirs</t>
  </si>
  <si>
    <t>Fil de l'eau</t>
  </si>
  <si>
    <t>TAC</t>
  </si>
  <si>
    <t>Eolien Offshore flottant</t>
  </si>
  <si>
    <t>Méthanation</t>
  </si>
  <si>
    <t>CSP</t>
  </si>
  <si>
    <t>CCGT</t>
  </si>
  <si>
    <t>CAES</t>
  </si>
  <si>
    <t>Cogénération Méthanisation</t>
  </si>
  <si>
    <t>Chroniques de coûts annuels (M€ 2013)</t>
  </si>
  <si>
    <t>Part EnR en % de la production élec</t>
  </si>
  <si>
    <t>http://www.cre.fr/documents/deliberations/decision/comptage-evolue-erdf2</t>
  </si>
  <si>
    <t>Source: Délibération de la CRE sur le cadre de régulation du déploiement de Linky</t>
  </si>
  <si>
    <t>Coût total sur la période 2015-2021</t>
  </si>
  <si>
    <t>Mds €</t>
  </si>
  <si>
    <t>Année</t>
  </si>
  <si>
    <t>Nombre prévisionnel de compteur Linky installés (millions)</t>
  </si>
  <si>
    <t>Coût annuel moyen sur la période</t>
  </si>
  <si>
    <t>Coût unitaire</t>
  </si>
  <si>
    <t>Coût annuel prévisionnel sur la période</t>
  </si>
  <si>
    <t>CAPEX 2030 (€/kw)</t>
  </si>
  <si>
    <t>Capacité (MW)</t>
  </si>
  <si>
    <t>Total de compteur installés sur la période (millions)</t>
  </si>
  <si>
    <t>Durée de vie d'un compteur (année)</t>
  </si>
  <si>
    <t>Investissements 2015 annualisés</t>
  </si>
  <si>
    <t>" 2017 "</t>
  </si>
  <si>
    <t>" 2016 "</t>
  </si>
  <si>
    <t>"2018 "</t>
  </si>
  <si>
    <t>" 2019 "</t>
  </si>
  <si>
    <t>" 2020 "</t>
  </si>
  <si>
    <t>" 2021 "</t>
  </si>
  <si>
    <t>TOTAL</t>
  </si>
  <si>
    <t>TOTAL (M€)</t>
  </si>
  <si>
    <t>LINKY 2ème génération</t>
  </si>
  <si>
    <t>Stockage infra-jour (CAES)</t>
  </si>
  <si>
    <t>Capex (€/MW/an)</t>
  </si>
  <si>
    <t>Opex fixes (€/MW/an)</t>
  </si>
  <si>
    <t>Capex (€/MW)</t>
  </si>
  <si>
    <t>TOTAL Opex (M€)</t>
  </si>
  <si>
    <t>Cohortes Capex:</t>
  </si>
  <si>
    <t>CAPEX 2013 (€/kw)</t>
  </si>
  <si>
    <t>Installations annuelles</t>
  </si>
  <si>
    <t>TOTAL Capex (M€)</t>
  </si>
  <si>
    <t>Coûts totaux (M€)</t>
  </si>
  <si>
    <t>Coûts annualisés des capacités de stockage</t>
  </si>
  <si>
    <t>Coûts annualisés du pilotage de la demande</t>
  </si>
  <si>
    <t>Coûts annualisés de réseau</t>
  </si>
  <si>
    <t>Chiffrage Artelys (coûts 2050)</t>
  </si>
  <si>
    <t>Courbe d'investissement</t>
  </si>
  <si>
    <t>Capacité En MW</t>
  </si>
  <si>
    <t>Coûts annualisés de l'éolien</t>
  </si>
  <si>
    <t>Coûts annualisés du solaire</t>
  </si>
  <si>
    <t>EOLIEN</t>
  </si>
  <si>
    <t>SOLAIRE</t>
  </si>
  <si>
    <t>Coûts annualisés de la biomasse</t>
  </si>
  <si>
    <t>BIOMASSE</t>
  </si>
  <si>
    <t>Bois énergie</t>
  </si>
  <si>
    <t>Stockage</t>
  </si>
  <si>
    <t>Additions cumulées (MW)</t>
  </si>
  <si>
    <t>EmR</t>
  </si>
  <si>
    <t>Coûts annualisés des énergies marines</t>
  </si>
  <si>
    <t>Géoth</t>
  </si>
  <si>
    <t>Coûts annualisés de la géothermie</t>
  </si>
  <si>
    <t>Coût capacitaire des ENR</t>
  </si>
  <si>
    <t>Coût du combustible Bois</t>
  </si>
  <si>
    <t>Coût capacitaire de la valorisation du surplus</t>
  </si>
  <si>
    <t>Coût capacitaire du réseau (valeur 2013 : 1640 M€)</t>
  </si>
  <si>
    <t>Coût fixe du réseau</t>
  </si>
  <si>
    <t>Coût du stockage intersaisonnier</t>
  </si>
  <si>
    <t>Coût des STEP</t>
  </si>
  <si>
    <t>Coût du stockage infrajournalier</t>
  </si>
  <si>
    <t>Coût capacitaire du thermique</t>
  </si>
  <si>
    <t>Coût de la flexibilité de la consommation</t>
  </si>
  <si>
    <t>Production (MWh)</t>
  </si>
  <si>
    <t>Opex var (€/MWh)</t>
  </si>
  <si>
    <t>Dont OPEX variable</t>
  </si>
  <si>
    <t>Coûts associés (M€)</t>
  </si>
  <si>
    <t>Hydraulique</t>
  </si>
  <si>
    <t>PAC</t>
  </si>
  <si>
    <t>Gain variable  de la valorisation du surplus</t>
  </si>
  <si>
    <t>Coût des combustibles hors enr</t>
  </si>
  <si>
    <t>Coût du CO2</t>
  </si>
  <si>
    <t>Coût total M€/an</t>
  </si>
  <si>
    <t>Coût de l'énergie consommée €/MWh (Coût actuel ~91 €/MWh)</t>
  </si>
  <si>
    <t>Reconstruction</t>
  </si>
  <si>
    <t>Valorisation surplus</t>
  </si>
  <si>
    <t>Hydraulique (induit)</t>
  </si>
  <si>
    <t>Hydraulique (réservoir + fil de l'eau)</t>
  </si>
  <si>
    <t>Reconstitution des coûts capacitaire à partir des LCOE (M€)</t>
  </si>
  <si>
    <t>Production nette (TWh)</t>
  </si>
  <si>
    <t>Historique</t>
  </si>
  <si>
    <t>Mix 100%</t>
  </si>
  <si>
    <t>Eolien terrestre</t>
  </si>
  <si>
    <t>Eolien en mer</t>
  </si>
  <si>
    <t>PV</t>
  </si>
  <si>
    <t>Hydroélectricité</t>
  </si>
  <si>
    <t>Energies marines</t>
  </si>
  <si>
    <t>Chaleur fatale</t>
  </si>
  <si>
    <t>Gaz naturel</t>
  </si>
  <si>
    <t>Fioul</t>
  </si>
  <si>
    <t>Charbon</t>
  </si>
  <si>
    <t>Part EnR (%)</t>
  </si>
  <si>
    <t>Production nette (Mwh)</t>
  </si>
  <si>
    <t>Toutes technos</t>
  </si>
  <si>
    <t>Eolien en mer toutes technos</t>
  </si>
  <si>
    <t>Eolien terrestre AG et NG</t>
  </si>
  <si>
    <t>Hydro</t>
  </si>
  <si>
    <t>Eolien terrestre (moyennes pondérée)</t>
  </si>
  <si>
    <t>LCOE 2050 (€/MWh)</t>
  </si>
  <si>
    <t>Eolien en mer (moyennes pondérées)</t>
  </si>
  <si>
    <t>Thermiques non-EnR</t>
  </si>
  <si>
    <t>EnR</t>
  </si>
  <si>
    <t>Ration solaires de production</t>
  </si>
  <si>
    <t>Production</t>
  </si>
  <si>
    <t>Part</t>
  </si>
  <si>
    <t>Total</t>
  </si>
  <si>
    <t>LCOE (€/MWh)</t>
  </si>
  <si>
    <t>Coûts capacitaires (M€)</t>
  </si>
  <si>
    <t>Coûts total</t>
  </si>
  <si>
    <t>Part opex (en % du LCOE)</t>
  </si>
  <si>
    <t>Opex variable (M€)</t>
  </si>
  <si>
    <t>Coûts annualisés de l'hydraulique</t>
  </si>
  <si>
    <t>Coûts capacitaires totaux EnR (hors opex var)</t>
  </si>
  <si>
    <t>95%ENR</t>
  </si>
  <si>
    <t>80%ENR</t>
  </si>
  <si>
    <t>40%ENR</t>
  </si>
  <si>
    <t>TAC au gaz de synthèse (GtP)</t>
  </si>
  <si>
    <t>Production 2050 (MWh)</t>
  </si>
  <si>
    <t>Part opex (% du coût annuel)</t>
  </si>
  <si>
    <t>TOTAL Opex fixe (M€)</t>
  </si>
  <si>
    <t>Total opex var (M€)</t>
  </si>
  <si>
    <t>Dont OPEX fixes</t>
  </si>
  <si>
    <t>Dont OPEX variables</t>
  </si>
  <si>
    <t>Coût du combustible bois</t>
  </si>
  <si>
    <t>Coût du réseau</t>
  </si>
  <si>
    <t>Coût du pilotage de la demande</t>
  </si>
  <si>
    <t>Coût du stockage</t>
  </si>
  <si>
    <t xml:space="preserve">Durée de vie </t>
  </si>
  <si>
    <t>Cas accept mod</t>
  </si>
  <si>
    <t>Méthanisation + gaz de synthèse</t>
  </si>
  <si>
    <t>COUTS DE LA PRODUCTION D'ENR et METHANATION</t>
  </si>
  <si>
    <t>CAPEX par filière (coûts de production EnR) M€</t>
  </si>
  <si>
    <t>Gaz de synthèse (méthanation)</t>
  </si>
  <si>
    <t>Eolien (terrestre, en mer posé, en mer flottant)</t>
  </si>
  <si>
    <t>Solaire (PV, CSP)</t>
  </si>
  <si>
    <t>Hydraulique et énergies marines</t>
  </si>
  <si>
    <t>Autres (géothermie et cogé biogaz et biomasse)</t>
  </si>
  <si>
    <t>TOTAL CAPEX</t>
  </si>
  <si>
    <t>OPEX par filière (coûts de production EnR) M€</t>
  </si>
  <si>
    <t>TOTAL OPEX</t>
  </si>
  <si>
    <t>TOTAL CAPEX+OPEX M€</t>
  </si>
  <si>
    <t>Check</t>
  </si>
  <si>
    <t>COUTS TOTAL DU SYSTÈME ELECTRIQUE (coûts de reseau, stockage infrajour et STEP et flex de la demande inclus)</t>
  </si>
  <si>
    <t>CAPEX RESEAU STOCKAGE CT et FLEX DEM M€</t>
  </si>
  <si>
    <t>OPEX RESEAU STOCKAGE CT ET FLEX DEM M€</t>
  </si>
  <si>
    <t>Gaz de synthèse (méthanation) capex</t>
  </si>
  <si>
    <t>Eolien (terrestre, en mer posé, en mer flottant) capex</t>
  </si>
  <si>
    <t>Solaire (PV, CSP) capex</t>
  </si>
  <si>
    <t>Hydraulique et énergies marines capex</t>
  </si>
  <si>
    <t>Autres (géothermie et cogé biogaz et biomasse) capex</t>
  </si>
  <si>
    <t>CAPEX système non-EnR</t>
  </si>
  <si>
    <t>Gaz de synthèse (méthanation) opex</t>
  </si>
  <si>
    <t>Eolien (terrestre, en mer posé, en mer flottant)opex</t>
  </si>
  <si>
    <t>Solaire (PV, CSP)opex</t>
  </si>
  <si>
    <t>Hydraulique et énergies marines opex</t>
  </si>
  <si>
    <t>Autres (géothermie et cogé biogaz et biomasse) opex</t>
  </si>
  <si>
    <t>OPEX système non-EnR</t>
  </si>
  <si>
    <t>TOTAL CAPEX+OPEX EnR M€</t>
  </si>
  <si>
    <t>CAPEX + OPEX systèmes non-EnR M€</t>
  </si>
  <si>
    <t>COUTS UNITAIRES DE PRODUCTION (CAPEX+OPEX) M€</t>
  </si>
  <si>
    <t>PRODUCTION MARCHANDE (PRODUCTION NETTE - PERTES RESEAUX, REPARTIE PAR PART DE L'ENERGIE FINALE)</t>
  </si>
  <si>
    <t>PRODUCTION en TWh (PERTE INCLUSES)</t>
  </si>
  <si>
    <t>Non-EnR</t>
  </si>
  <si>
    <t>TOTAL PRODUCTION MARCHANDE</t>
  </si>
  <si>
    <t>PRODUCTION en % du total</t>
  </si>
  <si>
    <t>PERTES DE RESEAU</t>
  </si>
  <si>
    <t>PRODUCTION en TWh (PERTE EXCLUES</t>
  </si>
  <si>
    <t>Dont coût des STEP Existantes</t>
  </si>
  <si>
    <t>Coûts 2012</t>
  </si>
  <si>
    <t>Hydrolien et houlomoteur</t>
  </si>
  <si>
    <t>Hydrolienne et houlomoteur</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</si>
</sst>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 _€_-;\-* #,##0.00\ _€_-;_-* &quot;-&quot;??\ _€_-;_-@_-"/>
    <numFmt numFmtId="164" formatCode="#,##0\ &quot;€&quot;"/>
    <numFmt numFmtId="165" formatCode="0.0%"/>
    <numFmt numFmtId="166" formatCode="#,##0.00\ &quot;€&quot;"/>
    <numFmt numFmtId="167" formatCode="0.000"/>
    <numFmt numFmtId="168" formatCode="_-* #,##0\ _€_-;\-* #,##0\ _€_-;_-* &quot;-&quot;??\ _€_-;_-@_-"/>
    <numFmt numFmtId="169" formatCode="#,##0.0"/>
    <numFmt numFmtId="170" formatCode="0.0"/>
    <numFmt numFmtId="183" formatCode="#,##0.00000000000000\ &quot;€&quot;"/>
  </numFmts>
  <fonts count="17" x14ac:knownFonts="1">
    <font>
      <sz val="11"/>
      <color theme="1"/>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theme="1"/>
      <name val="Calibri"/>
      <family val="2"/>
      <scheme val="minor"/>
    </font>
    <font>
      <u/>
      <sz val="11"/>
      <color theme="10"/>
      <name val="Calibri"/>
      <family val="2"/>
      <scheme val="minor"/>
    </font>
    <font>
      <sz val="9"/>
      <color indexed="81"/>
      <name val="Tahoma"/>
      <charset val="1"/>
    </font>
    <font>
      <b/>
      <sz val="9"/>
      <color indexed="81"/>
      <name val="Tahoma"/>
      <charset val="1"/>
    </font>
    <font>
      <b/>
      <sz val="11"/>
      <name val="Calibri"/>
      <family val="2"/>
      <scheme val="minor"/>
    </font>
    <font>
      <sz val="11"/>
      <color theme="0"/>
      <name val="Calibri"/>
      <family val="2"/>
      <scheme val="minor"/>
    </font>
    <font>
      <sz val="9"/>
      <color theme="1"/>
      <name val="Calibri"/>
      <family val="2"/>
      <scheme val="minor"/>
    </font>
    <font>
      <b/>
      <u/>
      <sz val="18"/>
      <color theme="1"/>
      <name val="Calibri"/>
      <family val="2"/>
      <scheme val="minor"/>
    </font>
    <font>
      <sz val="10"/>
      <name val="Arial"/>
      <family val="2"/>
    </font>
    <font>
      <sz val="8"/>
      <color theme="1"/>
      <name val="Calibri"/>
      <family val="2"/>
      <scheme val="minor"/>
    </font>
    <font>
      <b/>
      <sz val="11"/>
      <color rgb="FFFF0000"/>
      <name val="Calibri"/>
      <family val="2"/>
      <scheme val="minor"/>
    </font>
  </fonts>
  <fills count="18">
    <fill>
      <patternFill patternType="none"/>
    </fill>
    <fill>
      <patternFill patternType="gray125"/>
    </fill>
    <fill>
      <patternFill patternType="solid">
        <fgColor theme="3"/>
        <bgColor indexed="64"/>
      </patternFill>
    </fill>
    <fill>
      <patternFill patternType="solid">
        <fgColor rgb="FFFFFF00"/>
        <bgColor indexed="64"/>
      </patternFill>
    </fill>
    <fill>
      <patternFill patternType="solid">
        <fgColor theme="6"/>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rgb="FFFF0000"/>
        <bgColor indexed="64"/>
      </patternFill>
    </fill>
    <fill>
      <patternFill patternType="solid">
        <fgColor theme="6" tint="0.39997558519241921"/>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0"/>
        <bgColor indexed="64"/>
      </patternFill>
    </fill>
    <fill>
      <patternFill patternType="solid">
        <fgColor theme="4"/>
      </patternFill>
    </fill>
    <fill>
      <patternFill patternType="solid">
        <fgColor theme="4" tint="0.39997558519241921"/>
        <bgColor indexed="64"/>
      </patternFill>
    </fill>
    <fill>
      <patternFill patternType="solid">
        <fgColor rgb="FF00B0F0"/>
        <bgColor indexed="64"/>
      </patternFill>
    </fill>
    <fill>
      <patternFill patternType="solid">
        <fgColor theme="3" tint="0.79998168889431442"/>
        <bgColor indexed="64"/>
      </patternFill>
    </fill>
    <fill>
      <patternFill patternType="solid">
        <fgColor theme="3" tint="0.59999389629810485"/>
        <bgColor indexed="64"/>
      </patternFill>
    </fill>
  </fills>
  <borders count="25">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0">
    <xf numFmtId="0" fontId="0" fillId="0" borderId="0"/>
    <xf numFmtId="9" fontId="6" fillId="0" borderId="0" applyFont="0" applyFill="0" applyBorder="0" applyAlignment="0" applyProtection="0"/>
    <xf numFmtId="0" fontId="7" fillId="0" borderId="0" applyNumberFormat="0" applyFill="0" applyBorder="0" applyAlignment="0" applyProtection="0"/>
    <xf numFmtId="43" fontId="6" fillId="0" borderId="0" applyFont="0" applyFill="0" applyBorder="0" applyAlignment="0" applyProtection="0"/>
    <xf numFmtId="0" fontId="6" fillId="10" borderId="0" applyNumberFormat="0" applyBorder="0" applyAlignment="0" applyProtection="0"/>
    <xf numFmtId="0" fontId="6" fillId="11" borderId="0" applyNumberFormat="0" applyBorder="0" applyAlignment="0" applyProtection="0"/>
    <xf numFmtId="43" fontId="6" fillId="0" borderId="0" applyFont="0" applyFill="0" applyBorder="0" applyAlignment="0" applyProtection="0"/>
    <xf numFmtId="0" fontId="11" fillId="13" borderId="0" applyNumberFormat="0" applyBorder="0" applyAlignment="0" applyProtection="0"/>
    <xf numFmtId="0" fontId="14" fillId="0" borderId="0"/>
    <xf numFmtId="0" fontId="14" fillId="0" borderId="0"/>
  </cellStyleXfs>
  <cellXfs count="147">
    <xf numFmtId="0" fontId="0" fillId="0" borderId="0" xfId="0"/>
    <xf numFmtId="0" fontId="3" fillId="0" borderId="0" xfId="0" applyFont="1" applyAlignment="1">
      <alignment horizontal="right"/>
    </xf>
    <xf numFmtId="0" fontId="2" fillId="0" borderId="0" xfId="0" applyFont="1"/>
    <xf numFmtId="0" fontId="1" fillId="2" borderId="0" xfId="0" applyFont="1" applyFill="1"/>
    <xf numFmtId="0" fontId="0" fillId="0" borderId="5" xfId="0" applyBorder="1"/>
    <xf numFmtId="0" fontId="1" fillId="2" borderId="2" xfId="0" applyFont="1" applyFill="1" applyBorder="1"/>
    <xf numFmtId="0" fontId="1" fillId="2" borderId="3" xfId="0" applyFont="1" applyFill="1" applyBorder="1"/>
    <xf numFmtId="0" fontId="1" fillId="2" borderId="4" xfId="0" applyFont="1" applyFill="1" applyBorder="1"/>
    <xf numFmtId="0" fontId="2" fillId="0" borderId="7" xfId="0" applyFont="1" applyBorder="1"/>
    <xf numFmtId="4" fontId="0" fillId="0" borderId="0" xfId="0" applyNumberFormat="1" applyBorder="1"/>
    <xf numFmtId="4" fontId="0" fillId="0" borderId="6" xfId="0" applyNumberFormat="1" applyBorder="1"/>
    <xf numFmtId="4" fontId="2" fillId="0" borderId="8" xfId="0" applyNumberFormat="1" applyFont="1" applyBorder="1"/>
    <xf numFmtId="4" fontId="2" fillId="0" borderId="9" xfId="0" applyNumberFormat="1" applyFont="1" applyBorder="1"/>
    <xf numFmtId="164" fontId="0" fillId="0" borderId="0" xfId="0" applyNumberFormat="1"/>
    <xf numFmtId="0" fontId="0" fillId="0" borderId="0" xfId="0" applyFont="1" applyAlignment="1">
      <alignment horizontal="right"/>
    </xf>
    <xf numFmtId="0" fontId="0" fillId="0" borderId="0" xfId="0" applyAlignment="1">
      <alignment horizontal="right"/>
    </xf>
    <xf numFmtId="0" fontId="0" fillId="0" borderId="1" xfId="0" applyFont="1" applyBorder="1" applyAlignment="1">
      <alignment horizontal="right"/>
    </xf>
    <xf numFmtId="0" fontId="3" fillId="0" borderId="1" xfId="0" applyFont="1" applyBorder="1" applyAlignment="1">
      <alignment horizontal="right"/>
    </xf>
    <xf numFmtId="0" fontId="0" fillId="0" borderId="10" xfId="0" applyFont="1" applyBorder="1" applyAlignment="1">
      <alignment horizontal="right"/>
    </xf>
    <xf numFmtId="0" fontId="3" fillId="0" borderId="10" xfId="0" applyFont="1" applyBorder="1" applyAlignment="1">
      <alignment horizontal="right"/>
    </xf>
    <xf numFmtId="165" fontId="0" fillId="0" borderId="0" xfId="1" applyNumberFormat="1" applyFont="1"/>
    <xf numFmtId="165" fontId="0" fillId="0" borderId="0" xfId="0" applyNumberFormat="1"/>
    <xf numFmtId="164" fontId="3" fillId="0" borderId="0" xfId="0" applyNumberFormat="1" applyFont="1" applyAlignment="1">
      <alignment horizontal="right"/>
    </xf>
    <xf numFmtId="0" fontId="0" fillId="0" borderId="0" xfId="0" applyFill="1"/>
    <xf numFmtId="0" fontId="0" fillId="0" borderId="1" xfId="0" applyBorder="1"/>
    <xf numFmtId="166" fontId="3" fillId="0" borderId="0" xfId="0" applyNumberFormat="1" applyFont="1" applyAlignment="1">
      <alignment horizontal="right"/>
    </xf>
    <xf numFmtId="164" fontId="3" fillId="0" borderId="0" xfId="0" applyNumberFormat="1" applyFont="1"/>
    <xf numFmtId="164" fontId="0" fillId="0" borderId="1" xfId="0" applyNumberFormat="1" applyFont="1" applyBorder="1" applyAlignment="1">
      <alignment horizontal="right"/>
    </xf>
    <xf numFmtId="164" fontId="3" fillId="0" borderId="0" xfId="0" applyNumberFormat="1" applyFont="1" applyFill="1"/>
    <xf numFmtId="0" fontId="10" fillId="4" borderId="0" xfId="0" applyFont="1" applyFill="1"/>
    <xf numFmtId="9" fontId="10" fillId="4" borderId="0" xfId="0" applyNumberFormat="1" applyFont="1" applyFill="1"/>
    <xf numFmtId="0" fontId="3" fillId="5" borderId="0" xfId="0" applyFont="1" applyFill="1" applyAlignment="1">
      <alignment horizontal="right"/>
    </xf>
    <xf numFmtId="0" fontId="2" fillId="0" borderId="0" xfId="0" applyFont="1" applyAlignment="1">
      <alignment horizontal="center"/>
    </xf>
    <xf numFmtId="3" fontId="0" fillId="0" borderId="0" xfId="0" applyNumberFormat="1" applyAlignment="1">
      <alignment horizontal="center"/>
    </xf>
    <xf numFmtId="164" fontId="3" fillId="0" borderId="0" xfId="0" applyNumberFormat="1" applyFont="1" applyFill="1" applyAlignment="1">
      <alignment horizontal="right"/>
    </xf>
    <xf numFmtId="167" fontId="0" fillId="0" borderId="0" xfId="0" applyNumberFormat="1"/>
    <xf numFmtId="166" fontId="0" fillId="0" borderId="0" xfId="0" applyNumberFormat="1"/>
    <xf numFmtId="0" fontId="11" fillId="2" borderId="0" xfId="0" applyFont="1" applyFill="1"/>
    <xf numFmtId="0" fontId="2" fillId="6" borderId="1" xfId="0" applyFont="1" applyFill="1" applyBorder="1"/>
    <xf numFmtId="164" fontId="2" fillId="6" borderId="1" xfId="0" applyNumberFormat="1" applyFont="1" applyFill="1" applyBorder="1"/>
    <xf numFmtId="0" fontId="2" fillId="6" borderId="1" xfId="0" applyFont="1" applyFill="1" applyBorder="1" applyAlignment="1">
      <alignment horizontal="left"/>
    </xf>
    <xf numFmtId="164" fontId="0" fillId="0" borderId="0" xfId="0" applyNumberFormat="1" applyFill="1"/>
    <xf numFmtId="3" fontId="0" fillId="0" borderId="0" xfId="0" applyNumberFormat="1"/>
    <xf numFmtId="3" fontId="0" fillId="3" borderId="0" xfId="0" applyNumberFormat="1" applyFill="1"/>
    <xf numFmtId="164" fontId="0" fillId="7" borderId="0" xfId="0" applyNumberFormat="1" applyFill="1"/>
    <xf numFmtId="0" fontId="0" fillId="7" borderId="0" xfId="0" applyFill="1"/>
    <xf numFmtId="3" fontId="0" fillId="8" borderId="0" xfId="0" applyNumberFormat="1" applyFill="1" applyAlignment="1">
      <alignment horizontal="center"/>
    </xf>
    <xf numFmtId="3" fontId="1" fillId="2" borderId="0" xfId="0" applyNumberFormat="1" applyFont="1" applyFill="1" applyAlignment="1">
      <alignment horizontal="center"/>
    </xf>
    <xf numFmtId="3" fontId="0" fillId="3" borderId="0" xfId="0" applyNumberFormat="1" applyFill="1" applyAlignment="1">
      <alignment horizontal="center"/>
    </xf>
    <xf numFmtId="3" fontId="0" fillId="0" borderId="0" xfId="0" applyNumberFormat="1" applyFill="1"/>
    <xf numFmtId="0" fontId="0" fillId="0" borderId="0" xfId="0" applyNumberFormat="1" applyFill="1"/>
    <xf numFmtId="0" fontId="0" fillId="8" borderId="0" xfId="0" applyFill="1"/>
    <xf numFmtId="0" fontId="3" fillId="0" borderId="0" xfId="0" applyFont="1" applyFill="1" applyAlignment="1">
      <alignment horizontal="right"/>
    </xf>
    <xf numFmtId="164" fontId="0" fillId="0" borderId="1" xfId="0" applyNumberFormat="1" applyFont="1" applyFill="1" applyBorder="1" applyAlignment="1">
      <alignment horizontal="right"/>
    </xf>
    <xf numFmtId="0" fontId="3" fillId="0" borderId="1" xfId="0" applyFont="1" applyFill="1" applyBorder="1" applyAlignment="1">
      <alignment horizontal="right"/>
    </xf>
    <xf numFmtId="3" fontId="12" fillId="3" borderId="0" xfId="0" applyNumberFormat="1" applyFont="1" applyFill="1"/>
    <xf numFmtId="164" fontId="0" fillId="0" borderId="1" xfId="0" applyNumberFormat="1" applyFill="1" applyBorder="1"/>
    <xf numFmtId="3" fontId="12" fillId="0" borderId="0" xfId="0" applyNumberFormat="1" applyFont="1" applyFill="1"/>
    <xf numFmtId="0" fontId="0" fillId="0" borderId="0" xfId="0" applyNumberFormat="1"/>
    <xf numFmtId="4" fontId="0" fillId="9" borderId="0" xfId="0" applyNumberFormat="1" applyFill="1" applyBorder="1"/>
    <xf numFmtId="3" fontId="0" fillId="0" borderId="0" xfId="0" applyNumberFormat="1" applyFill="1" applyAlignment="1">
      <alignment horizontal="center"/>
    </xf>
    <xf numFmtId="164" fontId="2" fillId="6" borderId="1" xfId="0" applyNumberFormat="1" applyFont="1" applyFill="1" applyBorder="1" applyAlignment="1">
      <alignment horizontal="right"/>
    </xf>
    <xf numFmtId="0" fontId="13" fillId="0" borderId="0" xfId="0" applyFont="1" applyAlignment="1">
      <alignment vertical="center"/>
    </xf>
    <xf numFmtId="0" fontId="0" fillId="9" borderId="0" xfId="0" applyFill="1"/>
    <xf numFmtId="1" fontId="0" fillId="0" borderId="0" xfId="0" applyNumberFormat="1" applyFill="1"/>
    <xf numFmtId="0" fontId="0" fillId="12" borderId="0" xfId="0" applyFill="1"/>
    <xf numFmtId="0" fontId="0" fillId="0" borderId="0" xfId="0" applyAlignment="1">
      <alignment wrapText="1"/>
    </xf>
    <xf numFmtId="0" fontId="0" fillId="0" borderId="0" xfId="0" applyAlignment="1">
      <alignment horizontal="center" wrapText="1"/>
    </xf>
    <xf numFmtId="168" fontId="0" fillId="0" borderId="0" xfId="3" applyNumberFormat="1" applyFont="1"/>
    <xf numFmtId="9" fontId="0" fillId="0" borderId="0" xfId="1" applyFont="1"/>
    <xf numFmtId="1" fontId="0" fillId="0" borderId="0" xfId="1" applyNumberFormat="1" applyFont="1"/>
    <xf numFmtId="43" fontId="0" fillId="0" borderId="0" xfId="0" applyNumberFormat="1"/>
    <xf numFmtId="0" fontId="1" fillId="2" borderId="0" xfId="0" applyFont="1" applyFill="1" applyAlignment="1">
      <alignment horizontal="center"/>
    </xf>
    <xf numFmtId="169" fontId="0" fillId="0" borderId="0" xfId="0" applyNumberFormat="1" applyAlignment="1">
      <alignment horizontal="center"/>
    </xf>
    <xf numFmtId="0" fontId="0" fillId="0" borderId="0" xfId="0" applyAlignment="1">
      <alignment horizontal="center"/>
    </xf>
    <xf numFmtId="4" fontId="0" fillId="0" borderId="0" xfId="0" applyNumberFormat="1" applyFill="1" applyBorder="1"/>
    <xf numFmtId="1" fontId="0" fillId="0" borderId="0" xfId="0" applyNumberFormat="1"/>
    <xf numFmtId="0" fontId="6" fillId="11" borderId="0" xfId="5"/>
    <xf numFmtId="168" fontId="6" fillId="10" borderId="0" xfId="4" applyNumberFormat="1"/>
    <xf numFmtId="0" fontId="0" fillId="11" borderId="0" xfId="5" applyFont="1"/>
    <xf numFmtId="168" fontId="6" fillId="4" borderId="0" xfId="4" applyNumberFormat="1" applyFill="1"/>
    <xf numFmtId="0" fontId="11" fillId="13" borderId="0" xfId="7"/>
    <xf numFmtId="168" fontId="6" fillId="14" borderId="0" xfId="4" applyNumberFormat="1" applyFill="1"/>
    <xf numFmtId="164" fontId="0" fillId="0" borderId="0" xfId="1" applyNumberFormat="1" applyFont="1"/>
    <xf numFmtId="164" fontId="0" fillId="0" borderId="0" xfId="3" applyNumberFormat="1" applyFont="1"/>
    <xf numFmtId="0" fontId="2" fillId="0" borderId="8" xfId="0" applyFont="1" applyBorder="1"/>
    <xf numFmtId="0" fontId="0" fillId="0" borderId="0" xfId="0" applyBorder="1"/>
    <xf numFmtId="0" fontId="0" fillId="3" borderId="0" xfId="0" applyFill="1" applyBorder="1"/>
    <xf numFmtId="4" fontId="0" fillId="3" borderId="0" xfId="0" applyNumberFormat="1" applyFill="1" applyBorder="1"/>
    <xf numFmtId="170" fontId="0" fillId="0" borderId="0" xfId="0" applyNumberFormat="1" applyBorder="1"/>
    <xf numFmtId="1" fontId="0" fillId="3" borderId="0" xfId="0" applyNumberFormat="1" applyFill="1" applyBorder="1"/>
    <xf numFmtId="170" fontId="0" fillId="3" borderId="0" xfId="0" applyNumberFormat="1" applyFill="1" applyBorder="1"/>
    <xf numFmtId="168" fontId="0" fillId="15" borderId="0" xfId="3" applyNumberFormat="1" applyFont="1" applyFill="1"/>
    <xf numFmtId="0" fontId="2" fillId="0" borderId="11" xfId="0" applyFont="1" applyBorder="1" applyAlignment="1">
      <alignment horizontal="center"/>
    </xf>
    <xf numFmtId="0" fontId="1" fillId="2" borderId="12" xfId="0" applyFont="1" applyFill="1" applyBorder="1" applyAlignment="1">
      <alignment horizontal="center"/>
    </xf>
    <xf numFmtId="9" fontId="1" fillId="2" borderId="13" xfId="0" applyNumberFormat="1" applyFont="1" applyFill="1" applyBorder="1" applyAlignment="1">
      <alignment horizontal="center"/>
    </xf>
    <xf numFmtId="170" fontId="0" fillId="0" borderId="12" xfId="0" applyNumberFormat="1" applyBorder="1" applyAlignment="1">
      <alignment horizontal="center"/>
    </xf>
    <xf numFmtId="170" fontId="2" fillId="0" borderId="14" xfId="0" applyNumberFormat="1" applyFont="1" applyBorder="1" applyAlignment="1">
      <alignment horizontal="center"/>
    </xf>
    <xf numFmtId="0" fontId="3" fillId="0" borderId="0" xfId="0" applyFont="1"/>
    <xf numFmtId="165" fontId="3" fillId="0" borderId="15" xfId="1" applyNumberFormat="1" applyFont="1" applyBorder="1" applyAlignment="1">
      <alignment horizontal="center"/>
    </xf>
    <xf numFmtId="0" fontId="0" fillId="15" borderId="0" xfId="0" applyFill="1"/>
    <xf numFmtId="170" fontId="0" fillId="15" borderId="13" xfId="0" applyNumberFormat="1" applyFill="1" applyBorder="1" applyAlignment="1">
      <alignment horizontal="center"/>
    </xf>
    <xf numFmtId="170" fontId="2" fillId="15" borderId="14" xfId="0" applyNumberFormat="1" applyFont="1" applyFill="1" applyBorder="1" applyAlignment="1">
      <alignment horizontal="center"/>
    </xf>
    <xf numFmtId="165" fontId="3" fillId="15" borderId="15" xfId="1" applyNumberFormat="1" applyFont="1" applyFill="1" applyBorder="1" applyAlignment="1">
      <alignment horizontal="center"/>
    </xf>
    <xf numFmtId="9" fontId="0" fillId="3" borderId="0" xfId="1" applyFont="1" applyFill="1"/>
    <xf numFmtId="3" fontId="0" fillId="12" borderId="0" xfId="0" applyNumberFormat="1" applyFill="1" applyAlignment="1">
      <alignment horizontal="center"/>
    </xf>
    <xf numFmtId="0" fontId="10" fillId="0" borderId="0" xfId="0" applyFont="1" applyFill="1"/>
    <xf numFmtId="9" fontId="10" fillId="0" borderId="0" xfId="0" applyNumberFormat="1" applyFont="1" applyFill="1"/>
    <xf numFmtId="164" fontId="10" fillId="0" borderId="0" xfId="0" applyNumberFormat="1" applyFont="1" applyFill="1"/>
    <xf numFmtId="3" fontId="0" fillId="15" borderId="0" xfId="0" applyNumberFormat="1" applyFill="1" applyAlignment="1">
      <alignment horizontal="center"/>
    </xf>
    <xf numFmtId="3" fontId="0" fillId="15" borderId="0" xfId="0" applyNumberFormat="1" applyFill="1"/>
    <xf numFmtId="164" fontId="0" fillId="15" borderId="0" xfId="0" applyNumberFormat="1" applyFill="1"/>
    <xf numFmtId="9" fontId="12" fillId="3" borderId="0" xfId="1" applyFont="1" applyFill="1"/>
    <xf numFmtId="4" fontId="0" fillId="0" borderId="0" xfId="0" applyNumberFormat="1"/>
    <xf numFmtId="164" fontId="0" fillId="0" borderId="10" xfId="0" applyNumberFormat="1" applyFill="1" applyBorder="1"/>
    <xf numFmtId="166" fontId="3" fillId="0" borderId="0" xfId="0" applyNumberFormat="1" applyFont="1" applyFill="1" applyAlignment="1">
      <alignment horizontal="right"/>
    </xf>
    <xf numFmtId="3" fontId="15" fillId="15" borderId="0" xfId="0" applyNumberFormat="1" applyFont="1" applyFill="1"/>
    <xf numFmtId="170" fontId="0" fillId="0" borderId="0" xfId="0" applyNumberFormat="1" applyAlignment="1">
      <alignment horizontal="center"/>
    </xf>
    <xf numFmtId="170" fontId="0" fillId="0" borderId="16" xfId="0" applyNumberFormat="1" applyBorder="1" applyAlignment="1">
      <alignment horizontal="center"/>
    </xf>
    <xf numFmtId="170" fontId="2" fillId="0" borderId="17" xfId="0" applyNumberFormat="1" applyFont="1" applyBorder="1" applyAlignment="1">
      <alignment horizontal="center"/>
    </xf>
    <xf numFmtId="9" fontId="0" fillId="0" borderId="0" xfId="1" applyFont="1" applyFill="1"/>
    <xf numFmtId="0" fontId="2" fillId="0" borderId="18" xfId="0" applyFont="1" applyBorder="1"/>
    <xf numFmtId="0" fontId="2" fillId="0" borderId="19" xfId="0" applyFont="1" applyBorder="1"/>
    <xf numFmtId="0" fontId="2" fillId="0" borderId="20" xfId="0" applyFont="1" applyBorder="1"/>
    <xf numFmtId="0" fontId="0" fillId="17" borderId="13" xfId="0" applyFill="1" applyBorder="1"/>
    <xf numFmtId="0" fontId="0" fillId="0" borderId="21" xfId="0" applyBorder="1"/>
    <xf numFmtId="0" fontId="0" fillId="3" borderId="13" xfId="0" applyFill="1" applyBorder="1"/>
    <xf numFmtId="0" fontId="0" fillId="0" borderId="0" xfId="0" applyFill="1" applyBorder="1"/>
    <xf numFmtId="0" fontId="0" fillId="0" borderId="13" xfId="0" applyFill="1" applyBorder="1"/>
    <xf numFmtId="0" fontId="0" fillId="0" borderId="13" xfId="0" applyBorder="1"/>
    <xf numFmtId="0" fontId="2" fillId="0" borderId="13" xfId="0" applyFont="1" applyBorder="1"/>
    <xf numFmtId="0" fontId="2" fillId="0" borderId="0" xfId="0" applyFont="1" applyBorder="1"/>
    <xf numFmtId="0" fontId="2" fillId="0" borderId="21" xfId="0" applyFont="1" applyBorder="1"/>
    <xf numFmtId="0" fontId="0" fillId="0" borderId="22" xfId="0" applyBorder="1"/>
    <xf numFmtId="0" fontId="0" fillId="0" borderId="23" xfId="0" applyBorder="1"/>
    <xf numFmtId="0" fontId="0" fillId="0" borderId="24" xfId="0" applyBorder="1"/>
    <xf numFmtId="0" fontId="0" fillId="3" borderId="0" xfId="0" applyFill="1"/>
    <xf numFmtId="9" fontId="0" fillId="0" borderId="0" xfId="0" applyNumberFormat="1"/>
    <xf numFmtId="164" fontId="0" fillId="0" borderId="3" xfId="0" applyNumberFormat="1" applyFill="1" applyBorder="1"/>
    <xf numFmtId="0" fontId="16" fillId="16" borderId="0" xfId="0" applyFont="1" applyFill="1"/>
    <xf numFmtId="164" fontId="0" fillId="3" borderId="0" xfId="0" applyNumberFormat="1" applyFill="1"/>
    <xf numFmtId="0" fontId="0" fillId="0" borderId="22" xfId="0" applyBorder="1" applyAlignment="1">
      <alignment horizontal="left"/>
    </xf>
    <xf numFmtId="0" fontId="0" fillId="0" borderId="23" xfId="0" applyBorder="1" applyAlignment="1">
      <alignment horizontal="left"/>
    </xf>
    <xf numFmtId="0" fontId="0" fillId="0" borderId="0" xfId="0" applyAlignment="1">
      <alignment horizontal="center"/>
    </xf>
    <xf numFmtId="0" fontId="7" fillId="0" borderId="0" xfId="2" applyAlignment="1">
      <alignment horizontal="left"/>
    </xf>
    <xf numFmtId="3" fontId="15" fillId="0" borderId="0" xfId="0" applyNumberFormat="1" applyFont="1" applyFill="1"/>
    <xf numFmtId="183" fontId="0" fillId="0" borderId="0" xfId="0" applyNumberFormat="1"/>
  </cellXfs>
  <cellStyles count="10">
    <cellStyle name="20 % - Accent1" xfId="4" builtinId="30"/>
    <cellStyle name="40 % - Accent1" xfId="5" builtinId="31"/>
    <cellStyle name="Accent1" xfId="7" builtinId="29"/>
    <cellStyle name="Lien hypertexte" xfId="2" builtinId="8"/>
    <cellStyle name="Milliers" xfId="3" builtinId="3"/>
    <cellStyle name="Milliers 2" xfId="6"/>
    <cellStyle name="Normal" xfId="0" builtinId="0"/>
    <cellStyle name="Normal 2 2" xfId="8"/>
    <cellStyle name="Normal 5" xfId="9"/>
    <cellStyle name="Pourcentage" xfId="1" builtinId="5"/>
  </cellStyles>
  <dxfs count="2">
    <dxf>
      <fill>
        <patternFill>
          <bgColor rgb="FF92D050"/>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1"/>
          <c:order val="0"/>
          <c:tx>
            <c:strRef>
              <c:f>'Synthèse format 3ME'!$A$29</c:f>
              <c:strCache>
                <c:ptCount val="1"/>
                <c:pt idx="0">
                  <c:v>Gaz de synthèse (méthanation) capex</c:v>
                </c:pt>
              </c:strCache>
            </c:strRef>
          </c:tx>
          <c:invertIfNegative val="0"/>
          <c:val>
            <c:numRef>
              <c:f>'Synthèse format 3ME'!$B$29:$AM$29</c:f>
              <c:numCache>
                <c:formatCode>General</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249.50705128957929</c:v>
                </c:pt>
                <c:pt idx="30">
                  <c:v>498.76226138724428</c:v>
                </c:pt>
                <c:pt idx="31">
                  <c:v>747.76357555931475</c:v>
                </c:pt>
                <c:pt idx="32">
                  <c:v>996.50101052990635</c:v>
                </c:pt>
                <c:pt idx="33">
                  <c:v>1244.9769117287101</c:v>
                </c:pt>
                <c:pt idx="34">
                  <c:v>1493.1894842554364</c:v>
                </c:pt>
                <c:pt idx="35">
                  <c:v>1741.1369320658823</c:v>
                </c:pt>
                <c:pt idx="36">
                  <c:v>1991.5538218373108</c:v>
                </c:pt>
                <c:pt idx="37">
                  <c:v>2242.3870973524531</c:v>
                </c:pt>
              </c:numCache>
            </c:numRef>
          </c:val>
        </c:ser>
        <c:ser>
          <c:idx val="2"/>
          <c:order val="1"/>
          <c:tx>
            <c:strRef>
              <c:f>'Synthèse format 3ME'!$A$30</c:f>
              <c:strCache>
                <c:ptCount val="1"/>
                <c:pt idx="0">
                  <c:v>Eolien (terrestre, en mer posé, en mer flottant) capex</c:v>
                </c:pt>
              </c:strCache>
            </c:strRef>
          </c:tx>
          <c:invertIfNegative val="0"/>
          <c:val>
            <c:numRef>
              <c:f>'Synthèse format 3ME'!$B$30:$AM$30</c:f>
              <c:numCache>
                <c:formatCode>General</c:formatCode>
                <c:ptCount val="38"/>
                <c:pt idx="0">
                  <c:v>1014.2862308577339</c:v>
                </c:pt>
                <c:pt idx="1">
                  <c:v>1383.8164756761246</c:v>
                </c:pt>
                <c:pt idx="2">
                  <c:v>1753.3737005214505</c:v>
                </c:pt>
                <c:pt idx="3">
                  <c:v>2121.4462226628393</c:v>
                </c:pt>
                <c:pt idx="4">
                  <c:v>2488.4831611256941</c:v>
                </c:pt>
                <c:pt idx="5">
                  <c:v>2989.8985940389161</c:v>
                </c:pt>
                <c:pt idx="6">
                  <c:v>3482.6514092156654</c:v>
                </c:pt>
                <c:pt idx="7">
                  <c:v>3966.3970787826574</c:v>
                </c:pt>
                <c:pt idx="8">
                  <c:v>4438.6518440941009</c:v>
                </c:pt>
                <c:pt idx="9">
                  <c:v>4898.1839592437727</c:v>
                </c:pt>
                <c:pt idx="10">
                  <c:v>5347.8669019546169</c:v>
                </c:pt>
                <c:pt idx="11">
                  <c:v>5752.0296005756945</c:v>
                </c:pt>
                <c:pt idx="12">
                  <c:v>6153.7028115615567</c:v>
                </c:pt>
                <c:pt idx="13">
                  <c:v>6549.1453060076838</c:v>
                </c:pt>
                <c:pt idx="14">
                  <c:v>6938.3641533109176</c:v>
                </c:pt>
                <c:pt idx="15">
                  <c:v>7321.3665191771433</c:v>
                </c:pt>
                <c:pt idx="16">
                  <c:v>7695.5773092515064</c:v>
                </c:pt>
                <c:pt idx="17">
                  <c:v>8063.2905818044428</c:v>
                </c:pt>
                <c:pt idx="18">
                  <c:v>8432.7436214298723</c:v>
                </c:pt>
                <c:pt idx="19">
                  <c:v>8801.2949410077345</c:v>
                </c:pt>
                <c:pt idx="20">
                  <c:v>9126.2157665260765</c:v>
                </c:pt>
                <c:pt idx="21">
                  <c:v>9447.8277085913742</c:v>
                </c:pt>
                <c:pt idx="22">
                  <c:v>9786.5271115372798</c:v>
                </c:pt>
                <c:pt idx="23">
                  <c:v>10123.487858901593</c:v>
                </c:pt>
                <c:pt idx="24">
                  <c:v>10458.221696905</c:v>
                </c:pt>
                <c:pt idx="25">
                  <c:v>10686.252069431474</c:v>
                </c:pt>
                <c:pt idx="26">
                  <c:v>10921.469248729936</c:v>
                </c:pt>
                <c:pt idx="27">
                  <c:v>11165.06782886176</c:v>
                </c:pt>
                <c:pt idx="28">
                  <c:v>11424.542654153949</c:v>
                </c:pt>
                <c:pt idx="29">
                  <c:v>11672.755146735419</c:v>
                </c:pt>
                <c:pt idx="30">
                  <c:v>11955.448615427063</c:v>
                </c:pt>
                <c:pt idx="31">
                  <c:v>12271.87311238594</c:v>
                </c:pt>
                <c:pt idx="32">
                  <c:v>12593.777408269687</c:v>
                </c:pt>
                <c:pt idx="33">
                  <c:v>12921.375989801052</c:v>
                </c:pt>
                <c:pt idx="34">
                  <c:v>13254.663017169063</c:v>
                </c:pt>
                <c:pt idx="35">
                  <c:v>13593.632652551276</c:v>
                </c:pt>
                <c:pt idx="36">
                  <c:v>13981.368750149439</c:v>
                </c:pt>
                <c:pt idx="37">
                  <c:v>14377.01553643351</c:v>
                </c:pt>
              </c:numCache>
            </c:numRef>
          </c:val>
        </c:ser>
        <c:ser>
          <c:idx val="3"/>
          <c:order val="2"/>
          <c:tx>
            <c:strRef>
              <c:f>'Synthèse format 3ME'!$A$31</c:f>
              <c:strCache>
                <c:ptCount val="1"/>
                <c:pt idx="0">
                  <c:v>Solaire (PV, CSP) capex</c:v>
                </c:pt>
              </c:strCache>
            </c:strRef>
          </c:tx>
          <c:spPr>
            <a:solidFill>
              <a:srgbClr val="FFC000"/>
            </a:solidFill>
          </c:spPr>
          <c:invertIfNegative val="0"/>
          <c:val>
            <c:numRef>
              <c:f>'Synthèse format 3ME'!$B$31:$AM$31</c:f>
              <c:numCache>
                <c:formatCode>General</c:formatCode>
                <c:ptCount val="38"/>
                <c:pt idx="0">
                  <c:v>759.72473511196119</c:v>
                </c:pt>
                <c:pt idx="1">
                  <c:v>1269.0694167740642</c:v>
                </c:pt>
                <c:pt idx="2">
                  <c:v>1769.1571120451276</c:v>
                </c:pt>
                <c:pt idx="3">
                  <c:v>2260.3110615241885</c:v>
                </c:pt>
                <c:pt idx="4">
                  <c:v>2742.7725190112833</c:v>
                </c:pt>
                <c:pt idx="5">
                  <c:v>3217.16911590154</c:v>
                </c:pt>
                <c:pt idx="6">
                  <c:v>3682.8957122700663</c:v>
                </c:pt>
                <c:pt idx="7">
                  <c:v>4139.7918278123043</c:v>
                </c:pt>
                <c:pt idx="8">
                  <c:v>4586.6703153187982</c:v>
                </c:pt>
                <c:pt idx="9">
                  <c:v>5022.8944390344695</c:v>
                </c:pt>
                <c:pt idx="10">
                  <c:v>5449.8120603671978</c:v>
                </c:pt>
                <c:pt idx="11">
                  <c:v>5867.4242246795111</c:v>
                </c:pt>
                <c:pt idx="12">
                  <c:v>6277.8809407118333</c:v>
                </c:pt>
                <c:pt idx="13">
                  <c:v>6679.3661533319118</c:v>
                </c:pt>
                <c:pt idx="14">
                  <c:v>7071.8836638693847</c:v>
                </c:pt>
                <c:pt idx="15">
                  <c:v>7455.4373093085323</c:v>
                </c:pt>
                <c:pt idx="16">
                  <c:v>7828.7328753782922</c:v>
                </c:pt>
                <c:pt idx="17">
                  <c:v>8192.9136661765988</c:v>
                </c:pt>
                <c:pt idx="18">
                  <c:v>8552.4206338636122</c:v>
                </c:pt>
                <c:pt idx="19">
                  <c:v>8905.9262392760993</c:v>
                </c:pt>
                <c:pt idx="20">
                  <c:v>9253.4358475690351</c:v>
                </c:pt>
                <c:pt idx="21">
                  <c:v>9594.7794284447809</c:v>
                </c:pt>
                <c:pt idx="22">
                  <c:v>9938.4408346176806</c:v>
                </c:pt>
                <c:pt idx="23">
                  <c:v>10274.822611600175</c:v>
                </c:pt>
                <c:pt idx="24">
                  <c:v>10603.662572125981</c:v>
                </c:pt>
                <c:pt idx="25">
                  <c:v>10923.008356492102</c:v>
                </c:pt>
                <c:pt idx="26">
                  <c:v>11037.143533864737</c:v>
                </c:pt>
                <c:pt idx="27">
                  <c:v>11149.317743435762</c:v>
                </c:pt>
                <c:pt idx="28">
                  <c:v>11263.407721075982</c:v>
                </c:pt>
                <c:pt idx="29">
                  <c:v>11365.384842347741</c:v>
                </c:pt>
                <c:pt idx="30">
                  <c:v>11478.917874846646</c:v>
                </c:pt>
                <c:pt idx="31">
                  <c:v>11590.402672285261</c:v>
                </c:pt>
                <c:pt idx="32">
                  <c:v>11699.719118568253</c:v>
                </c:pt>
                <c:pt idx="33">
                  <c:v>11806.97804961283</c:v>
                </c:pt>
                <c:pt idx="34">
                  <c:v>11912.176128008423</c:v>
                </c:pt>
                <c:pt idx="35">
                  <c:v>12015.310029324013</c:v>
                </c:pt>
                <c:pt idx="36">
                  <c:v>12138.846693424546</c:v>
                </c:pt>
                <c:pt idx="37">
                  <c:v>12261.519741894495</c:v>
                </c:pt>
              </c:numCache>
            </c:numRef>
          </c:val>
        </c:ser>
        <c:ser>
          <c:idx val="4"/>
          <c:order val="3"/>
          <c:tx>
            <c:strRef>
              <c:f>'Synthèse format 3ME'!$A$32</c:f>
              <c:strCache>
                <c:ptCount val="1"/>
                <c:pt idx="0">
                  <c:v>Hydraulique et énergies marines capex</c:v>
                </c:pt>
              </c:strCache>
            </c:strRef>
          </c:tx>
          <c:invertIfNegative val="0"/>
          <c:val>
            <c:numRef>
              <c:f>'Synthèse format 3ME'!$B$32:$AM$32</c:f>
              <c:numCache>
                <c:formatCode>General</c:formatCode>
                <c:ptCount val="38"/>
                <c:pt idx="0">
                  <c:v>4622.9491192230325</c:v>
                </c:pt>
                <c:pt idx="1">
                  <c:v>4765.2021692115532</c:v>
                </c:pt>
                <c:pt idx="2">
                  <c:v>4904.2101753373872</c:v>
                </c:pt>
                <c:pt idx="3">
                  <c:v>5041.3029248391003</c:v>
                </c:pt>
                <c:pt idx="4">
                  <c:v>5176.5326892687199</c:v>
                </c:pt>
                <c:pt idx="5">
                  <c:v>5311.2951174543814</c:v>
                </c:pt>
                <c:pt idx="6">
                  <c:v>5442.5198389667112</c:v>
                </c:pt>
                <c:pt idx="7">
                  <c:v>5569.7522389136748</c:v>
                </c:pt>
                <c:pt idx="8">
                  <c:v>5690.2158964978762</c:v>
                </c:pt>
                <c:pt idx="9">
                  <c:v>5803.3531111729553</c:v>
                </c:pt>
                <c:pt idx="10">
                  <c:v>5912.8149738182547</c:v>
                </c:pt>
                <c:pt idx="11">
                  <c:v>6018.6017182486166</c:v>
                </c:pt>
                <c:pt idx="12">
                  <c:v>6124.4889151514071</c:v>
                </c:pt>
                <c:pt idx="13">
                  <c:v>6226.7675872227483</c:v>
                </c:pt>
                <c:pt idx="14">
                  <c:v>6325.4385410958512</c:v>
                </c:pt>
                <c:pt idx="15">
                  <c:v>6420.5025854564583</c:v>
                </c:pt>
                <c:pt idx="16">
                  <c:v>6510.1601637750091</c:v>
                </c:pt>
                <c:pt idx="17">
                  <c:v>6596.178114331321</c:v>
                </c:pt>
                <c:pt idx="18">
                  <c:v>6681.8823289780748</c:v>
                </c:pt>
                <c:pt idx="19">
                  <c:v>6765.425360315412</c:v>
                </c:pt>
                <c:pt idx="20">
                  <c:v>6846.808334065674</c:v>
                </c:pt>
                <c:pt idx="21">
                  <c:v>6925.8376538936673</c:v>
                </c:pt>
                <c:pt idx="22">
                  <c:v>7011.5958609453064</c:v>
                </c:pt>
                <c:pt idx="23">
                  <c:v>7093.2410950242638</c:v>
                </c:pt>
                <c:pt idx="24">
                  <c:v>7170.716570534225</c:v>
                </c:pt>
                <c:pt idx="25">
                  <c:v>7242.3399505308589</c:v>
                </c:pt>
                <c:pt idx="26">
                  <c:v>7243.5959170067772</c:v>
                </c:pt>
                <c:pt idx="27">
                  <c:v>7243.976022941416</c:v>
                </c:pt>
                <c:pt idx="28">
                  <c:v>7246.8387188890065</c:v>
                </c:pt>
                <c:pt idx="29">
                  <c:v>7239.8532762124178</c:v>
                </c:pt>
                <c:pt idx="30">
                  <c:v>7243.4034789470443</c:v>
                </c:pt>
                <c:pt idx="31">
                  <c:v>7247.3401623061782</c:v>
                </c:pt>
                <c:pt idx="32">
                  <c:v>7254.4605705446784</c:v>
                </c:pt>
                <c:pt idx="33">
                  <c:v>7260.8828634417168</c:v>
                </c:pt>
                <c:pt idx="34">
                  <c:v>7266.6064872791785</c:v>
                </c:pt>
                <c:pt idx="35">
                  <c:v>7271.6308972381903</c:v>
                </c:pt>
                <c:pt idx="36">
                  <c:v>7292.1851306691824</c:v>
                </c:pt>
                <c:pt idx="37">
                  <c:v>7312.2146499451028</c:v>
                </c:pt>
              </c:numCache>
            </c:numRef>
          </c:val>
        </c:ser>
        <c:ser>
          <c:idx val="5"/>
          <c:order val="4"/>
          <c:tx>
            <c:strRef>
              <c:f>'Synthèse format 3ME'!$A$33</c:f>
              <c:strCache>
                <c:ptCount val="1"/>
                <c:pt idx="0">
                  <c:v>Autres (géothermie et cogé biogaz et biomasse) capex</c:v>
                </c:pt>
              </c:strCache>
            </c:strRef>
          </c:tx>
          <c:invertIfNegative val="0"/>
          <c:val>
            <c:numRef>
              <c:f>'Synthèse format 3ME'!$B$33:$AM$33</c:f>
              <c:numCache>
                <c:formatCode>General</c:formatCode>
                <c:ptCount val="38"/>
                <c:pt idx="0">
                  <c:v>377.91723576715674</c:v>
                </c:pt>
                <c:pt idx="1">
                  <c:v>431.32254675984848</c:v>
                </c:pt>
                <c:pt idx="2">
                  <c:v>484.69835378128403</c:v>
                </c:pt>
                <c:pt idx="3">
                  <c:v>537.80506362515962</c:v>
                </c:pt>
                <c:pt idx="4">
                  <c:v>590.70791365980267</c:v>
                </c:pt>
                <c:pt idx="5">
                  <c:v>643.65287196627969</c:v>
                </c:pt>
                <c:pt idx="6">
                  <c:v>696.29842163378567</c:v>
                </c:pt>
                <c:pt idx="7">
                  <c:v>748.57571013961353</c:v>
                </c:pt>
                <c:pt idx="8">
                  <c:v>800.01111232088738</c:v>
                </c:pt>
                <c:pt idx="9">
                  <c:v>850.40690037503998</c:v>
                </c:pt>
                <c:pt idx="10">
                  <c:v>900.33092133522882</c:v>
                </c:pt>
                <c:pt idx="11">
                  <c:v>949.78344764534779</c:v>
                </c:pt>
                <c:pt idx="12">
                  <c:v>999.54645205555437</c:v>
                </c:pt>
                <c:pt idx="13">
                  <c:v>1048.9279919109165</c:v>
                </c:pt>
                <c:pt idx="14">
                  <c:v>1097.929102367493</c:v>
                </c:pt>
                <c:pt idx="15">
                  <c:v>1146.550833506762</c:v>
                </c:pt>
                <c:pt idx="16">
                  <c:v>1194.3510935636505</c:v>
                </c:pt>
                <c:pt idx="17">
                  <c:v>1241.7311723115436</c:v>
                </c:pt>
                <c:pt idx="18">
                  <c:v>1289.2727065353988</c:v>
                </c:pt>
                <c:pt idx="19">
                  <c:v>1336.5221309967426</c:v>
                </c:pt>
                <c:pt idx="20">
                  <c:v>1375.8206240011757</c:v>
                </c:pt>
                <c:pt idx="21">
                  <c:v>1414.9937783983478</c:v>
                </c:pt>
                <c:pt idx="22">
                  <c:v>1456.7681251487313</c:v>
                </c:pt>
                <c:pt idx="23">
                  <c:v>1498.0164923211091</c:v>
                </c:pt>
                <c:pt idx="24">
                  <c:v>1538.6679608277002</c:v>
                </c:pt>
                <c:pt idx="25">
                  <c:v>1578.1180494776249</c:v>
                </c:pt>
                <c:pt idx="26">
                  <c:v>1617.5234725501543</c:v>
                </c:pt>
                <c:pt idx="27">
                  <c:v>1657.0765639134743</c:v>
                </c:pt>
                <c:pt idx="28">
                  <c:v>1697.9788491119816</c:v>
                </c:pt>
                <c:pt idx="29">
                  <c:v>1735.8719814534652</c:v>
                </c:pt>
                <c:pt idx="30">
                  <c:v>1778.0840239992792</c:v>
                </c:pt>
                <c:pt idx="31">
                  <c:v>1820.3879358437432</c:v>
                </c:pt>
                <c:pt idx="32">
                  <c:v>1862.7472358963216</c:v>
                </c:pt>
                <c:pt idx="33">
                  <c:v>1905.196239042353</c:v>
                </c:pt>
                <c:pt idx="34">
                  <c:v>1947.7341022613414</c:v>
                </c:pt>
                <c:pt idx="35">
                  <c:v>1990.3599819596473</c:v>
                </c:pt>
                <c:pt idx="36">
                  <c:v>2039.8411939762718</c:v>
                </c:pt>
                <c:pt idx="37">
                  <c:v>2089.7302352839861</c:v>
                </c:pt>
              </c:numCache>
            </c:numRef>
          </c:val>
        </c:ser>
        <c:ser>
          <c:idx val="9"/>
          <c:order val="5"/>
          <c:tx>
            <c:strRef>
              <c:f>'Synthèse format 3ME'!$A$38</c:f>
              <c:strCache>
                <c:ptCount val="1"/>
                <c:pt idx="0">
                  <c:v>Gaz de synthèse (méthanation) opex</c:v>
                </c:pt>
              </c:strCache>
            </c:strRef>
          </c:tx>
          <c:spPr>
            <a:solidFill>
              <a:schemeClr val="accent2">
                <a:lumMod val="75000"/>
              </a:schemeClr>
            </a:solidFill>
          </c:spPr>
          <c:invertIfNegative val="0"/>
          <c:val>
            <c:numRef>
              <c:f>'Synthèse format 3ME'!$B$38:$AM$38</c:f>
              <c:numCache>
                <c:formatCode>General</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272.32145515661989</c:v>
                </c:pt>
                <c:pt idx="30">
                  <c:v>545.22573685643579</c:v>
                </c:pt>
                <c:pt idx="31">
                  <c:v>818.71137652514835</c:v>
                </c:pt>
                <c:pt idx="32">
                  <c:v>1092.7769046741205</c:v>
                </c:pt>
                <c:pt idx="33">
                  <c:v>1367.4208509034129</c:v>
                </c:pt>
                <c:pt idx="34">
                  <c:v>1642.6417439041948</c:v>
                </c:pt>
                <c:pt idx="35">
                  <c:v>1918.4381114604967</c:v>
                </c:pt>
                <c:pt idx="36">
                  <c:v>2198.0647534581449</c:v>
                </c:pt>
                <c:pt idx="37">
                  <c:v>2479.0791990096236</c:v>
                </c:pt>
              </c:numCache>
            </c:numRef>
          </c:val>
        </c:ser>
        <c:ser>
          <c:idx val="10"/>
          <c:order val="6"/>
          <c:tx>
            <c:strRef>
              <c:f>'Synthèse format 3ME'!$A$39</c:f>
              <c:strCache>
                <c:ptCount val="1"/>
                <c:pt idx="0">
                  <c:v>Eolien (terrestre, en mer posé, en mer flottant)opex</c:v>
                </c:pt>
              </c:strCache>
            </c:strRef>
          </c:tx>
          <c:spPr>
            <a:solidFill>
              <a:schemeClr val="accent3"/>
            </a:solidFill>
          </c:spPr>
          <c:invertIfNegative val="0"/>
          <c:val>
            <c:numRef>
              <c:f>'Synthèse format 3ME'!$B$39:$AM$39</c:f>
              <c:numCache>
                <c:formatCode>General</c:formatCode>
                <c:ptCount val="38"/>
                <c:pt idx="0">
                  <c:v>655.88063367186896</c:v>
                </c:pt>
                <c:pt idx="1">
                  <c:v>895.95100927658427</c:v>
                </c:pt>
                <c:pt idx="2">
                  <c:v>1136.3046491053581</c:v>
                </c:pt>
                <c:pt idx="3">
                  <c:v>1376.0147897026261</c:v>
                </c:pt>
                <c:pt idx="4">
                  <c:v>1615.0853035538112</c:v>
                </c:pt>
                <c:pt idx="5">
                  <c:v>2079.3536220701353</c:v>
                </c:pt>
                <c:pt idx="6">
                  <c:v>2535.7743811075238</c:v>
                </c:pt>
                <c:pt idx="7">
                  <c:v>2984.351616876897</c:v>
                </c:pt>
                <c:pt idx="8">
                  <c:v>3425.0894220524387</c:v>
                </c:pt>
                <c:pt idx="9">
                  <c:v>3857.9919467604932</c:v>
                </c:pt>
                <c:pt idx="10">
                  <c:v>4283.0633995963099</c:v>
                </c:pt>
                <c:pt idx="11">
                  <c:v>4627.295922851391</c:v>
                </c:pt>
                <c:pt idx="12">
                  <c:v>4970.7826540250871</c:v>
                </c:pt>
                <c:pt idx="13">
                  <c:v>5309.9347604624481</c:v>
                </c:pt>
                <c:pt idx="14">
                  <c:v>5644.7622409121486</c:v>
                </c:pt>
                <c:pt idx="15">
                  <c:v>5975.2752302495292</c:v>
                </c:pt>
                <c:pt idx="16">
                  <c:v>6300.9176769681089</c:v>
                </c:pt>
                <c:pt idx="17">
                  <c:v>6622.2014832534569</c:v>
                </c:pt>
                <c:pt idx="18">
                  <c:v>6944.7059449842654</c:v>
                </c:pt>
                <c:pt idx="19">
                  <c:v>7267.1117186135707</c:v>
                </c:pt>
                <c:pt idx="20">
                  <c:v>7571.7509904864637</c:v>
                </c:pt>
                <c:pt idx="21">
                  <c:v>7875.4562367241633</c:v>
                </c:pt>
                <c:pt idx="22">
                  <c:v>8179.8166300538851</c:v>
                </c:pt>
                <c:pt idx="23">
                  <c:v>8484.8460259587409</c:v>
                </c:pt>
                <c:pt idx="24">
                  <c:v>8790.5584848873132</c:v>
                </c:pt>
                <c:pt idx="25">
                  <c:v>8998.24851048663</c:v>
                </c:pt>
                <c:pt idx="26">
                  <c:v>9212.3499807414773</c:v>
                </c:pt>
                <c:pt idx="27">
                  <c:v>9432.877597727047</c:v>
                </c:pt>
                <c:pt idx="28">
                  <c:v>9659.8462866504869</c:v>
                </c:pt>
                <c:pt idx="29">
                  <c:v>9879.6727437450372</c:v>
                </c:pt>
                <c:pt idx="30">
                  <c:v>10117.069230969179</c:v>
                </c:pt>
                <c:pt idx="31">
                  <c:v>10386.4225129152</c:v>
                </c:pt>
                <c:pt idx="32">
                  <c:v>10659.64007249082</c:v>
                </c:pt>
                <c:pt idx="33">
                  <c:v>10936.717086622224</c:v>
                </c:pt>
                <c:pt idx="34">
                  <c:v>11217.648735009923</c:v>
                </c:pt>
                <c:pt idx="35">
                  <c:v>11502.430199796967</c:v>
                </c:pt>
                <c:pt idx="36">
                  <c:v>11842.33339718798</c:v>
                </c:pt>
                <c:pt idx="37">
                  <c:v>12188.742087412073</c:v>
                </c:pt>
              </c:numCache>
            </c:numRef>
          </c:val>
        </c:ser>
        <c:ser>
          <c:idx val="11"/>
          <c:order val="7"/>
          <c:tx>
            <c:strRef>
              <c:f>'Synthèse format 3ME'!$A$40</c:f>
              <c:strCache>
                <c:ptCount val="1"/>
                <c:pt idx="0">
                  <c:v>Solaire (PV, CSP)opex</c:v>
                </c:pt>
              </c:strCache>
            </c:strRef>
          </c:tx>
          <c:invertIfNegative val="0"/>
          <c:val>
            <c:numRef>
              <c:f>'Synthèse format 3ME'!$B$40:$AM$40</c:f>
              <c:numCache>
                <c:formatCode>General</c:formatCode>
                <c:ptCount val="38"/>
                <c:pt idx="0">
                  <c:v>181.03011961386738</c:v>
                </c:pt>
                <c:pt idx="1">
                  <c:v>303.63943581984802</c:v>
                </c:pt>
                <c:pt idx="2">
                  <c:v>425.21674658616774</c:v>
                </c:pt>
                <c:pt idx="3">
                  <c:v>545.76413470146178</c:v>
                </c:pt>
                <c:pt idx="4">
                  <c:v>665.2837085576291</c:v>
                </c:pt>
                <c:pt idx="5">
                  <c:v>783.77760246345542</c:v>
                </c:pt>
                <c:pt idx="6">
                  <c:v>901.247977001344</c:v>
                </c:pt>
                <c:pt idx="7">
                  <c:v>1017.6970194279369</c:v>
                </c:pt>
                <c:pt idx="8">
                  <c:v>1133.1269441191212</c:v>
                </c:pt>
                <c:pt idx="9">
                  <c:v>1247.5399930596275</c:v>
                </c:pt>
                <c:pt idx="10">
                  <c:v>1360.9384363771564</c:v>
                </c:pt>
                <c:pt idx="11">
                  <c:v>1473.3245729206906</c:v>
                </c:pt>
                <c:pt idx="12">
                  <c:v>1586.7653739603552</c:v>
                </c:pt>
                <c:pt idx="13">
                  <c:v>1699.5189188218078</c:v>
                </c:pt>
                <c:pt idx="14">
                  <c:v>1811.5905952253324</c:v>
                </c:pt>
                <c:pt idx="15">
                  <c:v>1922.985865951505</c:v>
                </c:pt>
                <c:pt idx="16">
                  <c:v>2033.4255920759913</c:v>
                </c:pt>
                <c:pt idx="17">
                  <c:v>2143.1652656575661</c:v>
                </c:pt>
                <c:pt idx="18">
                  <c:v>2253.366250334675</c:v>
                </c:pt>
                <c:pt idx="19">
                  <c:v>2363.3657900581711</c:v>
                </c:pt>
                <c:pt idx="20">
                  <c:v>2473.171006347447</c:v>
                </c:pt>
                <c:pt idx="21">
                  <c:v>2582.7891245156748</c:v>
                </c:pt>
                <c:pt idx="22">
                  <c:v>2692.2274758361473</c:v>
                </c:pt>
                <c:pt idx="23">
                  <c:v>2801.4934997647006</c:v>
                </c:pt>
                <c:pt idx="24">
                  <c:v>2910.5947462174345</c:v>
                </c:pt>
                <c:pt idx="25">
                  <c:v>3019.5388779028863</c:v>
                </c:pt>
                <c:pt idx="26">
                  <c:v>3101.1825882034659</c:v>
                </c:pt>
                <c:pt idx="27">
                  <c:v>3183.1342150012306</c:v>
                </c:pt>
                <c:pt idx="28">
                  <c:v>3265.4017614960167</c:v>
                </c:pt>
                <c:pt idx="29">
                  <c:v>3340.9549088877848</c:v>
                </c:pt>
                <c:pt idx="30">
                  <c:v>3422.5742314919007</c:v>
                </c:pt>
                <c:pt idx="31">
                  <c:v>3504.3562548323789</c:v>
                </c:pt>
                <c:pt idx="32">
                  <c:v>3586.2983565188788</c:v>
                </c:pt>
                <c:pt idx="33">
                  <c:v>3668.3979139977046</c:v>
                </c:pt>
                <c:pt idx="34">
                  <c:v>3750.6523047742367</c:v>
                </c:pt>
                <c:pt idx="35">
                  <c:v>3833.0589066137863</c:v>
                </c:pt>
                <c:pt idx="36">
                  <c:v>3942.3546956725991</c:v>
                </c:pt>
                <c:pt idx="37">
                  <c:v>4053.2339824741221</c:v>
                </c:pt>
              </c:numCache>
            </c:numRef>
          </c:val>
        </c:ser>
        <c:ser>
          <c:idx val="12"/>
          <c:order val="8"/>
          <c:tx>
            <c:strRef>
              <c:f>'Synthèse format 3ME'!$A$41</c:f>
              <c:strCache>
                <c:ptCount val="1"/>
                <c:pt idx="0">
                  <c:v>Hydraulique et énergies marines opex</c:v>
                </c:pt>
              </c:strCache>
            </c:strRef>
          </c:tx>
          <c:invertIfNegative val="0"/>
          <c:val>
            <c:numRef>
              <c:f>'Synthèse format 3ME'!$B$41:$AM$41</c:f>
              <c:numCache>
                <c:formatCode>General</c:formatCode>
                <c:ptCount val="38"/>
                <c:pt idx="0">
                  <c:v>2354.9023703255825</c:v>
                </c:pt>
                <c:pt idx="1">
                  <c:v>2401.6441594947046</c:v>
                </c:pt>
                <c:pt idx="2">
                  <c:v>2447.4517058005094</c:v>
                </c:pt>
                <c:pt idx="3">
                  <c:v>2492.3254838434959</c:v>
                </c:pt>
                <c:pt idx="4">
                  <c:v>2536.2659713927733</c:v>
                </c:pt>
                <c:pt idx="5">
                  <c:v>2579.273649348072</c:v>
                </c:pt>
                <c:pt idx="6">
                  <c:v>2621.3490017369668</c:v>
                </c:pt>
                <c:pt idx="7">
                  <c:v>2662.49251574754</c:v>
                </c:pt>
                <c:pt idx="8">
                  <c:v>2702.7046817964133</c:v>
                </c:pt>
                <c:pt idx="9">
                  <c:v>2741.9859936317835</c:v>
                </c:pt>
                <c:pt idx="10">
                  <c:v>2780.336948470826</c:v>
                </c:pt>
                <c:pt idx="11">
                  <c:v>2817.7580471705555</c:v>
                </c:pt>
                <c:pt idx="12">
                  <c:v>2857.8769911877716</c:v>
                </c:pt>
                <c:pt idx="13">
                  <c:v>2897.1331200605305</c:v>
                </c:pt>
                <c:pt idx="14">
                  <c:v>2935.527595950236</c:v>
                </c:pt>
                <c:pt idx="15">
                  <c:v>2973.0615950872625</c:v>
                </c:pt>
                <c:pt idx="16">
                  <c:v>3009.3414772807546</c:v>
                </c:pt>
                <c:pt idx="17">
                  <c:v>3044.755747117897</c:v>
                </c:pt>
                <c:pt idx="18">
                  <c:v>3080.646087620677</c:v>
                </c:pt>
                <c:pt idx="19">
                  <c:v>3116.0850705141565</c:v>
                </c:pt>
                <c:pt idx="20">
                  <c:v>3151.0742252602336</c:v>
                </c:pt>
                <c:pt idx="21">
                  <c:v>3185.615102587828</c:v>
                </c:pt>
                <c:pt idx="22">
                  <c:v>3219.7092751312225</c:v>
                </c:pt>
                <c:pt idx="23">
                  <c:v>3253.3583380849727</c:v>
                </c:pt>
                <c:pt idx="24">
                  <c:v>3286.5639098734719</c:v>
                </c:pt>
                <c:pt idx="25">
                  <c:v>3319.3276328332513</c:v>
                </c:pt>
                <c:pt idx="26">
                  <c:v>3333.7593538578594</c:v>
                </c:pt>
                <c:pt idx="27">
                  <c:v>3347.9362800725917</c:v>
                </c:pt>
                <c:pt idx="28">
                  <c:v>3361.8601152451247</c:v>
                </c:pt>
                <c:pt idx="29">
                  <c:v>3369.5102674695627</c:v>
                </c:pt>
                <c:pt idx="30">
                  <c:v>3382.006171474899</c:v>
                </c:pt>
                <c:pt idx="31">
                  <c:v>3394.6349769864437</c:v>
                </c:pt>
                <c:pt idx="32">
                  <c:v>3408.2254381664125</c:v>
                </c:pt>
                <c:pt idx="33">
                  <c:v>3421.6731540628894</c:v>
                </c:pt>
                <c:pt idx="34">
                  <c:v>3434.9777212938084</c:v>
                </c:pt>
                <c:pt idx="35">
                  <c:v>3448.138738631671</c:v>
                </c:pt>
                <c:pt idx="36">
                  <c:v>3480.4689987287402</c:v>
                </c:pt>
                <c:pt idx="37">
                  <c:v>3512.8638307397719</c:v>
                </c:pt>
              </c:numCache>
            </c:numRef>
          </c:val>
        </c:ser>
        <c:ser>
          <c:idx val="13"/>
          <c:order val="9"/>
          <c:tx>
            <c:strRef>
              <c:f>'Synthèse format 3ME'!$A$42</c:f>
              <c:strCache>
                <c:ptCount val="1"/>
                <c:pt idx="0">
                  <c:v>Autres (géothermie et cogé biogaz et biomasse) opex</c:v>
                </c:pt>
              </c:strCache>
            </c:strRef>
          </c:tx>
          <c:invertIfNegative val="0"/>
          <c:val>
            <c:numRef>
              <c:f>'Synthèse format 3ME'!$B$42:$AM$42</c:f>
              <c:numCache>
                <c:formatCode>General</c:formatCode>
                <c:ptCount val="38"/>
                <c:pt idx="0">
                  <c:v>229.28912884255641</c:v>
                </c:pt>
                <c:pt idx="1">
                  <c:v>268.32099308514159</c:v>
                </c:pt>
                <c:pt idx="2">
                  <c:v>307.37397415584189</c:v>
                </c:pt>
                <c:pt idx="3">
                  <c:v>346.28755625639326</c:v>
                </c:pt>
                <c:pt idx="4">
                  <c:v>385.062301392878</c:v>
                </c:pt>
                <c:pt idx="5">
                  <c:v>423.69877939562639</c:v>
                </c:pt>
                <c:pt idx="6">
                  <c:v>462.19756805413408</c:v>
                </c:pt>
                <c:pt idx="7">
                  <c:v>500.55925325542358</c:v>
                </c:pt>
                <c:pt idx="8">
                  <c:v>538.78442912593778</c:v>
                </c:pt>
                <c:pt idx="9">
                  <c:v>576.87369817705894</c:v>
                </c:pt>
                <c:pt idx="10">
                  <c:v>614.82767145433979</c:v>
                </c:pt>
                <c:pt idx="11">
                  <c:v>652.64696869053159</c:v>
                </c:pt>
                <c:pt idx="12">
                  <c:v>691.08324025863692</c:v>
                </c:pt>
                <c:pt idx="13">
                  <c:v>729.47260087967743</c:v>
                </c:pt>
                <c:pt idx="14">
                  <c:v>767.81650868305724</c:v>
                </c:pt>
                <c:pt idx="15">
                  <c:v>806.11644292769245</c:v>
                </c:pt>
                <c:pt idx="16">
                  <c:v>844.27671752535878</c:v>
                </c:pt>
                <c:pt idx="17">
                  <c:v>882.38662324278084</c:v>
                </c:pt>
                <c:pt idx="18">
                  <c:v>920.73162604364211</c:v>
                </c:pt>
                <c:pt idx="19">
                  <c:v>959.08497217803426</c:v>
                </c:pt>
                <c:pt idx="20">
                  <c:v>994.38825991798467</c:v>
                </c:pt>
                <c:pt idx="21">
                  <c:v>1029.7902057553945</c:v>
                </c:pt>
                <c:pt idx="22">
                  <c:v>1065.2916062697154</c:v>
                </c:pt>
                <c:pt idx="23">
                  <c:v>1100.8944794090403</c:v>
                </c:pt>
                <c:pt idx="24">
                  <c:v>1136.6008734180211</c:v>
                </c:pt>
                <c:pt idx="25">
                  <c:v>1172.4128674150468</c:v>
                </c:pt>
                <c:pt idx="26">
                  <c:v>1208.3325719826128</c:v>
                </c:pt>
                <c:pt idx="27">
                  <c:v>1244.362129771177</c:v>
                </c:pt>
                <c:pt idx="28">
                  <c:v>1280.5037161168034</c:v>
                </c:pt>
                <c:pt idx="29">
                  <c:v>1314.5827664469834</c:v>
                </c:pt>
                <c:pt idx="30">
                  <c:v>1350.5630500911209</c:v>
                </c:pt>
                <c:pt idx="31">
                  <c:v>1386.6102836141711</c:v>
                </c:pt>
                <c:pt idx="32">
                  <c:v>1422.7237770376955</c:v>
                </c:pt>
                <c:pt idx="33">
                  <c:v>1458.9028399466733</c:v>
                </c:pt>
                <c:pt idx="34">
                  <c:v>1495.1467814935709</c:v>
                </c:pt>
                <c:pt idx="35">
                  <c:v>1531.4549104021066</c:v>
                </c:pt>
                <c:pt idx="36">
                  <c:v>1575.8806453736292</c:v>
                </c:pt>
                <c:pt idx="37">
                  <c:v>1620.751770909093</c:v>
                </c:pt>
              </c:numCache>
            </c:numRef>
          </c:val>
        </c:ser>
        <c:ser>
          <c:idx val="17"/>
          <c:order val="10"/>
          <c:tx>
            <c:strRef>
              <c:f>'Synthèse format 3ME'!$A$47</c:f>
              <c:strCache>
                <c:ptCount val="1"/>
                <c:pt idx="0">
                  <c:v>CAPEX + OPEX systèmes non-EnR M€</c:v>
                </c:pt>
              </c:strCache>
            </c:strRef>
          </c:tx>
          <c:invertIfNegative val="0"/>
          <c:val>
            <c:numRef>
              <c:f>'Synthèse format 3ME'!$B$47:$AM$47</c:f>
              <c:numCache>
                <c:formatCode>General</c:formatCode>
                <c:ptCount val="38"/>
                <c:pt idx="0">
                  <c:v>11228.806418558173</c:v>
                </c:pt>
                <c:pt idx="1">
                  <c:v>10956.967095523811</c:v>
                </c:pt>
                <c:pt idx="2">
                  <c:v>10686.135773157705</c:v>
                </c:pt>
                <c:pt idx="3">
                  <c:v>10423.823010911612</c:v>
                </c:pt>
                <c:pt idx="4">
                  <c:v>10169.21427300659</c:v>
                </c:pt>
                <c:pt idx="5">
                  <c:v>9928.8000400263445</c:v>
                </c:pt>
                <c:pt idx="6">
                  <c:v>9684.5352364919527</c:v>
                </c:pt>
                <c:pt idx="7">
                  <c:v>9434.0841416893236</c:v>
                </c:pt>
                <c:pt idx="8">
                  <c:v>9164.2176588067705</c:v>
                </c:pt>
                <c:pt idx="9">
                  <c:v>8874.1952235334556</c:v>
                </c:pt>
                <c:pt idx="10">
                  <c:v>8582.4262285855311</c:v>
                </c:pt>
                <c:pt idx="11">
                  <c:v>8288.8996287519403</c:v>
                </c:pt>
                <c:pt idx="12">
                  <c:v>8023.7954521052252</c:v>
                </c:pt>
                <c:pt idx="13">
                  <c:v>7754.6646948526468</c:v>
                </c:pt>
                <c:pt idx="14">
                  <c:v>7481.4764649486788</c:v>
                </c:pt>
                <c:pt idx="15">
                  <c:v>7204.199427365169</c:v>
                </c:pt>
                <c:pt idx="16">
                  <c:v>6915.4573637582489</c:v>
                </c:pt>
                <c:pt idx="17">
                  <c:v>6623.2107211806579</c:v>
                </c:pt>
                <c:pt idx="18">
                  <c:v>6335.9474989728233</c:v>
                </c:pt>
                <c:pt idx="19">
                  <c:v>6044.3335142073684</c:v>
                </c:pt>
                <c:pt idx="20">
                  <c:v>5748.3265920842005</c:v>
                </c:pt>
                <c:pt idx="21">
                  <c:v>5447.4016612799387</c:v>
                </c:pt>
                <c:pt idx="22">
                  <c:v>5162.5790916281776</c:v>
                </c:pt>
                <c:pt idx="23">
                  <c:v>4866.154873617621</c:v>
                </c:pt>
                <c:pt idx="24">
                  <c:v>4558.9815857834601</c:v>
                </c:pt>
                <c:pt idx="25">
                  <c:v>4238.9740777739262</c:v>
                </c:pt>
                <c:pt idx="26">
                  <c:v>3914.0526981499615</c:v>
                </c:pt>
                <c:pt idx="27">
                  <c:v>3584.9908073837123</c:v>
                </c:pt>
                <c:pt idx="28">
                  <c:v>3255.9724057834392</c:v>
                </c:pt>
                <c:pt idx="29">
                  <c:v>2903.3860735704611</c:v>
                </c:pt>
                <c:pt idx="30">
                  <c:v>2566.3257998734289</c:v>
                </c:pt>
                <c:pt idx="31">
                  <c:v>2221.8283929819913</c:v>
                </c:pt>
                <c:pt idx="32">
                  <c:v>1869.8506350330199</c:v>
                </c:pt>
                <c:pt idx="33">
                  <c:v>1510.5126270282876</c:v>
                </c:pt>
                <c:pt idx="34">
                  <c:v>1143.8364532761611</c:v>
                </c:pt>
                <c:pt idx="35">
                  <c:v>769.84421274203646</c:v>
                </c:pt>
                <c:pt idx="36">
                  <c:v>393.62687198517733</c:v>
                </c:pt>
                <c:pt idx="37">
                  <c:v>0</c:v>
                </c:pt>
              </c:numCache>
            </c:numRef>
          </c:val>
        </c:ser>
        <c:dLbls>
          <c:showLegendKey val="0"/>
          <c:showVal val="0"/>
          <c:showCatName val="0"/>
          <c:showSerName val="0"/>
          <c:showPercent val="0"/>
          <c:showBubbleSize val="0"/>
        </c:dLbls>
        <c:gapWidth val="150"/>
        <c:overlap val="100"/>
        <c:axId val="106538880"/>
        <c:axId val="106540416"/>
      </c:barChart>
      <c:catAx>
        <c:axId val="106538880"/>
        <c:scaling>
          <c:orientation val="minMax"/>
        </c:scaling>
        <c:delete val="0"/>
        <c:axPos val="b"/>
        <c:majorTickMark val="out"/>
        <c:minorTickMark val="none"/>
        <c:tickLblPos val="nextTo"/>
        <c:crossAx val="106540416"/>
        <c:crosses val="autoZero"/>
        <c:auto val="1"/>
        <c:lblAlgn val="ctr"/>
        <c:lblOffset val="100"/>
        <c:noMultiLvlLbl val="0"/>
      </c:catAx>
      <c:valAx>
        <c:axId val="106540416"/>
        <c:scaling>
          <c:orientation val="minMax"/>
        </c:scaling>
        <c:delete val="0"/>
        <c:axPos val="l"/>
        <c:majorGridlines/>
        <c:numFmt formatCode="General" sourceLinked="1"/>
        <c:majorTickMark val="out"/>
        <c:minorTickMark val="none"/>
        <c:tickLblPos val="nextTo"/>
        <c:crossAx val="106538880"/>
        <c:crosses val="autoZero"/>
        <c:crossBetween val="between"/>
      </c:valAx>
    </c:plotArea>
    <c:legend>
      <c:legendPos val="r"/>
      <c:layout/>
      <c:overlay val="0"/>
      <c:txPr>
        <a:bodyPr/>
        <a:lstStyle/>
        <a:p>
          <a:pPr>
            <a:defRPr sz="800"/>
          </a:pPr>
          <a:endParaRPr lang="fr-FR"/>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'Synthèse format 3ME'!$A$65</c:f>
              <c:strCache>
                <c:ptCount val="1"/>
                <c:pt idx="0">
                  <c:v>Gaz de synthèse (méthanation)</c:v>
                </c:pt>
              </c:strCache>
            </c:strRef>
          </c:tx>
          <c:marker>
            <c:symbol val="none"/>
          </c:marker>
          <c:cat>
            <c:numRef>
              <c:f>'Synthèse format 3ME'!$B$64:$AM$64</c:f>
              <c:numCache>
                <c:formatCode>General</c:formatCode>
                <c:ptCount val="38"/>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pt idx="36">
                  <c:v>2049</c:v>
                </c:pt>
                <c:pt idx="37">
                  <c:v>2050</c:v>
                </c:pt>
              </c:numCache>
            </c:numRef>
          </c:cat>
          <c:val>
            <c:numRef>
              <c:f>'Synthèse format 3ME'!$B$65:$AM$65</c:f>
              <c:numCache>
                <c:formatCode>General</c:formatCode>
                <c:ptCount val="38"/>
                <c:pt idx="29">
                  <c:v>313.29985442212865</c:v>
                </c:pt>
                <c:pt idx="30">
                  <c:v>313.39921432781745</c:v>
                </c:pt>
                <c:pt idx="31">
                  <c:v>313.49786911559653</c:v>
                </c:pt>
                <c:pt idx="32">
                  <c:v>313.59462859675938</c:v>
                </c:pt>
                <c:pt idx="33">
                  <c:v>313.69073502684279</c:v>
                </c:pt>
                <c:pt idx="34">
                  <c:v>313.78618809896602</c:v>
                </c:pt>
                <c:pt idx="35">
                  <c:v>313.880987505691</c:v>
                </c:pt>
                <c:pt idx="36">
                  <c:v>314.42487175133914</c:v>
                </c:pt>
                <c:pt idx="37">
                  <c:v>314.96825000638103</c:v>
                </c:pt>
              </c:numCache>
            </c:numRef>
          </c:val>
          <c:smooth val="0"/>
        </c:ser>
        <c:ser>
          <c:idx val="2"/>
          <c:order val="1"/>
          <c:tx>
            <c:strRef>
              <c:f>'Synthèse format 3ME'!$A$66</c:f>
              <c:strCache>
                <c:ptCount val="1"/>
                <c:pt idx="0">
                  <c:v>Eolien (terrestre, en mer posé, en mer flottant)</c:v>
                </c:pt>
              </c:strCache>
            </c:strRef>
          </c:tx>
          <c:marker>
            <c:symbol val="none"/>
          </c:marker>
          <c:cat>
            <c:numRef>
              <c:f>'Synthèse format 3ME'!$B$64:$AM$64</c:f>
              <c:numCache>
                <c:formatCode>General</c:formatCode>
                <c:ptCount val="38"/>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pt idx="36">
                  <c:v>2049</c:v>
                </c:pt>
                <c:pt idx="37">
                  <c:v>2050</c:v>
                </c:pt>
              </c:numCache>
            </c:numRef>
          </c:cat>
          <c:val>
            <c:numRef>
              <c:f>'Synthèse format 3ME'!$B$66:$AM$66</c:f>
              <c:numCache>
                <c:formatCode>General</c:formatCode>
                <c:ptCount val="38"/>
                <c:pt idx="0">
                  <c:v>112.94832383374623</c:v>
                </c:pt>
                <c:pt idx="1">
                  <c:v>112.83355718400426</c:v>
                </c:pt>
                <c:pt idx="2">
                  <c:v>112.77943050058396</c:v>
                </c:pt>
                <c:pt idx="3">
                  <c:v>112.67563305372254</c:v>
                </c:pt>
                <c:pt idx="4">
                  <c:v>112.55673287930617</c:v>
                </c:pt>
                <c:pt idx="5">
                  <c:v>121.05539509509163</c:v>
                </c:pt>
                <c:pt idx="6">
                  <c:v>127.25781319944906</c:v>
                </c:pt>
                <c:pt idx="7">
                  <c:v>131.86556040118623</c:v>
                </c:pt>
                <c:pt idx="8">
                  <c:v>135.28185727996396</c:v>
                </c:pt>
                <c:pt idx="9">
                  <c:v>137.79211998604362</c:v>
                </c:pt>
                <c:pt idx="10">
                  <c:v>139.65160534417709</c:v>
                </c:pt>
                <c:pt idx="11">
                  <c:v>139.54141610607306</c:v>
                </c:pt>
                <c:pt idx="12">
                  <c:v>139.40564268239882</c:v>
                </c:pt>
                <c:pt idx="13">
                  <c:v>139.16314819096229</c:v>
                </c:pt>
                <c:pt idx="14">
                  <c:v>138.83325866009159</c:v>
                </c:pt>
                <c:pt idx="15">
                  <c:v>138.43094234038605</c:v>
                </c:pt>
                <c:pt idx="16">
                  <c:v>137.93694249293873</c:v>
                </c:pt>
                <c:pt idx="17">
                  <c:v>137.391451729647</c:v>
                </c:pt>
                <c:pt idx="18">
                  <c:v>136.92494851499455</c:v>
                </c:pt>
                <c:pt idx="19">
                  <c:v>136.49288245643189</c:v>
                </c:pt>
                <c:pt idx="20">
                  <c:v>135.60024189220024</c:v>
                </c:pt>
                <c:pt idx="21">
                  <c:v>134.74983073655707</c:v>
                </c:pt>
                <c:pt idx="22">
                  <c:v>134.10062578212259</c:v>
                </c:pt>
                <c:pt idx="23">
                  <c:v>133.49420959484098</c:v>
                </c:pt>
                <c:pt idx="24">
                  <c:v>132.92250527269351</c:v>
                </c:pt>
                <c:pt idx="25">
                  <c:v>131.02928230084868</c:v>
                </c:pt>
                <c:pt idx="26">
                  <c:v>129.35522111320529</c:v>
                </c:pt>
                <c:pt idx="27">
                  <c:v>127.88571420103554</c:v>
                </c:pt>
                <c:pt idx="28">
                  <c:v>126.64590004007944</c:v>
                </c:pt>
                <c:pt idx="29">
                  <c:v>125.37716947239412</c:v>
                </c:pt>
                <c:pt idx="30">
                  <c:v>124.47951227566568</c:v>
                </c:pt>
                <c:pt idx="31">
                  <c:v>123.99454964488589</c:v>
                </c:pt>
                <c:pt idx="32">
                  <c:v>123.58717653136429</c:v>
                </c:pt>
                <c:pt idx="33">
                  <c:v>123.25196138226299</c:v>
                </c:pt>
                <c:pt idx="34">
                  <c:v>122.98295695517791</c:v>
                </c:pt>
                <c:pt idx="35">
                  <c:v>122.77484654759294</c:v>
                </c:pt>
                <c:pt idx="36">
                  <c:v>123.07260140015443</c:v>
                </c:pt>
                <c:pt idx="37">
                  <c:v>123.42234343607215</c:v>
                </c:pt>
              </c:numCache>
            </c:numRef>
          </c:val>
          <c:smooth val="0"/>
        </c:ser>
        <c:ser>
          <c:idx val="3"/>
          <c:order val="2"/>
          <c:tx>
            <c:strRef>
              <c:f>'Synthèse format 3ME'!$A$67</c:f>
              <c:strCache>
                <c:ptCount val="1"/>
                <c:pt idx="0">
                  <c:v>Solaire (PV, CSP)</c:v>
                </c:pt>
              </c:strCache>
            </c:strRef>
          </c:tx>
          <c:marker>
            <c:symbol val="none"/>
          </c:marker>
          <c:cat>
            <c:numRef>
              <c:f>'Synthèse format 3ME'!$B$64:$AM$64</c:f>
              <c:numCache>
                <c:formatCode>General</c:formatCode>
                <c:ptCount val="38"/>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pt idx="36">
                  <c:v>2049</c:v>
                </c:pt>
                <c:pt idx="37">
                  <c:v>2050</c:v>
                </c:pt>
              </c:numCache>
            </c:numRef>
          </c:cat>
          <c:val>
            <c:numRef>
              <c:f>'Synthèse format 3ME'!$B$67:$AM$67</c:f>
              <c:numCache>
                <c:formatCode>General</c:formatCode>
                <c:ptCount val="38"/>
                <c:pt idx="0">
                  <c:v>219.90529563483608</c:v>
                </c:pt>
                <c:pt idx="1">
                  <c:v>218.47667210869034</c:v>
                </c:pt>
                <c:pt idx="2">
                  <c:v>216.85588428137223</c:v>
                </c:pt>
                <c:pt idx="3">
                  <c:v>215.1969942361346</c:v>
                </c:pt>
                <c:pt idx="4">
                  <c:v>213.53616227882719</c:v>
                </c:pt>
                <c:pt idx="5">
                  <c:v>211.907640988716</c:v>
                </c:pt>
                <c:pt idx="6">
                  <c:v>210.27078405016167</c:v>
                </c:pt>
                <c:pt idx="7">
                  <c:v>208.62214033870396</c:v>
                </c:pt>
                <c:pt idx="8">
                  <c:v>206.92257719244279</c:v>
                </c:pt>
                <c:pt idx="9">
                  <c:v>205.16593018233007</c:v>
                </c:pt>
                <c:pt idx="10">
                  <c:v>203.40745797813378</c:v>
                </c:pt>
                <c:pt idx="11">
                  <c:v>201.6476909338011</c:v>
                </c:pt>
                <c:pt idx="12">
                  <c:v>199.99415275882365</c:v>
                </c:pt>
                <c:pt idx="13">
                  <c:v>198.34058855740284</c:v>
                </c:pt>
                <c:pt idx="14">
                  <c:v>196.68720664847305</c:v>
                </c:pt>
                <c:pt idx="15">
                  <c:v>195.03416719221568</c:v>
                </c:pt>
                <c:pt idx="16">
                  <c:v>193.35056541940881</c:v>
                </c:pt>
                <c:pt idx="17">
                  <c:v>191.66730572332582</c:v>
                </c:pt>
                <c:pt idx="18">
                  <c:v>190.08288517675661</c:v>
                </c:pt>
                <c:pt idx="19">
                  <c:v>188.54951473464286</c:v>
                </c:pt>
                <c:pt idx="20">
                  <c:v>187.06025902341855</c:v>
                </c:pt>
                <c:pt idx="21">
                  <c:v>185.60674589704641</c:v>
                </c:pt>
                <c:pt idx="22">
                  <c:v>184.30831057614475</c:v>
                </c:pt>
                <c:pt idx="23">
                  <c:v>183.01171832482498</c:v>
                </c:pt>
                <c:pt idx="24">
                  <c:v>181.71332877396435</c:v>
                </c:pt>
                <c:pt idx="25">
                  <c:v>180.38818590364494</c:v>
                </c:pt>
                <c:pt idx="26">
                  <c:v>176.26084662975498</c:v>
                </c:pt>
                <c:pt idx="27">
                  <c:v>172.4036170186763</c:v>
                </c:pt>
                <c:pt idx="28">
                  <c:v>168.83413914582141</c:v>
                </c:pt>
                <c:pt idx="29">
                  <c:v>165.28739173109383</c:v>
                </c:pt>
                <c:pt idx="30">
                  <c:v>162.15784964382729</c:v>
                </c:pt>
                <c:pt idx="31">
                  <c:v>159.2012172131183</c:v>
                </c:pt>
                <c:pt idx="32">
                  <c:v>156.40073833322506</c:v>
                </c:pt>
                <c:pt idx="33">
                  <c:v>153.74389606303887</c:v>
                </c:pt>
                <c:pt idx="34">
                  <c:v>151.21848291120585</c:v>
                </c:pt>
                <c:pt idx="35">
                  <c:v>148.81363059838225</c:v>
                </c:pt>
                <c:pt idx="36">
                  <c:v>146.96937014821967</c:v>
                </c:pt>
                <c:pt idx="37">
                  <c:v>145.22741289694</c:v>
                </c:pt>
              </c:numCache>
            </c:numRef>
          </c:val>
          <c:smooth val="0"/>
        </c:ser>
        <c:ser>
          <c:idx val="4"/>
          <c:order val="3"/>
          <c:tx>
            <c:strRef>
              <c:f>'Synthèse format 3ME'!$A$68</c:f>
              <c:strCache>
                <c:ptCount val="1"/>
                <c:pt idx="0">
                  <c:v>Hydraulique et énergies marines</c:v>
                </c:pt>
              </c:strCache>
            </c:strRef>
          </c:tx>
          <c:marker>
            <c:symbol val="none"/>
          </c:marker>
          <c:cat>
            <c:numRef>
              <c:f>'Synthèse format 3ME'!$B$64:$AM$64</c:f>
              <c:numCache>
                <c:formatCode>General</c:formatCode>
                <c:ptCount val="38"/>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pt idx="36">
                  <c:v>2049</c:v>
                </c:pt>
                <c:pt idx="37">
                  <c:v>2050</c:v>
                </c:pt>
              </c:numCache>
            </c:numRef>
          </c:cat>
          <c:val>
            <c:numRef>
              <c:f>'Synthèse format 3ME'!$B$68:$AM$68</c:f>
              <c:numCache>
                <c:formatCode>General</c:formatCode>
                <c:ptCount val="38"/>
                <c:pt idx="0">
                  <c:v>108.83523273960961</c:v>
                </c:pt>
                <c:pt idx="1">
                  <c:v>111.06531508228309</c:v>
                </c:pt>
                <c:pt idx="2">
                  <c:v>113.20258899758547</c:v>
                </c:pt>
                <c:pt idx="3">
                  <c:v>115.26917303828384</c:v>
                </c:pt>
                <c:pt idx="4">
                  <c:v>117.26720482408695</c:v>
                </c:pt>
                <c:pt idx="5">
                  <c:v>119.21906565903707</c:v>
                </c:pt>
                <c:pt idx="6">
                  <c:v>121.07952238865987</c:v>
                </c:pt>
                <c:pt idx="7">
                  <c:v>122.84349344240775</c:v>
                </c:pt>
                <c:pt idx="8">
                  <c:v>124.47158855428977</c:v>
                </c:pt>
                <c:pt idx="9">
                  <c:v>125.95808362953564</c:v>
                </c:pt>
                <c:pt idx="10">
                  <c:v>127.359054539977</c:v>
                </c:pt>
                <c:pt idx="11">
                  <c:v>128.67605974249432</c:v>
                </c:pt>
                <c:pt idx="12">
                  <c:v>130.01777043212334</c:v>
                </c:pt>
                <c:pt idx="13">
                  <c:v>131.27914546508111</c:v>
                </c:pt>
                <c:pt idx="14">
                  <c:v>132.46164106600824</c:v>
                </c:pt>
                <c:pt idx="15">
                  <c:v>133.56667940077955</c:v>
                </c:pt>
                <c:pt idx="16">
                  <c:v>134.56461896460834</c:v>
                </c:pt>
                <c:pt idx="17">
                  <c:v>135.48762029890605</c:v>
                </c:pt>
                <c:pt idx="18">
                  <c:v>136.40220021297534</c:v>
                </c:pt>
                <c:pt idx="19">
                  <c:v>137.2699566169471</c:v>
                </c:pt>
                <c:pt idx="20">
                  <c:v>138.09173004291887</c:v>
                </c:pt>
                <c:pt idx="21">
                  <c:v>138.86566799596005</c:v>
                </c:pt>
                <c:pt idx="22">
                  <c:v>139.71663329155683</c:v>
                </c:pt>
                <c:pt idx="23">
                  <c:v>140.49612625147498</c:v>
                </c:pt>
                <c:pt idx="24">
                  <c:v>141.20460164211738</c:v>
                </c:pt>
                <c:pt idx="25">
                  <c:v>141.82067677033135</c:v>
                </c:pt>
                <c:pt idx="26">
                  <c:v>141.24547806964142</c:v>
                </c:pt>
                <c:pt idx="27">
                  <c:v>140.66159204084389</c:v>
                </c:pt>
                <c:pt idx="28">
                  <c:v>140.11354047731197</c:v>
                </c:pt>
                <c:pt idx="29">
                  <c:v>139.35968404384201</c:v>
                </c:pt>
                <c:pt idx="30">
                  <c:v>138.81493678495005</c:v>
                </c:pt>
                <c:pt idx="31">
                  <c:v>138.28280297374411</c:v>
                </c:pt>
                <c:pt idx="32">
                  <c:v>137.80994442915588</c:v>
                </c:pt>
                <c:pt idx="33">
                  <c:v>137.3313127288823</c:v>
                </c:pt>
                <c:pt idx="34">
                  <c:v>136.84698762821759</c:v>
                </c:pt>
                <c:pt idx="35">
                  <c:v>136.35704734195454</c:v>
                </c:pt>
                <c:pt idx="36">
                  <c:v>136.31130740385191</c:v>
                </c:pt>
                <c:pt idx="37">
                  <c:v>136.26025256507197</c:v>
                </c:pt>
              </c:numCache>
            </c:numRef>
          </c:val>
          <c:smooth val="0"/>
        </c:ser>
        <c:ser>
          <c:idx val="5"/>
          <c:order val="4"/>
          <c:tx>
            <c:strRef>
              <c:f>'Synthèse format 3ME'!$A$69</c:f>
              <c:strCache>
                <c:ptCount val="1"/>
                <c:pt idx="0">
                  <c:v>Autres (géothermie et cogé biogaz et biomasse)</c:v>
                </c:pt>
              </c:strCache>
            </c:strRef>
          </c:tx>
          <c:marker>
            <c:symbol val="none"/>
          </c:marker>
          <c:cat>
            <c:numRef>
              <c:f>'Synthèse format 3ME'!$B$64:$AM$64</c:f>
              <c:numCache>
                <c:formatCode>General</c:formatCode>
                <c:ptCount val="38"/>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pt idx="36">
                  <c:v>2049</c:v>
                </c:pt>
                <c:pt idx="37">
                  <c:v>2050</c:v>
                </c:pt>
              </c:numCache>
            </c:numRef>
          </c:cat>
          <c:val>
            <c:numRef>
              <c:f>'Synthèse format 3ME'!$B$69:$AM$69</c:f>
              <c:numCache>
                <c:formatCode>General</c:formatCode>
                <c:ptCount val="38"/>
                <c:pt idx="0">
                  <c:v>121.9817007893989</c:v>
                </c:pt>
                <c:pt idx="1">
                  <c:v>121.57015606883954</c:v>
                </c:pt>
                <c:pt idx="2">
                  <c:v>121.25525864525315</c:v>
                </c:pt>
                <c:pt idx="3">
                  <c:v>120.95144078331013</c:v>
                </c:pt>
                <c:pt idx="4">
                  <c:v>120.66364457862505</c:v>
                </c:pt>
                <c:pt idx="5">
                  <c:v>120.41546917282146</c:v>
                </c:pt>
                <c:pt idx="6">
                  <c:v>120.16196947807978</c:v>
                </c:pt>
                <c:pt idx="7">
                  <c:v>119.89778447561413</c:v>
                </c:pt>
                <c:pt idx="8">
                  <c:v>119.58288777044623</c:v>
                </c:pt>
                <c:pt idx="9">
                  <c:v>119.2106906975889</c:v>
                </c:pt>
                <c:pt idx="10">
                  <c:v>118.83625702415333</c:v>
                </c:pt>
                <c:pt idx="11">
                  <c:v>118.46003819487152</c:v>
                </c:pt>
                <c:pt idx="12">
                  <c:v>118.18953860324457</c:v>
                </c:pt>
                <c:pt idx="13">
                  <c:v>117.91851445318025</c:v>
                </c:pt>
                <c:pt idx="14">
                  <c:v>117.64720007284954</c:v>
                </c:pt>
                <c:pt idx="15">
                  <c:v>117.37578817108835</c:v>
                </c:pt>
                <c:pt idx="16">
                  <c:v>117.07340853443431</c:v>
                </c:pt>
                <c:pt idx="17">
                  <c:v>116.77099969698031</c:v>
                </c:pt>
                <c:pt idx="18">
                  <c:v>116.51428002568827</c:v>
                </c:pt>
                <c:pt idx="19">
                  <c:v>116.26339871187542</c:v>
                </c:pt>
                <c:pt idx="20">
                  <c:v>115.49546390532522</c:v>
                </c:pt>
                <c:pt idx="21">
                  <c:v>114.78232007885312</c:v>
                </c:pt>
                <c:pt idx="22">
                  <c:v>114.24172016467161</c:v>
                </c:pt>
                <c:pt idx="23">
                  <c:v>113.71931460362175</c:v>
                </c:pt>
                <c:pt idx="24">
                  <c:v>113.21039376041526</c:v>
                </c:pt>
                <c:pt idx="25">
                  <c:v>112.68898914097957</c:v>
                </c:pt>
                <c:pt idx="26">
                  <c:v>112.20226831920769</c:v>
                </c:pt>
                <c:pt idx="27">
                  <c:v>111.75460708661596</c:v>
                </c:pt>
                <c:pt idx="28">
                  <c:v>111.38761489688804</c:v>
                </c:pt>
                <c:pt idx="29">
                  <c:v>110.85704279064851</c:v>
                </c:pt>
                <c:pt idx="30">
                  <c:v>110.57545699386408</c:v>
                </c:pt>
                <c:pt idx="31">
                  <c:v>110.31439031656593</c:v>
                </c:pt>
                <c:pt idx="32">
                  <c:v>110.07099459932182</c:v>
                </c:pt>
                <c:pt idx="33">
                  <c:v>109.84502242730592</c:v>
                </c:pt>
                <c:pt idx="34">
                  <c:v>109.63513129707398</c:v>
                </c:pt>
                <c:pt idx="35">
                  <c:v>109.44010836985912</c:v>
                </c:pt>
                <c:pt idx="36">
                  <c:v>109.70859399512814</c:v>
                </c:pt>
                <c:pt idx="37">
                  <c:v>109.99000038963285</c:v>
                </c:pt>
              </c:numCache>
            </c:numRef>
          </c:val>
          <c:smooth val="0"/>
        </c:ser>
        <c:dLbls>
          <c:showLegendKey val="0"/>
          <c:showVal val="0"/>
          <c:showCatName val="0"/>
          <c:showSerName val="0"/>
          <c:showPercent val="0"/>
          <c:showBubbleSize val="0"/>
        </c:dLbls>
        <c:marker val="1"/>
        <c:smooth val="0"/>
        <c:axId val="106604800"/>
        <c:axId val="106618880"/>
      </c:lineChart>
      <c:catAx>
        <c:axId val="106604800"/>
        <c:scaling>
          <c:orientation val="minMax"/>
        </c:scaling>
        <c:delete val="0"/>
        <c:axPos val="b"/>
        <c:numFmt formatCode="General" sourceLinked="1"/>
        <c:majorTickMark val="out"/>
        <c:minorTickMark val="none"/>
        <c:tickLblPos val="nextTo"/>
        <c:crossAx val="106618880"/>
        <c:crosses val="autoZero"/>
        <c:auto val="1"/>
        <c:lblAlgn val="ctr"/>
        <c:lblOffset val="100"/>
        <c:noMultiLvlLbl val="0"/>
      </c:catAx>
      <c:valAx>
        <c:axId val="106618880"/>
        <c:scaling>
          <c:orientation val="minMax"/>
        </c:scaling>
        <c:delete val="0"/>
        <c:axPos val="l"/>
        <c:majorGridlines/>
        <c:numFmt formatCode="General" sourceLinked="1"/>
        <c:majorTickMark val="out"/>
        <c:minorTickMark val="none"/>
        <c:tickLblPos val="nextTo"/>
        <c:crossAx val="1066048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
          <c:order val="0"/>
          <c:tx>
            <c:strRef>
              <c:f>'Synthèse format 3ME'!$A$111</c:f>
              <c:strCache>
                <c:ptCount val="1"/>
                <c:pt idx="0">
                  <c:v>Gaz de synthèse (méthanation)</c:v>
                </c:pt>
              </c:strCache>
            </c:strRef>
          </c:tx>
          <c:val>
            <c:numRef>
              <c:f>'Synthèse format 3ME'!$B$111:$AM$111</c:f>
              <c:numCache>
                <c:formatCode>General</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1.6655880910276668</c:v>
                </c:pt>
                <c:pt idx="30">
                  <c:v>3.3311761820553336</c:v>
                </c:pt>
                <c:pt idx="31">
                  <c:v>4.9967642730829995</c:v>
                </c:pt>
                <c:pt idx="32">
                  <c:v>6.6623523641106672</c:v>
                </c:pt>
                <c:pt idx="33">
                  <c:v>8.3279404551383323</c:v>
                </c:pt>
                <c:pt idx="34">
                  <c:v>9.9935285461659991</c:v>
                </c:pt>
                <c:pt idx="35">
                  <c:v>11.659116637193666</c:v>
                </c:pt>
                <c:pt idx="36">
                  <c:v>13.324704728221334</c:v>
                </c:pt>
                <c:pt idx="37">
                  <c:v>14.990292819248999</c:v>
                </c:pt>
              </c:numCache>
            </c:numRef>
          </c:val>
        </c:ser>
        <c:ser>
          <c:idx val="2"/>
          <c:order val="1"/>
          <c:tx>
            <c:strRef>
              <c:f>'Synthèse format 3ME'!$A$112</c:f>
              <c:strCache>
                <c:ptCount val="1"/>
                <c:pt idx="0">
                  <c:v>Eolien (terrestre, en mer posé, en mer flottant)</c:v>
                </c:pt>
              </c:strCache>
            </c:strRef>
          </c:tx>
          <c:val>
            <c:numRef>
              <c:f>'Synthèse format 3ME'!$B$112:$AM$112</c:f>
              <c:numCache>
                <c:formatCode>General</c:formatCode>
                <c:ptCount val="38"/>
                <c:pt idx="0">
                  <c:v>14.786999999999978</c:v>
                </c:pt>
                <c:pt idx="1">
                  <c:v>20.204693903560614</c:v>
                </c:pt>
                <c:pt idx="2">
                  <c:v>25.622388203244618</c:v>
                </c:pt>
                <c:pt idx="3">
                  <c:v>31.040083091416168</c:v>
                </c:pt>
                <c:pt idx="4">
                  <c:v>36.457778754823437</c:v>
                </c:pt>
                <c:pt idx="5">
                  <c:v>41.875475373295373</c:v>
                </c:pt>
                <c:pt idx="6">
                  <c:v>47.293173118499297</c:v>
                </c:pt>
                <c:pt idx="7">
                  <c:v>52.710872152764367</c:v>
                </c:pt>
                <c:pt idx="8">
                  <c:v>58.128572627980965</c:v>
                </c:pt>
                <c:pt idx="9">
                  <c:v>63.546274684583871</c:v>
                </c:pt>
                <c:pt idx="10">
                  <c:v>68.963978450624367</c:v>
                </c:pt>
                <c:pt idx="11">
                  <c:v>74.381684040938737</c:v>
                </c:pt>
                <c:pt idx="12">
                  <c:v>79.79939155641658</c:v>
                </c:pt>
                <c:pt idx="13">
                  <c:v>85.217101083376463</c:v>
                </c:pt>
                <c:pt idx="14">
                  <c:v>90.634812693049298</c:v>
                </c:pt>
                <c:pt idx="15">
                  <c:v>96.052526441174763</c:v>
                </c:pt>
                <c:pt idx="16">
                  <c:v>101.47024236771178</c:v>
                </c:pt>
                <c:pt idx="17">
                  <c:v>106.88796049666453</c:v>
                </c:pt>
                <c:pt idx="18">
                  <c:v>112.30568083602502</c:v>
                </c:pt>
                <c:pt idx="19">
                  <c:v>117.72340337783028</c:v>
                </c:pt>
                <c:pt idx="20">
                  <c:v>123.14112809833422</c:v>
                </c:pt>
                <c:pt idx="21">
                  <c:v>128.55885495829276</c:v>
                </c:pt>
                <c:pt idx="22">
                  <c:v>133.97658390335656</c:v>
                </c:pt>
                <c:pt idx="23">
                  <c:v>139.39431486457127</c:v>
                </c:pt>
                <c:pt idx="24">
                  <c:v>144.81204775897811</c:v>
                </c:pt>
                <c:pt idx="25">
                  <c:v>150.22978249031138</c:v>
                </c:pt>
                <c:pt idx="26">
                  <c:v>155.64751894978627</c:v>
                </c:pt>
                <c:pt idx="27">
                  <c:v>161.06525701697191</c:v>
                </c:pt>
                <c:pt idx="28">
                  <c:v>166.48299656074053</c:v>
                </c:pt>
                <c:pt idx="29">
                  <c:v>171.90073744028754</c:v>
                </c:pt>
                <c:pt idx="30">
                  <c:v>177.31847950621483</c:v>
                </c:pt>
                <c:pt idx="31">
                  <c:v>182.73622260166556</c:v>
                </c:pt>
                <c:pt idx="32">
                  <c:v>188.15396656350663</c:v>
                </c:pt>
                <c:pt idx="33">
                  <c:v>193.57171122354779</c:v>
                </c:pt>
                <c:pt idx="34">
                  <c:v>198.98945640978619</c:v>
                </c:pt>
                <c:pt idx="35">
                  <c:v>204.40720194767178</c:v>
                </c:pt>
                <c:pt idx="36">
                  <c:v>209.82494766138109</c:v>
                </c:pt>
                <c:pt idx="37">
                  <c:v>215.2426933750904</c:v>
                </c:pt>
              </c:numCache>
            </c:numRef>
          </c:val>
        </c:ser>
        <c:ser>
          <c:idx val="3"/>
          <c:order val="2"/>
          <c:tx>
            <c:strRef>
              <c:f>'Synthèse format 3ME'!$A$113</c:f>
              <c:strCache>
                <c:ptCount val="1"/>
                <c:pt idx="0">
                  <c:v>Solaire (PV, CSP)</c:v>
                </c:pt>
              </c:strCache>
            </c:strRef>
          </c:tx>
          <c:val>
            <c:numRef>
              <c:f>'Synthèse format 3ME'!$B$113:$AM$113</c:f>
              <c:numCache>
                <c:formatCode>General</c:formatCode>
                <c:ptCount val="38"/>
                <c:pt idx="0">
                  <c:v>4.2779999999999996</c:v>
                </c:pt>
                <c:pt idx="1">
                  <c:v>7.1985207272449774</c:v>
                </c:pt>
                <c:pt idx="2">
                  <c:v>10.119042265803024</c:v>
                </c:pt>
                <c:pt idx="3">
                  <c:v>13.039565009660674</c:v>
                </c:pt>
                <c:pt idx="4">
                  <c:v>15.960089341302321</c:v>
                </c:pt>
                <c:pt idx="5">
                  <c:v>18.880615629042108</c:v>
                </c:pt>
                <c:pt idx="6">
                  <c:v>21.801144224476893</c:v>
                </c:pt>
                <c:pt idx="7">
                  <c:v>24.721675460077783</c:v>
                </c:pt>
                <c:pt idx="8">
                  <c:v>27.642209646936568</c:v>
                </c:pt>
                <c:pt idx="9">
                  <c:v>30.562747072682047</c:v>
                </c:pt>
                <c:pt idx="10">
                  <c:v>33.48328799958017</c:v>
                </c:pt>
                <c:pt idx="11">
                  <c:v>36.403832662830219</c:v>
                </c:pt>
                <c:pt idx="12">
                  <c:v>39.324381269067899</c:v>
                </c:pt>
                <c:pt idx="13">
                  <c:v>42.244933995084629</c:v>
                </c:pt>
                <c:pt idx="14">
                  <c:v>45.165490986770706</c:v>
                </c:pt>
                <c:pt idx="15">
                  <c:v>48.086052358288299</c:v>
                </c:pt>
                <c:pt idx="16">
                  <c:v>51.006618191478559</c:v>
                </c:pt>
                <c:pt idx="17">
                  <c:v>53.927188535505501</c:v>
                </c:pt>
                <c:pt idx="18">
                  <c:v>56.847763406737378</c:v>
                </c:pt>
                <c:pt idx="19">
                  <c:v>59.768342788864913</c:v>
                </c:pt>
                <c:pt idx="20">
                  <c:v>62.688926633253509</c:v>
                </c:pt>
                <c:pt idx="21">
                  <c:v>65.609514859525589</c:v>
                </c:pt>
                <c:pt idx="22">
                  <c:v>68.530107356366983</c:v>
                </c:pt>
                <c:pt idx="23">
                  <c:v>71.450703982549911</c:v>
                </c:pt>
                <c:pt idx="24">
                  <c:v>74.371304568163964</c:v>
                </c:pt>
                <c:pt idx="25">
                  <c:v>77.291908916044278</c:v>
                </c:pt>
                <c:pt idx="26">
                  <c:v>80.212516803385654</c:v>
                </c:pt>
                <c:pt idx="27">
                  <c:v>83.133127983529334</c:v>
                </c:pt>
                <c:pt idx="28">
                  <c:v>86.053742187908583</c:v>
                </c:pt>
                <c:pt idx="29">
                  <c:v>88.974359128137735</c:v>
                </c:pt>
                <c:pt idx="30">
                  <c:v>91.894978498228909</c:v>
                </c:pt>
                <c:pt idx="31">
                  <c:v>94.81559997691916</c:v>
                </c:pt>
                <c:pt idx="32">
                  <c:v>97.736223230090971</c:v>
                </c:pt>
                <c:pt idx="33">
                  <c:v>100.65684791326767</c:v>
                </c:pt>
                <c:pt idx="34">
                  <c:v>103.57747367416543</c:v>
                </c:pt>
                <c:pt idx="35">
                  <c:v>106.498100155283</c:v>
                </c:pt>
                <c:pt idx="36">
                  <c:v>109.41872699651049</c:v>
                </c:pt>
                <c:pt idx="37">
                  <c:v>112.33935383773799</c:v>
                </c:pt>
              </c:numCache>
            </c:numRef>
          </c:val>
        </c:ser>
        <c:ser>
          <c:idx val="4"/>
          <c:order val="3"/>
          <c:tx>
            <c:strRef>
              <c:f>'Synthèse format 3ME'!$A$114</c:f>
              <c:strCache>
                <c:ptCount val="1"/>
                <c:pt idx="0">
                  <c:v>Hydraulique et énergies marines</c:v>
                </c:pt>
              </c:strCache>
            </c:strRef>
          </c:tx>
          <c:val>
            <c:numRef>
              <c:f>'Synthèse format 3ME'!$B$114:$AM$114</c:f>
              <c:numCache>
                <c:formatCode>General</c:formatCode>
                <c:ptCount val="38"/>
                <c:pt idx="0">
                  <c:v>64.113902400000001</c:v>
                </c:pt>
                <c:pt idx="1">
                  <c:v>64.528213181556069</c:v>
                </c:pt>
                <c:pt idx="2">
                  <c:v>64.942524249994875</c:v>
                </c:pt>
                <c:pt idx="3">
                  <c:v>65.356835744631269</c:v>
                </c:pt>
                <c:pt idx="4">
                  <c:v>65.771147800712882</c:v>
                </c:pt>
                <c:pt idx="5">
                  <c:v>66.185460548476712</c:v>
                </c:pt>
                <c:pt idx="6">
                  <c:v>66.599774112248468</c:v>
                </c:pt>
                <c:pt idx="7">
                  <c:v>67.014088609590928</c:v>
                </c:pt>
                <c:pt idx="8">
                  <c:v>67.428404150507149</c:v>
                </c:pt>
                <c:pt idx="9">
                  <c:v>67.842720836703492</c:v>
                </c:pt>
                <c:pt idx="10">
                  <c:v>68.257038760918007</c:v>
                </c:pt>
                <c:pt idx="11">
                  <c:v>68.67135800631786</c:v>
                </c:pt>
                <c:pt idx="12">
                  <c:v>69.085678645970049</c:v>
                </c:pt>
                <c:pt idx="13">
                  <c:v>69.500000742388607</c:v>
                </c:pt>
                <c:pt idx="14">
                  <c:v>69.914324347160743</c:v>
                </c:pt>
                <c:pt idx="15">
                  <c:v>70.328649500654549</c:v>
                </c:pt>
                <c:pt idx="16">
                  <c:v>70.742976231809308</c:v>
                </c:pt>
                <c:pt idx="17">
                  <c:v>71.157304558009585</c:v>
                </c:pt>
                <c:pt idx="18">
                  <c:v>71.571634485043191</c:v>
                </c:pt>
                <c:pt idx="19">
                  <c:v>71.985966007143148</c:v>
                </c:pt>
                <c:pt idx="20">
                  <c:v>72.400299107112133</c:v>
                </c:pt>
                <c:pt idx="21">
                  <c:v>72.81463375652838</c:v>
                </c:pt>
                <c:pt idx="22">
                  <c:v>73.228969916030849</c:v>
                </c:pt>
                <c:pt idx="23">
                  <c:v>73.643307535681004</c:v>
                </c:pt>
                <c:pt idx="24">
                  <c:v>74.057646555397966</c:v>
                </c:pt>
                <c:pt idx="25">
                  <c:v>74.471986905463652</c:v>
                </c:pt>
                <c:pt idx="26">
                  <c:v>74.886328507093495</c:v>
                </c:pt>
                <c:pt idx="27">
                  <c:v>75.300671273068161</c:v>
                </c:pt>
                <c:pt idx="28">
                  <c:v>75.715015108421696</c:v>
                </c:pt>
                <c:pt idx="29">
                  <c:v>76.129359911180032</c:v>
                </c:pt>
                <c:pt idx="30">
                  <c:v>76.543705573144933</c:v>
                </c:pt>
                <c:pt idx="31">
                  <c:v>76.958051980716832</c:v>
                </c:pt>
                <c:pt idx="32">
                  <c:v>77.372399015750787</c:v>
                </c:pt>
                <c:pt idx="33">
                  <c:v>77.786746556438814</c:v>
                </c:pt>
                <c:pt idx="34">
                  <c:v>78.201094478212255</c:v>
                </c:pt>
                <c:pt idx="35">
                  <c:v>78.615442654657613</c:v>
                </c:pt>
                <c:pt idx="36">
                  <c:v>79.029790958438909</c:v>
                </c:pt>
                <c:pt idx="37">
                  <c:v>79.444139262220205</c:v>
                </c:pt>
              </c:numCache>
            </c:numRef>
          </c:val>
        </c:ser>
        <c:ser>
          <c:idx val="5"/>
          <c:order val="4"/>
          <c:tx>
            <c:strRef>
              <c:f>'Synthèse format 3ME'!$A$115</c:f>
              <c:strCache>
                <c:ptCount val="1"/>
                <c:pt idx="0">
                  <c:v>Autres (géothermie et cogé biogaz et biomasse)</c:v>
                </c:pt>
              </c:strCache>
            </c:strRef>
          </c:tx>
          <c:val>
            <c:numRef>
              <c:f>'Synthèse format 3ME'!$B$115:$AM$115</c:f>
              <c:numCache>
                <c:formatCode>General</c:formatCode>
                <c:ptCount val="38"/>
                <c:pt idx="0">
                  <c:v>4.9778479942500011</c:v>
                </c:pt>
                <c:pt idx="1">
                  <c:v>5.7550599791022261</c:v>
                </c:pt>
                <c:pt idx="2">
                  <c:v>6.532271975555541</c:v>
                </c:pt>
                <c:pt idx="3">
                  <c:v>7.309483989243617</c:v>
                </c:pt>
                <c:pt idx="4">
                  <c:v>8.086696025635657</c:v>
                </c:pt>
                <c:pt idx="5">
                  <c:v>8.8639080899982421</c:v>
                </c:pt>
                <c:pt idx="6">
                  <c:v>9.6411201873589061</c:v>
                </c:pt>
                <c:pt idx="7">
                  <c:v>10.418332322471707</c:v>
                </c:pt>
                <c:pt idx="8">
                  <c:v>11.19554449978499</c:v>
                </c:pt>
                <c:pt idx="9">
                  <c:v>11.972756723411607</c:v>
                </c:pt>
                <c:pt idx="10">
                  <c:v>12.749968997101737</c:v>
                </c:pt>
                <c:pt idx="11">
                  <c:v>13.527181324218526</c:v>
                </c:pt>
                <c:pt idx="12">
                  <c:v>14.304393707716697</c:v>
                </c:pt>
                <c:pt idx="13">
                  <c:v>15.081606150124211</c:v>
                </c:pt>
                <c:pt idx="14">
                  <c:v>15.858818653527177</c:v>
                </c:pt>
                <c:pt idx="15">
                  <c:v>16.636031219558017</c:v>
                </c:pt>
                <c:pt idx="16">
                  <c:v>17.413243849386998</c:v>
                </c:pt>
                <c:pt idx="17">
                  <c:v>18.190456543717112</c:v>
                </c:pt>
                <c:pt idx="18">
                  <c:v>18.967669302782411</c:v>
                </c:pt>
                <c:pt idx="19">
                  <c:v>19.744882126349694</c:v>
                </c:pt>
                <c:pt idx="20">
                  <c:v>20.522095013723526</c:v>
                </c:pt>
                <c:pt idx="21">
                  <c:v>21.299307963754572</c:v>
                </c:pt>
                <c:pt idx="22">
                  <c:v>22.076520974851139</c:v>
                </c:pt>
                <c:pt idx="23">
                  <c:v>22.853734044993786</c:v>
                </c:pt>
                <c:pt idx="24">
                  <c:v>23.630947171752936</c:v>
                </c:pt>
                <c:pt idx="25">
                  <c:v>24.408160352309306</c:v>
                </c:pt>
                <c:pt idx="26">
                  <c:v>25.185373583476959</c:v>
                </c:pt>
                <c:pt idx="27">
                  <c:v>25.962586861728902</c:v>
                </c:pt>
                <c:pt idx="28">
                  <c:v>26.739800183224844</c:v>
                </c:pt>
                <c:pt idx="29">
                  <c:v>27.517013543841113</c:v>
                </c:pt>
                <c:pt idx="30">
                  <c:v>28.29422693920235</c:v>
                </c:pt>
                <c:pt idx="31">
                  <c:v>29.071440364714764</c:v>
                </c:pt>
                <c:pt idx="32">
                  <c:v>29.848653815600755</c:v>
                </c:pt>
                <c:pt idx="33">
                  <c:v>30.625867286934607</c:v>
                </c:pt>
                <c:pt idx="34">
                  <c:v>31.403080773678958</c:v>
                </c:pt>
                <c:pt idx="35">
                  <c:v>32.180294270721831</c:v>
                </c:pt>
                <c:pt idx="36">
                  <c:v>32.957507772913992</c:v>
                </c:pt>
                <c:pt idx="37">
                  <c:v>33.734721275106132</c:v>
                </c:pt>
              </c:numCache>
            </c:numRef>
          </c:val>
        </c:ser>
        <c:ser>
          <c:idx val="6"/>
          <c:order val="5"/>
          <c:tx>
            <c:strRef>
              <c:f>'Synthèse format 3ME'!$A$116</c:f>
              <c:strCache>
                <c:ptCount val="1"/>
                <c:pt idx="0">
                  <c:v>Non-EnR</c:v>
                </c:pt>
              </c:strCache>
            </c:strRef>
          </c:tx>
          <c:val>
            <c:numRef>
              <c:f>'Synthèse format 3ME'!$B$116:$AM$116</c:f>
              <c:numCache>
                <c:formatCode>General</c:formatCode>
                <c:ptCount val="38"/>
                <c:pt idx="0">
                  <c:v>417.01199999999994</c:v>
                </c:pt>
                <c:pt idx="1">
                  <c:v>405.7414790427332</c:v>
                </c:pt>
                <c:pt idx="2">
                  <c:v>394.47095702626058</c:v>
                </c:pt>
                <c:pt idx="3">
                  <c:v>383.20043343621467</c:v>
                </c:pt>
                <c:pt idx="4">
                  <c:v>371.92990777324491</c:v>
                </c:pt>
                <c:pt idx="5">
                  <c:v>360.6593795565006</c:v>
                </c:pt>
                <c:pt idx="6">
                  <c:v>349.38884832695601</c:v>
                </c:pt>
                <c:pt idx="7">
                  <c:v>338.11831365055502</c:v>
                </c:pt>
                <c:pt idx="8">
                  <c:v>326.84777512115329</c:v>
                </c:pt>
                <c:pt idx="9">
                  <c:v>315.57723236323847</c:v>
                </c:pt>
                <c:pt idx="10">
                  <c:v>304.30668503441052</c:v>
                </c:pt>
                <c:pt idx="11">
                  <c:v>293.03613282760591</c:v>
                </c:pt>
                <c:pt idx="12">
                  <c:v>281.76557547305259</c:v>
                </c:pt>
                <c:pt idx="13">
                  <c:v>270.49501273994122</c:v>
                </c:pt>
                <c:pt idx="14">
                  <c:v>259.22444443780546</c:v>
                </c:pt>
                <c:pt idx="15">
                  <c:v>247.95387041760154</c:v>
                </c:pt>
                <c:pt idx="16">
                  <c:v>236.68329057248201</c:v>
                </c:pt>
                <c:pt idx="17">
                  <c:v>225.41270483826102</c:v>
                </c:pt>
                <c:pt idx="18">
                  <c:v>214.14211319356914</c:v>
                </c:pt>
                <c:pt idx="19">
                  <c:v>202.87151565969893</c:v>
                </c:pt>
                <c:pt idx="20">
                  <c:v>191.6009123001449</c:v>
                </c:pt>
                <c:pt idx="21">
                  <c:v>180.33030321984367</c:v>
                </c:pt>
                <c:pt idx="22">
                  <c:v>169.05968856412093</c:v>
                </c:pt>
                <c:pt idx="23">
                  <c:v>157.78906851735601</c:v>
                </c:pt>
                <c:pt idx="24">
                  <c:v>146.51844330137456</c:v>
                </c:pt>
                <c:pt idx="25">
                  <c:v>135.24781317358426</c:v>
                </c:pt>
                <c:pt idx="26">
                  <c:v>123.97717842486735</c:v>
                </c:pt>
                <c:pt idx="27">
                  <c:v>112.70653937724805</c:v>
                </c:pt>
                <c:pt idx="28">
                  <c:v>101.43589638135235</c:v>
                </c:pt>
                <c:pt idx="29">
                  <c:v>90.165249813680788</c:v>
                </c:pt>
                <c:pt idx="30">
                  <c:v>78.894600073714415</c:v>
                </c:pt>
                <c:pt idx="31">
                  <c:v>67.623947580876518</c:v>
                </c:pt>
                <c:pt idx="32">
                  <c:v>56.353292771372615</c:v>
                </c:pt>
                <c:pt idx="33">
                  <c:v>45.082636094932624</c:v>
                </c:pt>
                <c:pt idx="34">
                  <c:v>33.811978011479042</c:v>
                </c:pt>
                <c:pt idx="35">
                  <c:v>22.541318987745889</c:v>
                </c:pt>
                <c:pt idx="36">
                  <c:v>11.270659493872945</c:v>
                </c:pt>
                <c:pt idx="37">
                  <c:v>0</c:v>
                </c:pt>
              </c:numCache>
            </c:numRef>
          </c:val>
        </c:ser>
        <c:dLbls>
          <c:showLegendKey val="0"/>
          <c:showVal val="0"/>
          <c:showCatName val="0"/>
          <c:showSerName val="0"/>
          <c:showPercent val="0"/>
          <c:showBubbleSize val="0"/>
        </c:dLbls>
        <c:axId val="106683776"/>
        <c:axId val="106763392"/>
      </c:areaChart>
      <c:catAx>
        <c:axId val="106683776"/>
        <c:scaling>
          <c:orientation val="minMax"/>
        </c:scaling>
        <c:delete val="0"/>
        <c:axPos val="b"/>
        <c:majorTickMark val="out"/>
        <c:minorTickMark val="none"/>
        <c:tickLblPos val="nextTo"/>
        <c:crossAx val="106763392"/>
        <c:crosses val="autoZero"/>
        <c:auto val="1"/>
        <c:lblAlgn val="ctr"/>
        <c:lblOffset val="100"/>
        <c:noMultiLvlLbl val="0"/>
      </c:catAx>
      <c:valAx>
        <c:axId val="106763392"/>
        <c:scaling>
          <c:orientation val="minMax"/>
        </c:scaling>
        <c:delete val="0"/>
        <c:axPos val="l"/>
        <c:majorGridlines/>
        <c:numFmt formatCode="General" sourceLinked="1"/>
        <c:majorTickMark val="out"/>
        <c:minorTickMark val="none"/>
        <c:tickLblPos val="nextTo"/>
        <c:crossAx val="106683776"/>
        <c:crosses val="autoZero"/>
        <c:crossBetween val="midCat"/>
      </c:valAx>
    </c:plotArea>
    <c:legend>
      <c:legendPos val="r"/>
      <c:layout/>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'Données capacités de production'!$A$22</c:f>
              <c:strCache>
                <c:ptCount val="1"/>
                <c:pt idx="0">
                  <c:v>Coûts capacitaires (M€)</c:v>
                </c:pt>
              </c:strCache>
            </c:strRef>
          </c:tx>
          <c:marker>
            <c:symbol val="none"/>
          </c:marker>
          <c:val>
            <c:numRef>
              <c:f>'Données capacités de production'!$B$22:$AM$22</c:f>
              <c:numCache>
                <c:formatCode>#,##0\ "€"</c:formatCode>
                <c:ptCount val="38"/>
                <c:pt idx="0">
                  <c:v>0</c:v>
                </c:pt>
                <c:pt idx="1">
                  <c:v>0</c:v>
                </c:pt>
                <c:pt idx="2">
                  <c:v>0</c:v>
                </c:pt>
                <c:pt idx="3">
                  <c:v>0</c:v>
                </c:pt>
                <c:pt idx="4">
                  <c:v>0</c:v>
                </c:pt>
                <c:pt idx="5">
                  <c:v>722.71485891472378</c:v>
                </c:pt>
                <c:pt idx="6">
                  <c:v>1427.9574904710694</c:v>
                </c:pt>
                <c:pt idx="7">
                  <c:v>2115.7278946690371</c:v>
                </c:pt>
                <c:pt idx="8">
                  <c:v>2786.026071508627</c:v>
                </c:pt>
                <c:pt idx="9">
                  <c:v>3438.8520209898388</c:v>
                </c:pt>
                <c:pt idx="10">
                  <c:v>4074.2057431126732</c:v>
                </c:pt>
                <c:pt idx="11">
                  <c:v>4444.9456792238261</c:v>
                </c:pt>
                <c:pt idx="12">
                  <c:v>4805.2046330863704</c:v>
                </c:pt>
                <c:pt idx="13">
                  <c:v>5154.9825655881332</c:v>
                </c:pt>
                <c:pt idx="14">
                  <c:v>5494.279407500213</c:v>
                </c:pt>
                <c:pt idx="15">
                  <c:v>5823.0950613989044</c:v>
                </c:pt>
                <c:pt idx="16">
                  <c:v>6141.4294038088847</c:v>
                </c:pt>
                <c:pt idx="17">
                  <c:v>6449.2822875415195</c:v>
                </c:pt>
                <c:pt idx="18">
                  <c:v>6754.7073490686735</c:v>
                </c:pt>
                <c:pt idx="19">
                  <c:v>7057.704537810685</c:v>
                </c:pt>
                <c:pt idx="20">
                  <c:v>7358.2737851750035</c:v>
                </c:pt>
                <c:pt idx="21">
                  <c:v>7656.415005471863</c:v>
                </c:pt>
                <c:pt idx="22">
                  <c:v>7952.1280969410554</c:v>
                </c:pt>
                <c:pt idx="23">
                  <c:v>8245.4129428796005</c:v>
                </c:pt>
                <c:pt idx="24">
                  <c:v>8536.2694128595049</c:v>
                </c:pt>
                <c:pt idx="25">
                  <c:v>8582.627595895523</c:v>
                </c:pt>
                <c:pt idx="26">
                  <c:v>8639.9789535750915</c:v>
                </c:pt>
                <c:pt idx="27">
                  <c:v>8708.3233223310708</c:v>
                </c:pt>
                <c:pt idx="28">
                  <c:v>8787.6605304122186</c:v>
                </c:pt>
                <c:pt idx="29">
                  <c:v>8877.9903993757289</c:v>
                </c:pt>
                <c:pt idx="30">
                  <c:v>8979.3127455982503</c:v>
                </c:pt>
                <c:pt idx="31">
                  <c:v>9156.2399692354757</c:v>
                </c:pt>
                <c:pt idx="32">
                  <c:v>9338.7901364884019</c:v>
                </c:pt>
                <c:pt idx="33">
                  <c:v>9526.9631496509974</c:v>
                </c:pt>
                <c:pt idx="34">
                  <c:v>9720.7589240638827</c:v>
                </c:pt>
                <c:pt idx="35">
                  <c:v>9920.1773877725718</c:v>
                </c:pt>
                <c:pt idx="36">
                  <c:v>10125.218481048514</c:v>
                </c:pt>
                <c:pt idx="37">
                  <c:v>10335.882155784231</c:v>
                </c:pt>
              </c:numCache>
            </c:numRef>
          </c:val>
          <c:smooth val="0"/>
        </c:ser>
        <c:dLbls>
          <c:showLegendKey val="0"/>
          <c:showVal val="0"/>
          <c:showCatName val="0"/>
          <c:showSerName val="0"/>
          <c:showPercent val="0"/>
          <c:showBubbleSize val="0"/>
        </c:dLbls>
        <c:marker val="1"/>
        <c:smooth val="0"/>
        <c:axId val="131490560"/>
        <c:axId val="131492096"/>
      </c:lineChart>
      <c:catAx>
        <c:axId val="131490560"/>
        <c:scaling>
          <c:orientation val="minMax"/>
        </c:scaling>
        <c:delete val="0"/>
        <c:axPos val="b"/>
        <c:majorTickMark val="out"/>
        <c:minorTickMark val="none"/>
        <c:tickLblPos val="nextTo"/>
        <c:crossAx val="131492096"/>
        <c:crosses val="autoZero"/>
        <c:auto val="1"/>
        <c:lblAlgn val="ctr"/>
        <c:lblOffset val="100"/>
        <c:noMultiLvlLbl val="0"/>
      </c:catAx>
      <c:valAx>
        <c:axId val="131492096"/>
        <c:scaling>
          <c:orientation val="minMax"/>
        </c:scaling>
        <c:delete val="0"/>
        <c:axPos val="l"/>
        <c:majorGridlines/>
        <c:numFmt formatCode="#,##0\ &quot;€&quot;" sourceLinked="1"/>
        <c:majorTickMark val="out"/>
        <c:minorTickMark val="none"/>
        <c:tickLblPos val="nextTo"/>
        <c:crossAx val="1314905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390525</xdr:colOff>
      <xdr:row>48</xdr:row>
      <xdr:rowOff>123825</xdr:rowOff>
    </xdr:from>
    <xdr:to>
      <xdr:col>14</xdr:col>
      <xdr:colOff>142875</xdr:colOff>
      <xdr:row>61</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581025</xdr:colOff>
      <xdr:row>70</xdr:row>
      <xdr:rowOff>71437</xdr:rowOff>
    </xdr:from>
    <xdr:to>
      <xdr:col>8</xdr:col>
      <xdr:colOff>152400</xdr:colOff>
      <xdr:row>84</xdr:row>
      <xdr:rowOff>147637</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171450</xdr:colOff>
      <xdr:row>125</xdr:row>
      <xdr:rowOff>80962</xdr:rowOff>
    </xdr:from>
    <xdr:to>
      <xdr:col>11</xdr:col>
      <xdr:colOff>485775</xdr:colOff>
      <xdr:row>139</xdr:row>
      <xdr:rowOff>157162</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1800225</xdr:colOff>
      <xdr:row>0</xdr:row>
      <xdr:rowOff>95250</xdr:rowOff>
    </xdr:from>
    <xdr:ext cx="8938986" cy="311496"/>
    <xdr:sp macro="" textlink="">
      <xdr:nvSpPr>
        <xdr:cNvPr id="3" name="ZoneTexte 2"/>
        <xdr:cNvSpPr txBox="1"/>
      </xdr:nvSpPr>
      <xdr:spPr>
        <a:xfrm>
          <a:off x="1800225" y="95250"/>
          <a:ext cx="8938986" cy="311496"/>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400" b="1">
              <a:solidFill>
                <a:srgbClr val="FF0000"/>
              </a:solidFill>
            </a:rPr>
            <a:t>Mettre à jour les</a:t>
          </a:r>
          <a:r>
            <a:rPr lang="fr-FR" sz="1400" b="1" baseline="0">
              <a:solidFill>
                <a:srgbClr val="FF0000"/>
              </a:solidFill>
            </a:rPr>
            <a:t> cellules bleutées à l'aide du fichier "Chronique d'investissement" qui se trouve dans le dossier parent</a:t>
          </a:r>
          <a:endParaRPr lang="fr-FR" sz="1400" b="1">
            <a:solidFill>
              <a:srgbClr val="FF0000"/>
            </a:solidFill>
          </a:endParaRPr>
        </a:p>
      </xdr:txBody>
    </xdr:sp>
    <xdr:clientData/>
  </xdr:oneCellAnchor>
  <xdr:twoCellAnchor>
    <xdr:from>
      <xdr:col>1</xdr:col>
      <xdr:colOff>752475</xdr:colOff>
      <xdr:row>0</xdr:row>
      <xdr:rowOff>376237</xdr:rowOff>
    </xdr:from>
    <xdr:to>
      <xdr:col>7</xdr:col>
      <xdr:colOff>742950</xdr:colOff>
      <xdr:row>15</xdr:row>
      <xdr:rowOff>14287</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xdr:col>
      <xdr:colOff>28575</xdr:colOff>
      <xdr:row>0</xdr:row>
      <xdr:rowOff>95250</xdr:rowOff>
    </xdr:from>
    <xdr:ext cx="10334625" cy="1407308"/>
    <xdr:sp macro="" textlink="">
      <xdr:nvSpPr>
        <xdr:cNvPr id="3" name="ZoneTexte 2"/>
        <xdr:cNvSpPr txBox="1"/>
      </xdr:nvSpPr>
      <xdr:spPr>
        <a:xfrm>
          <a:off x="1828800" y="95250"/>
          <a:ext cx="10334625" cy="1407308"/>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400" b="1">
              <a:solidFill>
                <a:srgbClr val="FF0000"/>
              </a:solidFill>
            </a:rPr>
            <a:t>Mettre à jour les</a:t>
          </a:r>
          <a:r>
            <a:rPr lang="fr-FR" sz="1400" b="1" baseline="0">
              <a:solidFill>
                <a:srgbClr val="FF0000"/>
              </a:solidFill>
            </a:rPr>
            <a:t> cellules bleutées.</a:t>
          </a:r>
        </a:p>
        <a:p>
          <a:endParaRPr lang="fr-FR" sz="1400" b="1" baseline="0">
            <a:solidFill>
              <a:srgbClr val="FF0000"/>
            </a:solidFill>
          </a:endParaRPr>
        </a:p>
        <a:p>
          <a:r>
            <a:rPr lang="fr-FR" sz="1400" b="1" baseline="0">
              <a:solidFill>
                <a:srgbClr val="FF0000"/>
              </a:solidFill>
            </a:rPr>
            <a:t>Pour les données de capacité, commencer par définir les années points de passage à partir du taux de pénétration EnR tel que calculé à l'onglet "Linéarisation mix" et répercuter les parcs installées correspondant tirés de l'onglet "capacités installées"</a:t>
          </a:r>
        </a:p>
        <a:p>
          <a:endParaRPr lang="fr-FR" sz="1400" b="1" baseline="0">
            <a:solidFill>
              <a:srgbClr val="FF0000"/>
            </a:solidFill>
          </a:endParaRPr>
        </a:p>
        <a:p>
          <a:r>
            <a:rPr lang="fr-FR" sz="1400" b="1" baseline="0">
              <a:solidFill>
                <a:srgbClr val="FF0000"/>
              </a:solidFill>
            </a:rPr>
            <a:t>Pour les données de coûts, utiliser les fichiers de calcul des coûts "chronique d'investissement" qui se trouvent dans le dossier parent.</a:t>
          </a:r>
          <a:endParaRPr lang="fr-FR" sz="1400" b="1">
            <a:solidFill>
              <a:srgbClr val="FF0000"/>
            </a:solidFill>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838200</xdr:colOff>
      <xdr:row>25</xdr:row>
      <xdr:rowOff>38100</xdr:rowOff>
    </xdr:from>
    <xdr:ext cx="8343053" cy="311496"/>
    <xdr:sp macro="" textlink="">
      <xdr:nvSpPr>
        <xdr:cNvPr id="2" name="ZoneTexte 1"/>
        <xdr:cNvSpPr txBox="1"/>
      </xdr:nvSpPr>
      <xdr:spPr>
        <a:xfrm>
          <a:off x="838200" y="4800600"/>
          <a:ext cx="8343053" cy="311496"/>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400" b="1">
              <a:solidFill>
                <a:srgbClr val="FF0000"/>
              </a:solidFill>
            </a:rPr>
            <a:t>Mettre à jour les</a:t>
          </a:r>
          <a:r>
            <a:rPr lang="fr-FR" sz="1400" b="1" baseline="0">
              <a:solidFill>
                <a:srgbClr val="FF0000"/>
              </a:solidFill>
            </a:rPr>
            <a:t> cellules bleutées à l'aide du fichier "Toutesvariantes" qui se trouve dans le dossier ressources</a:t>
          </a:r>
          <a:endParaRPr lang="fr-FR" sz="1400" b="1">
            <a:solidFill>
              <a:srgbClr val="FF0000"/>
            </a:solidFill>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314325</xdr:colOff>
      <xdr:row>1</xdr:row>
      <xdr:rowOff>38100</xdr:rowOff>
    </xdr:from>
    <xdr:ext cx="6731330" cy="311496"/>
    <xdr:sp macro="" textlink="">
      <xdr:nvSpPr>
        <xdr:cNvPr id="2" name="ZoneTexte 1"/>
        <xdr:cNvSpPr txBox="1"/>
      </xdr:nvSpPr>
      <xdr:spPr>
        <a:xfrm>
          <a:off x="5391150" y="228600"/>
          <a:ext cx="6731330" cy="311496"/>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400" b="1">
              <a:solidFill>
                <a:srgbClr val="FF0000"/>
              </a:solidFill>
            </a:rPr>
            <a:t>Mettre à jour les</a:t>
          </a:r>
          <a:r>
            <a:rPr lang="fr-FR" sz="1400" b="1" baseline="0">
              <a:solidFill>
                <a:srgbClr val="FF0000"/>
              </a:solidFill>
            </a:rPr>
            <a:t> cellules bleutées avec les données de production du scénario concerné</a:t>
          </a:r>
          <a:endParaRPr lang="fr-FR" sz="1400" b="1">
            <a:solidFill>
              <a:srgbClr val="FF0000"/>
            </a:solidFill>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209550</xdr:colOff>
      <xdr:row>20</xdr:row>
      <xdr:rowOff>133350</xdr:rowOff>
    </xdr:from>
    <xdr:ext cx="12836784" cy="311496"/>
    <xdr:sp macro="" textlink="">
      <xdr:nvSpPr>
        <xdr:cNvPr id="2" name="ZoneTexte 1"/>
        <xdr:cNvSpPr txBox="1"/>
      </xdr:nvSpPr>
      <xdr:spPr>
        <a:xfrm>
          <a:off x="209550" y="3971925"/>
          <a:ext cx="12836784" cy="311496"/>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400" b="1">
              <a:solidFill>
                <a:srgbClr val="FF0000"/>
              </a:solidFill>
            </a:rPr>
            <a:t>Mettre à jour les</a:t>
          </a:r>
          <a:r>
            <a:rPr lang="fr-FR" sz="1400" b="1" baseline="0">
              <a:solidFill>
                <a:srgbClr val="FF0000"/>
              </a:solidFill>
            </a:rPr>
            <a:t> cellules bleutées avec les données de production du fichier excel "Graphe d'étape 2030". Utiliser les données de production nette exports non-soustraits</a:t>
          </a:r>
          <a:endParaRPr lang="fr-FR" sz="1400" b="1">
            <a:solidFill>
              <a:srgbClr val="FF0000"/>
            </a:solidFill>
          </a:endParaRPr>
        </a:p>
      </xdr:txBody>
    </xdr:sp>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cre.fr/documents/consultations-publiques/quatriemes-tarifs-d-utilisation-des-reseaux-publics-d-electricite"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122"/>
  <sheetViews>
    <sheetView tabSelected="1" workbookViewId="0">
      <selection activeCell="W39" sqref="W39"/>
    </sheetView>
  </sheetViews>
  <sheetFormatPr baseColWidth="10" defaultRowHeight="15" x14ac:dyDescent="0.25"/>
  <cols>
    <col min="1" max="1" width="53.5703125" customWidth="1"/>
    <col min="2" max="3" width="12.7109375" bestFit="1" customWidth="1"/>
    <col min="13" max="13" width="12" bestFit="1" customWidth="1"/>
  </cols>
  <sheetData>
    <row r="1" spans="1:39" x14ac:dyDescent="0.25">
      <c r="A1" s="139" t="s">
        <v>247</v>
      </c>
    </row>
    <row r="2" spans="1:39" x14ac:dyDescent="0.25">
      <c r="A2" t="s">
        <v>209</v>
      </c>
    </row>
    <row r="4" spans="1:39" x14ac:dyDescent="0.25">
      <c r="A4" t="s">
        <v>210</v>
      </c>
      <c r="B4">
        <v>2013</v>
      </c>
      <c r="C4">
        <v>2014</v>
      </c>
      <c r="D4">
        <v>2015</v>
      </c>
      <c r="E4">
        <v>2016</v>
      </c>
      <c r="F4">
        <v>2017</v>
      </c>
      <c r="G4">
        <v>2018</v>
      </c>
      <c r="H4">
        <v>2019</v>
      </c>
      <c r="I4">
        <v>2020</v>
      </c>
      <c r="J4">
        <v>2021</v>
      </c>
      <c r="K4">
        <v>2022</v>
      </c>
      <c r="L4">
        <v>2023</v>
      </c>
      <c r="M4">
        <v>2024</v>
      </c>
      <c r="N4">
        <v>2025</v>
      </c>
      <c r="O4">
        <v>2026</v>
      </c>
      <c r="P4">
        <v>2027</v>
      </c>
      <c r="Q4">
        <v>2028</v>
      </c>
      <c r="R4">
        <v>2029</v>
      </c>
      <c r="S4">
        <v>2030</v>
      </c>
      <c r="T4">
        <v>2031</v>
      </c>
      <c r="U4">
        <v>2032</v>
      </c>
      <c r="V4">
        <v>2033</v>
      </c>
      <c r="W4">
        <v>2034</v>
      </c>
      <c r="X4">
        <v>2035</v>
      </c>
      <c r="Y4">
        <v>2036</v>
      </c>
      <c r="Z4">
        <v>2037</v>
      </c>
      <c r="AA4">
        <v>2038</v>
      </c>
      <c r="AB4">
        <v>2039</v>
      </c>
      <c r="AC4">
        <v>2040</v>
      </c>
      <c r="AD4">
        <v>2041</v>
      </c>
      <c r="AE4">
        <v>2042</v>
      </c>
      <c r="AF4">
        <v>2043</v>
      </c>
      <c r="AG4">
        <v>2044</v>
      </c>
      <c r="AH4">
        <v>2045</v>
      </c>
      <c r="AI4">
        <v>2046</v>
      </c>
      <c r="AJ4">
        <v>2047</v>
      </c>
      <c r="AK4">
        <v>2048</v>
      </c>
      <c r="AL4">
        <v>2049</v>
      </c>
      <c r="AM4">
        <v>2050</v>
      </c>
    </row>
    <row r="5" spans="1:39" x14ac:dyDescent="0.25">
      <c r="A5" t="s">
        <v>211</v>
      </c>
      <c r="B5">
        <f>'Coûts annuels réseaux et stocka'!E36</f>
        <v>0</v>
      </c>
      <c r="C5">
        <f>'Coûts annuels réseaux et stocka'!F36</f>
        <v>0</v>
      </c>
      <c r="D5">
        <f>'Coûts annuels réseaux et stocka'!G36</f>
        <v>0</v>
      </c>
      <c r="E5">
        <f>'Coûts annuels réseaux et stocka'!H36</f>
        <v>0</v>
      </c>
      <c r="F5">
        <f>'Coûts annuels réseaux et stocka'!I36</f>
        <v>0</v>
      </c>
      <c r="G5">
        <f>'Coûts annuels réseaux et stocka'!J36</f>
        <v>0</v>
      </c>
      <c r="H5">
        <f>'Coûts annuels réseaux et stocka'!K36</f>
        <v>0</v>
      </c>
      <c r="I5">
        <f>'Coûts annuels réseaux et stocka'!L36</f>
        <v>0</v>
      </c>
      <c r="J5">
        <f>'Coûts annuels réseaux et stocka'!M36</f>
        <v>0</v>
      </c>
      <c r="K5">
        <f>'Coûts annuels réseaux et stocka'!N36</f>
        <v>0</v>
      </c>
      <c r="L5">
        <f>'Coûts annuels réseaux et stocka'!O36</f>
        <v>0</v>
      </c>
      <c r="M5">
        <f>'Coûts annuels réseaux et stocka'!P36</f>
        <v>0</v>
      </c>
      <c r="N5">
        <f>'Coûts annuels réseaux et stocka'!Q36</f>
        <v>0</v>
      </c>
      <c r="O5">
        <f>'Coûts annuels réseaux et stocka'!R36</f>
        <v>0</v>
      </c>
      <c r="P5">
        <f>'Coûts annuels réseaux et stocka'!S36</f>
        <v>0</v>
      </c>
      <c r="Q5">
        <f>'Coûts annuels réseaux et stocka'!T36</f>
        <v>0</v>
      </c>
      <c r="R5">
        <f>'Coûts annuels réseaux et stocka'!U36</f>
        <v>0</v>
      </c>
      <c r="S5">
        <f>'Coûts annuels réseaux et stocka'!V36</f>
        <v>0</v>
      </c>
      <c r="T5">
        <f>'Coûts annuels réseaux et stocka'!W36</f>
        <v>0</v>
      </c>
      <c r="U5">
        <f>'Coûts annuels réseaux et stocka'!X36</f>
        <v>0</v>
      </c>
      <c r="V5">
        <f>'Coûts annuels réseaux et stocka'!Y36</f>
        <v>0</v>
      </c>
      <c r="W5">
        <f>'Coûts annuels réseaux et stocka'!Z36</f>
        <v>0</v>
      </c>
      <c r="X5">
        <f>'Coûts annuels réseaux et stocka'!AA36</f>
        <v>0</v>
      </c>
      <c r="Y5">
        <f>'Coûts annuels réseaux et stocka'!AB36</f>
        <v>0</v>
      </c>
      <c r="Z5">
        <f>'Coûts annuels réseaux et stocka'!AC36</f>
        <v>0</v>
      </c>
      <c r="AA5">
        <f>'Coûts annuels réseaux et stocka'!AD36</f>
        <v>0</v>
      </c>
      <c r="AB5">
        <f>'Coûts annuels réseaux et stocka'!AE36</f>
        <v>0</v>
      </c>
      <c r="AC5">
        <f>'Coûts annuels réseaux et stocka'!AF36</f>
        <v>0</v>
      </c>
      <c r="AD5">
        <f>'Coûts annuels réseaux et stocka'!AG36</f>
        <v>0</v>
      </c>
      <c r="AE5">
        <f>'Coûts annuels réseaux et stocka'!AH36</f>
        <v>231.84256526276886</v>
      </c>
      <c r="AF5">
        <f>'Coûts annuels réseaux et stocka'!AI36</f>
        <v>462.70518467864377</v>
      </c>
      <c r="AG5">
        <f>'Coûts annuels réseaux et stocka'!AJ36</f>
        <v>692.58785824762458</v>
      </c>
      <c r="AH5">
        <f>'Coûts annuels réseaux et stocka'!AK36</f>
        <v>921.4905859697119</v>
      </c>
      <c r="AI5">
        <f>'Coûts annuels réseaux et stocka'!AL36</f>
        <v>1149.4133678449048</v>
      </c>
      <c r="AJ5">
        <f>'Coûts annuels réseaux et stocka'!AM36</f>
        <v>1376.3562038732039</v>
      </c>
      <c r="AK5">
        <f>'Coûts annuels réseaux et stocka'!AN36</f>
        <v>1602.3190940546094</v>
      </c>
      <c r="AL5">
        <f>'Coûts annuels réseaux et stocka'!AO36</f>
        <v>1827.3020383891212</v>
      </c>
      <c r="AM5">
        <f>'Coûts annuels réseaux et stocka'!AP36</f>
        <v>2051.3050368767372</v>
      </c>
    </row>
    <row r="6" spans="1:39" x14ac:dyDescent="0.25">
      <c r="A6" t="s">
        <v>212</v>
      </c>
      <c r="B6">
        <f>'Coûts annuel génération élec'!E9+'Coûts annuel génération élec'!E13</f>
        <v>899.76673283414334</v>
      </c>
      <c r="C6">
        <f>'Coûts annuel génération élec'!F9+'Coûts annuel génération élec'!F13</f>
        <v>1226.670510489038</v>
      </c>
      <c r="D6">
        <f>'Coûts annuel génération élec'!G9+'Coûts annuel génération élec'!G13</f>
        <v>1553.0689723228695</v>
      </c>
      <c r="E6">
        <f>'Coûts annuel génération élec'!H9+'Coûts annuel génération élec'!H13</f>
        <v>1876.7127125959601</v>
      </c>
      <c r="F6">
        <f>'Coûts annuel génération élec'!I9+'Coûts annuel génération élec'!I13</f>
        <v>2197.6017418108422</v>
      </c>
      <c r="G6">
        <f>'Coûts annuel génération élec'!J9+'Coûts annuel génération élec'!J13</f>
        <v>2649.8452326769288</v>
      </c>
      <c r="H6">
        <f>'Coûts annuel génération élec'!K9+'Coûts annuel génération élec'!K13</f>
        <v>3091.8468970525573</v>
      </c>
      <c r="I6">
        <f>'Coûts annuel génération élec'!L9+'Coûts annuel génération élec'!L13</f>
        <v>3523.6067432985819</v>
      </c>
      <c r="J6">
        <f>'Coûts annuel génération élec'!M9+'Coûts annuel génération élec'!M13</f>
        <v>3945.1247789601443</v>
      </c>
      <c r="K6">
        <f>'Coûts annuel génération élec'!N9+'Coûts annuel génération élec'!N13</f>
        <v>4356.4010107275899</v>
      </c>
      <c r="L6">
        <f>'Coûts annuel génération élec'!O9+'Coûts annuel génération élec'!O13</f>
        <v>4757.4354444046512</v>
      </c>
      <c r="M6">
        <f>'Coûts annuel génération élec'!P9+'Coûts annuel génération élec'!P13</f>
        <v>5112.5551357496934</v>
      </c>
      <c r="N6">
        <f>'Coûts annuel génération élec'!Q9+'Coûts annuel génération élec'!Q13</f>
        <v>5460.4281206725864</v>
      </c>
      <c r="O6">
        <f>'Coûts annuel génération élec'!R9+'Coûts annuel génération élec'!R13</f>
        <v>5801.0543504790558</v>
      </c>
      <c r="P6">
        <f>'Coûts annuel génération élec'!S9+'Coûts annuel génération élec'!S13</f>
        <v>6134.433768740806</v>
      </c>
      <c r="Q6">
        <f>'Coûts annuel génération élec'!T9+'Coûts annuel génération élec'!T13</f>
        <v>6460.5663122877895</v>
      </c>
      <c r="R6">
        <f>'Coûts annuel génération élec'!U9+'Coûts annuel génération élec'!U13</f>
        <v>6779.4519122560287</v>
      </c>
      <c r="S6">
        <f>'Coûts annuel génération élec'!V9+'Coûts annuel génération élec'!V13</f>
        <v>7091.0904951790171</v>
      </c>
      <c r="T6">
        <f>'Coûts annuel génération élec'!W9+'Coûts annuel génération élec'!W13</f>
        <v>7400.7442330154563</v>
      </c>
      <c r="U6">
        <f>'Coûts annuel génération élec'!X9+'Coûts annuel génération élec'!X13</f>
        <v>7708.4131098999287</v>
      </c>
      <c r="V6">
        <f>'Coûts annuel génération élec'!Y9+'Coûts annuel génération élec'!Y13</f>
        <v>7971.3581879421372</v>
      </c>
      <c r="W6">
        <f>'Coûts annuel génération élec'!Z9+'Coûts annuel génération élec'!Z13</f>
        <v>8230.2345778527506</v>
      </c>
      <c r="X6">
        <f>'Coûts annuel génération élec'!AA9+'Coûts annuel génération élec'!AA13</f>
        <v>8488.8506173825099</v>
      </c>
      <c r="Y6">
        <f>'Coûts annuel génération élec'!AB9+'Coûts annuel génération élec'!AB13</f>
        <v>8747.2062821238924</v>
      </c>
      <c r="Z6">
        <f>'Coûts annuel génération élec'!AC9+'Coûts annuel génération élec'!AC13</f>
        <v>9005.3015466949801</v>
      </c>
      <c r="AA6">
        <f>'Coûts annuel génération élec'!AD9+'Coûts annuel génération élec'!AD13</f>
        <v>9162.4328848588648</v>
      </c>
      <c r="AB6">
        <f>'Coûts annuel génération élec'!AE9+'Coûts annuel génération élec'!AE13</f>
        <v>9325.4336687813848</v>
      </c>
      <c r="AC6">
        <f>'Coûts annuel génération élec'!AF9+'Coûts annuel génération élec'!AF13</f>
        <v>9494.3038718200405</v>
      </c>
      <c r="AD6">
        <f>'Coûts annuel génération élec'!AG9+'Coûts annuel génération élec'!AG13</f>
        <v>9669.043467450374</v>
      </c>
      <c r="AE6">
        <f>'Coûts annuel génération élec'!AH9+'Coûts annuel génération élec'!AH13</f>
        <v>9849.6524295210875</v>
      </c>
      <c r="AF6">
        <f>'Coûts annuel génération élec'!AI9+'Coûts annuel génération élec'!AI13</f>
        <v>10036.130732497451</v>
      </c>
      <c r="AG6">
        <f>'Coûts annuel génération élec'!AJ9+'Coûts annuel génération élec'!AJ13</f>
        <v>10254.046853262729</v>
      </c>
      <c r="AH6">
        <f>'Coûts annuel génération élec'!AK9+'Coûts annuel génération élec'!AK13</f>
        <v>10475.380160078324</v>
      </c>
      <c r="AI6">
        <f>'Coûts annuel génération élec'!AL9+'Coûts annuel génération élec'!AL13</f>
        <v>10700.130674729029</v>
      </c>
      <c r="AJ6">
        <f>'Coûts annuel génération élec'!AM9+'Coûts annuel génération élec'!AM13</f>
        <v>10928.298425680317</v>
      </c>
      <c r="AK6">
        <f>'Coûts annuel génération élec'!AN9+'Coûts annuel génération élec'!AN13</f>
        <v>11159.883447419441</v>
      </c>
      <c r="AL6">
        <f>'Coûts annuel génération élec'!AO9+'Coûts annuel génération élec'!AO13</f>
        <v>11394.885779738026</v>
      </c>
      <c r="AM6">
        <f>'Coûts annuel génération élec'!AP9+'Coûts annuel génération élec'!AP13</f>
        <v>11633.305466964997</v>
      </c>
    </row>
    <row r="7" spans="1:39" x14ac:dyDescent="0.25">
      <c r="A7" t="s">
        <v>213</v>
      </c>
      <c r="B7">
        <f>'Coûts annuel génération élec'!E18</f>
        <v>726.59330801079659</v>
      </c>
      <c r="C7">
        <f>'Coûts annuel génération élec'!F18</f>
        <v>1213.0815115377068</v>
      </c>
      <c r="D7">
        <f>'Coûts annuel génération élec'!G18</f>
        <v>1690.0508244265145</v>
      </c>
      <c r="E7">
        <f>'Coûts annuel génération élec'!H18</f>
        <v>2157.501461911937</v>
      </c>
      <c r="F7">
        <f>'Coûts annuel génération élec'!I18</f>
        <v>2615.4336190961139</v>
      </c>
      <c r="G7">
        <f>'Coûts annuel génération élec'!J18</f>
        <v>3063.8474699499375</v>
      </c>
      <c r="H7">
        <f>'Coûts annuel génération élec'!K18</f>
        <v>3502.7431665337863</v>
      </c>
      <c r="I7">
        <f>'Coûts annuel génération élec'!L18</f>
        <v>3932.1208384389633</v>
      </c>
      <c r="J7">
        <f>'Coûts annuel génération élec'!M18</f>
        <v>4351.9805924491311</v>
      </c>
      <c r="K7">
        <f>'Coûts annuel génération élec'!N18</f>
        <v>4762.3225124190922</v>
      </c>
      <c r="L7">
        <f>'Coûts annuel génération élec'!O18</f>
        <v>5163.1466593664172</v>
      </c>
      <c r="M7">
        <f>'Coûts annuel génération élec'!P18</f>
        <v>5554.4530717695288</v>
      </c>
      <c r="N7">
        <f>'Coûts annuel génération élec'!Q18</f>
        <v>5936.241766064255</v>
      </c>
      <c r="O7">
        <f>'Coûts annuel génération élec'!R18</f>
        <v>6308.5127373291043</v>
      </c>
      <c r="P7">
        <f>'Coûts annuel génération élec'!S18</f>
        <v>6671.2659601481628</v>
      </c>
      <c r="Q7">
        <f>'Coûts annuel génération élec'!T18</f>
        <v>7024.5013896390301</v>
      </c>
      <c r="R7">
        <f>'Coûts annuel génération élec'!U18</f>
        <v>7368.2189626320442</v>
      </c>
      <c r="S7">
        <f>'Coûts annuel génération élec'!V18</f>
        <v>7702.4185989859388</v>
      </c>
      <c r="T7">
        <f>'Coûts annuel génération élec'!W18</f>
        <v>8030.0351531670613</v>
      </c>
      <c r="U7">
        <f>'Coûts annuel génération élec'!X18</f>
        <v>8351.0685471336819</v>
      </c>
      <c r="V7">
        <f>'Coûts annuel génération élec'!Y18</f>
        <v>8665.5186899651762</v>
      </c>
      <c r="W7">
        <f>'Coûts annuel génération élec'!Z18</f>
        <v>8973.3854791134127</v>
      </c>
      <c r="X7">
        <f>'Coûts annuel génération élec'!AA18</f>
        <v>9274.6688017196811</v>
      </c>
      <c r="Y7">
        <f>'Coûts annuel génération élec'!AB18</f>
        <v>9569.3685359836818</v>
      </c>
      <c r="Z7">
        <f>'Coûts annuel génération élec'!AC18</f>
        <v>9857.4845525710243</v>
      </c>
      <c r="AA7">
        <f>'Coûts annuel génération élec'!AD18</f>
        <v>10139.016716045557</v>
      </c>
      <c r="AB7">
        <f>'Coûts annuel génération élec'!AE18</f>
        <v>10214.631028434271</v>
      </c>
      <c r="AC7">
        <f>'Coûts annuel génération élec'!AF18</f>
        <v>10286.960234166203</v>
      </c>
      <c r="AD7">
        <f>'Coûts annuel génération élec'!AG18</f>
        <v>10356.004097015453</v>
      </c>
      <c r="AE7">
        <f>'Coûts annuel génération élec'!AH18</f>
        <v>10421.762387294239</v>
      </c>
      <c r="AF7">
        <f>'Coûts annuel génération élec'!AI18</f>
        <v>10484.234883687221</v>
      </c>
      <c r="AG7">
        <f>'Coûts annuel génération élec'!AJ18</f>
        <v>10543.421374959233</v>
      </c>
      <c r="AH7">
        <f>'Coûts annuel génération élec'!AK18</f>
        <v>10599.321661524164</v>
      </c>
      <c r="AI7">
        <f>'Coûts annuel génération élec'!AL18</f>
        <v>10651.935556864208</v>
      </c>
      <c r="AJ7">
        <f>'Coûts annuel génération élec'!AM18</f>
        <v>10701.262888790257</v>
      </c>
      <c r="AK7">
        <f>'Coûts annuel génération élec'!AN18</f>
        <v>10747.30350053584</v>
      </c>
      <c r="AL7">
        <f>'Coûts annuel génération élec'!AO18</f>
        <v>10790.057251678585</v>
      </c>
      <c r="AM7">
        <f>'Coûts annuel génération élec'!AP18</f>
        <v>10829.524018884935</v>
      </c>
    </row>
    <row r="8" spans="1:39" x14ac:dyDescent="0.25">
      <c r="A8" t="s">
        <v>214</v>
      </c>
      <c r="B8">
        <f>'Coûts annuel génération élec'!E39+'Coûts annuel génération élec'!E50</f>
        <v>4126.4121665496377</v>
      </c>
      <c r="C8">
        <f>'Coûts annuel génération élec'!F39+'Coûts annuel génération élec'!F50</f>
        <v>4263.3213493082776</v>
      </c>
      <c r="D8">
        <f>'Coûts annuel génération élec'!G39+'Coûts annuel génération élec'!G50</f>
        <v>4396.517661851165</v>
      </c>
      <c r="E8">
        <f>'Coûts annuel génération élec'!H39+'Coûts annuel génération élec'!H50</f>
        <v>4526.0012173165669</v>
      </c>
      <c r="F8">
        <f>'Coûts annuel génération élec'!I39+'Coûts annuel génération élec'!I50</f>
        <v>4651.7721175702291</v>
      </c>
      <c r="G8">
        <f>'Coûts annuel génération élec'!J39+'Coûts annuel génération élec'!J50</f>
        <v>4773.8304527032915</v>
      </c>
      <c r="H8">
        <f>'Coûts annuel génération élec'!K39+'Coûts annuel génération élec'!K50</f>
        <v>4892.1763006531546</v>
      </c>
      <c r="I8">
        <f>'Coûts annuel génération élec'!L39+'Coûts annuel génération élec'!L50</f>
        <v>5006.8097269475902</v>
      </c>
      <c r="J8">
        <f>'Coûts annuel génération élec'!M39+'Coûts annuel génération élec'!M50</f>
        <v>5117.7307845712257</v>
      </c>
      <c r="K8">
        <f>'Coûts annuel génération élec'!N39+'Coûts annuel génération élec'!N50</f>
        <v>5224.9395139524968</v>
      </c>
      <c r="L8">
        <f>'Coûts annuel génération élec'!O39+'Coûts annuel génération élec'!O50</f>
        <v>5328.4359430680579</v>
      </c>
      <c r="M8">
        <f>'Coûts annuel génération élec'!P39+'Coûts annuel génération élec'!P50</f>
        <v>5428.2200876606976</v>
      </c>
      <c r="N8">
        <f>'Coûts annuel génération élec'!Q39+'Coûts annuel génération élec'!Q50</f>
        <v>5524.2919515658068</v>
      </c>
      <c r="O8">
        <f>'Coûts annuel génération élec'!R39+'Coûts annuel génération élec'!R50</f>
        <v>5616.651527140576</v>
      </c>
      <c r="P8">
        <f>'Coûts annuel génération élec'!S39+'Coûts annuel génération élec'!S50</f>
        <v>5705.2987957893238</v>
      </c>
      <c r="Q8">
        <f>'Coûts annuel génération élec'!T39+'Coûts annuel génération élec'!T50</f>
        <v>5790.2337285775302</v>
      </c>
      <c r="R8">
        <f>'Coûts annuel génération élec'!U39+'Coûts annuel génération élec'!U50</f>
        <v>5871.4562869265728</v>
      </c>
      <c r="S8">
        <f>'Coûts annuel génération élec'!V39+'Coûts annuel génération élec'!V50</f>
        <v>5948.9664233805197</v>
      </c>
      <c r="T8">
        <f>'Coûts annuel génération élec'!W39+'Coûts annuel génération élec'!W50</f>
        <v>6024.1962487500514</v>
      </c>
      <c r="U8">
        <f>'Coûts annuel génération élec'!X39+'Coûts annuel génération élec'!X50</f>
        <v>6097.1457142415165</v>
      </c>
      <c r="V8">
        <f>'Coûts annuel génération élec'!Y39+'Coûts annuel génération élec'!Y50</f>
        <v>6167.814764599394</v>
      </c>
      <c r="W8">
        <f>'Coûts annuel génération élec'!Z39+'Coûts annuel génération élec'!Z50</f>
        <v>6236.2033388714899</v>
      </c>
      <c r="X8">
        <f>'Coûts annuel génération élec'!AA39+'Coûts annuel génération élec'!AA50</f>
        <v>6302.3113712038175</v>
      </c>
      <c r="Y8">
        <f>'Coûts annuel génération élec'!AB39+'Coûts annuel génération élec'!AB50</f>
        <v>6366.1387916569947</v>
      </c>
      <c r="Z8">
        <f>'Coûts annuel génération élec'!AC39+'Coûts annuel génération élec'!AC50</f>
        <v>6427.6855270359929</v>
      </c>
      <c r="AA8">
        <f>'Coûts annuel génération élec'!AD39+'Coûts annuel génération élec'!AD50</f>
        <v>6486.9515017250815</v>
      </c>
      <c r="AB8">
        <f>'Coûts annuel génération élec'!AE39+'Coûts annuel génération élec'!AE50</f>
        <v>6475.6990333590802</v>
      </c>
      <c r="AC8">
        <f>'Coûts annuel génération élec'!AF39+'Coûts annuel génération élec'!AF50</f>
        <v>6462.866242755661</v>
      </c>
      <c r="AD8">
        <f>'Coûts annuel génération élec'!AG39+'Coûts annuel génération élec'!AG50</f>
        <v>6448.4529966835025</v>
      </c>
      <c r="AE8">
        <f>'Coûts annuel génération élec'!AH39+'Coûts annuel génération élec'!AH50</f>
        <v>6432.4591662129096</v>
      </c>
      <c r="AF8">
        <f>'Coûts annuel génération élec'!AI39+'Coûts annuel génération élec'!AI50</f>
        <v>6414.8846277740231</v>
      </c>
      <c r="AG8">
        <f>'Coûts annuel génération élec'!AJ39+'Coûts annuel génération élec'!AJ50</f>
        <v>6397.5470784458348</v>
      </c>
      <c r="AH8">
        <f>'Coûts annuel génération élec'!AK39+'Coûts annuel génération élec'!AK50</f>
        <v>6383.3363516161953</v>
      </c>
      <c r="AI8">
        <f>'Coûts annuel génération élec'!AL39+'Coûts annuel génération élec'!AL50</f>
        <v>6368.2759568279489</v>
      </c>
      <c r="AJ8">
        <f>'Coûts annuel génération élec'!AM39+'Coûts annuel génération élec'!AM50</f>
        <v>6352.3658009026312</v>
      </c>
      <c r="AK8">
        <f>'Coûts annuel génération élec'!AN39+'Coûts annuel génération élec'!AN50</f>
        <v>6335.6058000361809</v>
      </c>
      <c r="AL8">
        <f>'Coûts annuel génération élec'!AO39+'Coûts annuel génération élec'!AO50</f>
        <v>6317.9958803086629</v>
      </c>
      <c r="AM8">
        <f>'Coûts annuel génération élec'!AP39+'Coûts annuel génération élec'!AP50</f>
        <v>6299.5359780880917</v>
      </c>
    </row>
    <row r="9" spans="1:39" x14ac:dyDescent="0.25">
      <c r="A9" t="s">
        <v>215</v>
      </c>
      <c r="B9">
        <f>'Coûts annuel génération élec'!E24+'Coûts annuel génération élec'!E29+'Coûts annuel génération élec'!E33+'Coûts annuel génération élec'!E45</f>
        <v>339.36576125987006</v>
      </c>
      <c r="C9">
        <f>'Coûts annuel génération élec'!F24+'Coûts annuel génération élec'!F29+'Coûts annuel génération élec'!F33+'Coûts annuel génération élec'!F45</f>
        <v>386.56144028417867</v>
      </c>
      <c r="D9">
        <f>'Coûts annuel génération élec'!G24+'Coûts annuel génération élec'!G29+'Coûts annuel génération élec'!G33+'Coûts annuel génération élec'!G45</f>
        <v>433.63188206116666</v>
      </c>
      <c r="E9">
        <f>'Coûts annuel génération élec'!H24+'Coûts annuel génération élec'!H29+'Coûts annuel génération élec'!H33+'Coûts annuel génération élec'!H45</f>
        <v>480.17391398561688</v>
      </c>
      <c r="F9">
        <f>'Coûts annuel génération élec'!I24+'Coûts annuel génération élec'!I29+'Coûts annuel génération élec'!I33+'Coûts annuel génération élec'!I45</f>
        <v>526.18753699825254</v>
      </c>
      <c r="G9">
        <f>'Coûts annuel génération élec'!J24+'Coûts annuel génération élec'!J29+'Coûts annuel génération élec'!J33+'Coûts annuel génération élec'!J45</f>
        <v>571.67275200494748</v>
      </c>
      <c r="H9">
        <f>'Coûts annuel génération élec'!K24+'Coûts annuel génération élec'!K29+'Coûts annuel génération élec'!K33+'Coûts annuel génération élec'!K45</f>
        <v>616.62955987046121</v>
      </c>
      <c r="I9">
        <f>'Coûts annuel génération élec'!L24+'Coûts annuel génération élec'!L29+'Coûts annuel génération élec'!L33+'Coûts annuel génération élec'!L45</f>
        <v>661.05796141251528</v>
      </c>
      <c r="J9">
        <f>'Coûts annuel génération élec'!M24+'Coûts annuel génération élec'!M29+'Coûts annuel génération élec'!M33+'Coûts annuel génération élec'!M45</f>
        <v>704.95795739625021</v>
      </c>
      <c r="K9">
        <f>'Coûts annuel génération élec'!N24+'Coûts annuel génération élec'!N29+'Coûts annuel génération élec'!N33+'Coûts annuel génération élec'!N45</f>
        <v>748.32954852910188</v>
      </c>
      <c r="L9">
        <f>'Coûts annuel génération élec'!O24+'Coûts annuel génération élec'!O29+'Coûts annuel génération élec'!O33+'Coûts annuel génération élec'!O45</f>
        <v>791.1727354561267</v>
      </c>
      <c r="M9">
        <f>'Coûts annuel génération élec'!P24+'Coûts annuel génération élec'!P29+'Coûts annuel génération élec'!P33+'Coûts annuel génération élec'!P45</f>
        <v>833.48751875581218</v>
      </c>
      <c r="N9">
        <f>'Coûts annuel génération élec'!Q24+'Coûts annuel génération élec'!Q29+'Coûts annuel génération élec'!Q33+'Coûts annuel génération élec'!Q45</f>
        <v>875.27389893639429</v>
      </c>
      <c r="O9">
        <f>'Coûts annuel génération élec'!R24+'Coûts annuel génération élec'!R29+'Coûts annuel génération élec'!R33+'Coûts annuel génération élec'!R45</f>
        <v>916.53187643270826</v>
      </c>
      <c r="P9">
        <f>'Coûts annuel génération élec'!S24+'Coûts annuel génération élec'!S29+'Coûts annuel génération élec'!S33+'Coûts annuel génération élec'!S45</f>
        <v>957.2614516035884</v>
      </c>
      <c r="Q9">
        <f>'Coûts annuel génération élec'!T24+'Coûts annuel génération élec'!T29+'Coûts annuel génération élec'!T33+'Coûts annuel génération élec'!T45</f>
        <v>997.46262472983381</v>
      </c>
      <c r="R9">
        <f>'Coûts annuel génération élec'!U24+'Coûts annuel génération élec'!U29+'Coûts annuel génération élec'!U33+'Coûts annuel génération élec'!U45</f>
        <v>1037.1353960127501</v>
      </c>
      <c r="S9">
        <f>'Coûts annuel génération élec'!V24+'Coûts annuel génération élec'!V29+'Coûts annuel génération élec'!V33+'Coûts annuel génération élec'!V45</f>
        <v>1076.2797655732732</v>
      </c>
      <c r="T9">
        <f>'Coûts annuel génération élec'!W24+'Coûts annuel génération élec'!W29+'Coûts annuel génération élec'!W33+'Coûts annuel génération élec'!W45</f>
        <v>1114.9749953742082</v>
      </c>
      <c r="U9">
        <f>'Coûts annuel génération élec'!X24+'Coûts annuel génération élec'!X29+'Coûts annuel génération élec'!X33+'Coûts annuel génération élec'!X45</f>
        <v>1153.2210853754555</v>
      </c>
      <c r="V9">
        <f>'Coûts annuel génération élec'!Y24+'Coûts annuel génération élec'!Y29+'Coûts annuel génération élec'!Y33+'Coûts annuel génération élec'!Y45</f>
        <v>1183.3577375470854</v>
      </c>
      <c r="W9">
        <f>'Coûts annuel génération élec'!Z24+'Coûts annuel génération élec'!Z29+'Coûts annuel génération élec'!Z33+'Coûts annuel génération élec'!Z45</f>
        <v>1213.2660088521152</v>
      </c>
      <c r="X9">
        <f>'Coûts annuel génération élec'!AA24+'Coûts annuel génération élec'!AA29+'Coûts annuel génération élec'!AA33+'Coûts annuel génération élec'!AA45</f>
        <v>1242.9383535041259</v>
      </c>
      <c r="Y9">
        <f>'Coûts annuel génération élec'!AB24+'Coûts annuel génération élec'!AB29+'Coûts annuel génération élec'!AB33+'Coûts annuel génération élec'!AB45</f>
        <v>1272.3747711557903</v>
      </c>
      <c r="Z9">
        <f>'Coûts annuel génération élec'!AC24+'Coûts annuel génération élec'!AC29+'Coûts annuel génération élec'!AC33+'Coûts annuel génération élec'!AC45</f>
        <v>1301.5752613892332</v>
      </c>
      <c r="AA9">
        <f>'Coûts annuel génération élec'!AD24+'Coûts annuel génération élec'!AD29+'Coûts annuel génération élec'!AD33+'Coûts annuel génération élec'!AD45</f>
        <v>1330.5398237195457</v>
      </c>
      <c r="AB9">
        <f>'Coûts annuel génération élec'!AE24+'Coûts annuel génération élec'!AE29+'Coûts annuel génération élec'!AE33+'Coûts annuel génération élec'!AE45</f>
        <v>1359.2684575987528</v>
      </c>
      <c r="AC9">
        <f>'Coûts annuel génération élec'!AF24+'Coûts annuel génération élec'!AF29+'Coûts annuel génération élec'!AF33+'Coûts annuel génération élec'!AF45</f>
        <v>1387.7611624202102</v>
      </c>
      <c r="AD9">
        <f>'Coûts annuel génération élec'!AG24+'Coûts annuel génération élec'!AG29+'Coûts annuel génération élec'!AG33+'Coûts annuel génération élec'!AG45</f>
        <v>1416.0179375233865</v>
      </c>
      <c r="AE9">
        <f>'Coûts annuel génération élec'!AH24+'Coûts annuel génération élec'!AH29+'Coûts annuel génération élec'!AH33+'Coûts annuel génération élec'!AH45</f>
        <v>1444.0387821990037</v>
      </c>
      <c r="AF9">
        <f>'Coûts annuel génération élec'!AI24+'Coûts annuel génération élec'!AI29+'Coûts annuel génération élec'!AI33+'Coûts annuel génération élec'!AI45</f>
        <v>1471.8236956944875</v>
      </c>
      <c r="AG9">
        <f>'Coûts annuel génération élec'!AJ24+'Coûts annuel génération élec'!AJ29+'Coûts annuel génération élec'!AJ33+'Coûts annuel génération élec'!AJ45</f>
        <v>1499.3726772196917</v>
      </c>
      <c r="AH9">
        <f>'Coûts annuel génération élec'!AK24+'Coûts annuel génération élec'!AK29+'Coûts annuel génération élec'!AK33+'Coûts annuel génération élec'!AK45</f>
        <v>1526.6857259528513</v>
      </c>
      <c r="AI9">
        <f>'Coûts annuel génération élec'!AL24+'Coûts annuel génération élec'!AL29+'Coûts annuel génération élec'!AL33+'Coûts annuel génération élec'!AL45</f>
        <v>1553.7628410467189</v>
      </c>
      <c r="AJ9">
        <f>'Coûts annuel génération élec'!AM24+'Coûts annuel génération élec'!AM29+'Coûts annuel génération élec'!AM33+'Coûts annuel génération élec'!AM45</f>
        <v>1580.604021634844</v>
      </c>
      <c r="AK9">
        <f>'Coûts annuel génération élec'!AN24+'Coûts annuel génération élec'!AN29+'Coûts annuel génération élec'!AN33+'Coûts annuel génération élec'!AN45</f>
        <v>1607.2092668379394</v>
      </c>
      <c r="AL9">
        <f>'Coûts annuel génération élec'!AO24+'Coûts annuel génération élec'!AO29+'Coûts annuel génération élec'!AO33+'Coûts annuel génération élec'!AO45</f>
        <v>1633.5785757702995</v>
      </c>
      <c r="AM9">
        <f>'Coûts annuel génération élec'!AP24+'Coûts annuel génération élec'!AP29+'Coûts annuel génération élec'!AP33+'Coûts annuel génération élec'!AP45</f>
        <v>1659.7119475462157</v>
      </c>
    </row>
    <row r="10" spans="1:39" x14ac:dyDescent="0.25">
      <c r="A10" t="s">
        <v>216</v>
      </c>
      <c r="B10">
        <f>SUM(B5:B9)</f>
        <v>6092.1379686544478</v>
      </c>
      <c r="C10">
        <f t="shared" ref="C10:AM10" si="0">SUM(C5:C9)</f>
        <v>7089.6348116192003</v>
      </c>
      <c r="D10">
        <f t="shared" si="0"/>
        <v>8073.2693406617163</v>
      </c>
      <c r="E10">
        <f t="shared" si="0"/>
        <v>9040.3893058100803</v>
      </c>
      <c r="F10">
        <f t="shared" si="0"/>
        <v>9990.995015475437</v>
      </c>
      <c r="G10">
        <f t="shared" si="0"/>
        <v>11059.195907335104</v>
      </c>
      <c r="H10">
        <f t="shared" si="0"/>
        <v>12103.39592410996</v>
      </c>
      <c r="I10">
        <f t="shared" si="0"/>
        <v>13123.59527009765</v>
      </c>
      <c r="J10">
        <f t="shared" si="0"/>
        <v>14119.794113376753</v>
      </c>
      <c r="K10">
        <f t="shared" si="0"/>
        <v>15091.992585628281</v>
      </c>
      <c r="L10">
        <f t="shared" si="0"/>
        <v>16040.190782295253</v>
      </c>
      <c r="M10">
        <f t="shared" si="0"/>
        <v>16928.715813935734</v>
      </c>
      <c r="N10">
        <f t="shared" si="0"/>
        <v>17796.23573723904</v>
      </c>
      <c r="O10">
        <f t="shared" si="0"/>
        <v>18642.750491381445</v>
      </c>
      <c r="P10">
        <f t="shared" si="0"/>
        <v>19468.259976281883</v>
      </c>
      <c r="Q10">
        <f t="shared" si="0"/>
        <v>20272.76405523418</v>
      </c>
      <c r="R10">
        <f t="shared" si="0"/>
        <v>21056.262557827395</v>
      </c>
      <c r="S10">
        <f t="shared" si="0"/>
        <v>21818.75528311875</v>
      </c>
      <c r="T10">
        <f t="shared" si="0"/>
        <v>22569.950630306776</v>
      </c>
      <c r="U10">
        <f t="shared" si="0"/>
        <v>23309.848456650583</v>
      </c>
      <c r="V10">
        <f t="shared" si="0"/>
        <v>23988.049380053795</v>
      </c>
      <c r="W10">
        <f t="shared" si="0"/>
        <v>24653.089404689767</v>
      </c>
      <c r="X10">
        <f t="shared" si="0"/>
        <v>25308.769143810136</v>
      </c>
      <c r="Y10">
        <f t="shared" si="0"/>
        <v>25955.088380920362</v>
      </c>
      <c r="Z10">
        <f t="shared" si="0"/>
        <v>26592.046887691231</v>
      </c>
      <c r="AA10">
        <f t="shared" si="0"/>
        <v>27118.940926349049</v>
      </c>
      <c r="AB10">
        <f t="shared" si="0"/>
        <v>27375.032188173485</v>
      </c>
      <c r="AC10">
        <f t="shared" si="0"/>
        <v>27631.891511162117</v>
      </c>
      <c r="AD10">
        <f t="shared" si="0"/>
        <v>27889.518498672718</v>
      </c>
      <c r="AE10">
        <f t="shared" si="0"/>
        <v>28379.75533049001</v>
      </c>
      <c r="AF10">
        <f t="shared" si="0"/>
        <v>28869.779124331828</v>
      </c>
      <c r="AG10">
        <f t="shared" si="0"/>
        <v>29386.975842135114</v>
      </c>
      <c r="AH10">
        <f t="shared" si="0"/>
        <v>29906.214485141245</v>
      </c>
      <c r="AI10">
        <f t="shared" si="0"/>
        <v>30423.518397312811</v>
      </c>
      <c r="AJ10">
        <f t="shared" si="0"/>
        <v>30938.887340881254</v>
      </c>
      <c r="AK10">
        <f t="shared" si="0"/>
        <v>31452.321108884011</v>
      </c>
      <c r="AL10">
        <f t="shared" si="0"/>
        <v>31963.819525884694</v>
      </c>
      <c r="AM10">
        <f t="shared" si="0"/>
        <v>32473.382448360979</v>
      </c>
    </row>
    <row r="12" spans="1:39" x14ac:dyDescent="0.25">
      <c r="A12" t="s">
        <v>217</v>
      </c>
      <c r="B12">
        <f>B4</f>
        <v>2013</v>
      </c>
      <c r="C12">
        <f t="shared" ref="C12:AM12" si="1">C4</f>
        <v>2014</v>
      </c>
      <c r="D12">
        <f t="shared" si="1"/>
        <v>2015</v>
      </c>
      <c r="E12">
        <f t="shared" si="1"/>
        <v>2016</v>
      </c>
      <c r="F12">
        <f t="shared" si="1"/>
        <v>2017</v>
      </c>
      <c r="G12">
        <f t="shared" si="1"/>
        <v>2018</v>
      </c>
      <c r="H12">
        <f t="shared" si="1"/>
        <v>2019</v>
      </c>
      <c r="I12">
        <f t="shared" si="1"/>
        <v>2020</v>
      </c>
      <c r="J12">
        <f t="shared" si="1"/>
        <v>2021</v>
      </c>
      <c r="K12">
        <f t="shared" si="1"/>
        <v>2022</v>
      </c>
      <c r="L12">
        <f t="shared" si="1"/>
        <v>2023</v>
      </c>
      <c r="M12">
        <f t="shared" si="1"/>
        <v>2024</v>
      </c>
      <c r="N12">
        <f t="shared" si="1"/>
        <v>2025</v>
      </c>
      <c r="O12">
        <f t="shared" si="1"/>
        <v>2026</v>
      </c>
      <c r="P12">
        <f t="shared" si="1"/>
        <v>2027</v>
      </c>
      <c r="Q12">
        <f t="shared" si="1"/>
        <v>2028</v>
      </c>
      <c r="R12">
        <f t="shared" si="1"/>
        <v>2029</v>
      </c>
      <c r="S12">
        <f t="shared" si="1"/>
        <v>2030</v>
      </c>
      <c r="T12">
        <f t="shared" si="1"/>
        <v>2031</v>
      </c>
      <c r="U12">
        <f t="shared" si="1"/>
        <v>2032</v>
      </c>
      <c r="V12">
        <f t="shared" si="1"/>
        <v>2033</v>
      </c>
      <c r="W12">
        <f t="shared" si="1"/>
        <v>2034</v>
      </c>
      <c r="X12">
        <f t="shared" si="1"/>
        <v>2035</v>
      </c>
      <c r="Y12">
        <f t="shared" si="1"/>
        <v>2036</v>
      </c>
      <c r="Z12">
        <f t="shared" si="1"/>
        <v>2037</v>
      </c>
      <c r="AA12">
        <f t="shared" si="1"/>
        <v>2038</v>
      </c>
      <c r="AB12">
        <f t="shared" si="1"/>
        <v>2039</v>
      </c>
      <c r="AC12">
        <f t="shared" si="1"/>
        <v>2040</v>
      </c>
      <c r="AD12">
        <f t="shared" si="1"/>
        <v>2041</v>
      </c>
      <c r="AE12">
        <f t="shared" si="1"/>
        <v>2042</v>
      </c>
      <c r="AF12">
        <f t="shared" si="1"/>
        <v>2043</v>
      </c>
      <c r="AG12">
        <f t="shared" si="1"/>
        <v>2044</v>
      </c>
      <c r="AH12">
        <f t="shared" si="1"/>
        <v>2045</v>
      </c>
      <c r="AI12">
        <f t="shared" si="1"/>
        <v>2046</v>
      </c>
      <c r="AJ12">
        <f t="shared" si="1"/>
        <v>2047</v>
      </c>
      <c r="AK12">
        <f t="shared" si="1"/>
        <v>2048</v>
      </c>
      <c r="AL12">
        <f t="shared" si="1"/>
        <v>2049</v>
      </c>
      <c r="AM12">
        <f t="shared" si="1"/>
        <v>2050</v>
      </c>
    </row>
    <row r="13" spans="1:39" x14ac:dyDescent="0.25">
      <c r="A13" t="s">
        <v>211</v>
      </c>
      <c r="B13">
        <f>'Coûts annuels réseaux et stocka'!E37+'Coûts annuels réseaux et stocka'!E38</f>
        <v>0</v>
      </c>
      <c r="C13">
        <f>'Coûts annuels réseaux et stocka'!F37+'Coûts annuels réseaux et stocka'!F38</f>
        <v>0</v>
      </c>
      <c r="D13">
        <f>'Coûts annuels réseaux et stocka'!G37+'Coûts annuels réseaux et stocka'!G38</f>
        <v>0</v>
      </c>
      <c r="E13">
        <f>'Coûts annuels réseaux et stocka'!H37+'Coûts annuels réseaux et stocka'!H38</f>
        <v>0</v>
      </c>
      <c r="F13">
        <f>'Coûts annuels réseaux et stocka'!I37+'Coûts annuels réseaux et stocka'!I38</f>
        <v>0</v>
      </c>
      <c r="G13">
        <f>'Coûts annuels réseaux et stocka'!J37+'Coûts annuels réseaux et stocka'!J38</f>
        <v>0</v>
      </c>
      <c r="H13">
        <f>'Coûts annuels réseaux et stocka'!K37+'Coûts annuels réseaux et stocka'!K38</f>
        <v>0</v>
      </c>
      <c r="I13">
        <f>'Coûts annuels réseaux et stocka'!L37+'Coûts annuels réseaux et stocka'!L38</f>
        <v>0</v>
      </c>
      <c r="J13">
        <f>'Coûts annuels réseaux et stocka'!M37+'Coûts annuels réseaux et stocka'!M38</f>
        <v>0</v>
      </c>
      <c r="K13">
        <f>'Coûts annuels réseaux et stocka'!N37+'Coûts annuels réseaux et stocka'!N38</f>
        <v>0</v>
      </c>
      <c r="L13">
        <f>'Coûts annuels réseaux et stocka'!O37+'Coûts annuels réseaux et stocka'!O38</f>
        <v>0</v>
      </c>
      <c r="M13">
        <f>'Coûts annuels réseaux et stocka'!P37+'Coûts annuels réseaux et stocka'!P38</f>
        <v>0</v>
      </c>
      <c r="N13">
        <f>'Coûts annuels réseaux et stocka'!Q37+'Coûts annuels réseaux et stocka'!Q38</f>
        <v>0</v>
      </c>
      <c r="O13">
        <f>'Coûts annuels réseaux et stocka'!R37+'Coûts annuels réseaux et stocka'!R38</f>
        <v>0</v>
      </c>
      <c r="P13">
        <f>'Coûts annuels réseaux et stocka'!S37+'Coûts annuels réseaux et stocka'!S38</f>
        <v>0</v>
      </c>
      <c r="Q13">
        <f>'Coûts annuels réseaux et stocka'!T37+'Coûts annuels réseaux et stocka'!T38</f>
        <v>0</v>
      </c>
      <c r="R13">
        <f>'Coûts annuels réseaux et stocka'!U37+'Coûts annuels réseaux et stocka'!U38</f>
        <v>0</v>
      </c>
      <c r="S13">
        <f>'Coûts annuels réseaux et stocka'!V37+'Coûts annuels réseaux et stocka'!V38</f>
        <v>0</v>
      </c>
      <c r="T13">
        <f>'Coûts annuels réseaux et stocka'!W37+'Coûts annuels réseaux et stocka'!W38</f>
        <v>0</v>
      </c>
      <c r="U13">
        <f>'Coûts annuels réseaux et stocka'!X37+'Coûts annuels réseaux et stocka'!X38</f>
        <v>0</v>
      </c>
      <c r="V13">
        <f>'Coûts annuels réseaux et stocka'!Y37+'Coûts annuels réseaux et stocka'!Y38</f>
        <v>0</v>
      </c>
      <c r="W13">
        <f>'Coûts annuels réseaux et stocka'!Z37+'Coûts annuels réseaux et stocka'!Z38</f>
        <v>0</v>
      </c>
      <c r="X13">
        <f>'Coûts annuels réseaux et stocka'!AA37+'Coûts annuels réseaux et stocka'!AA38</f>
        <v>0</v>
      </c>
      <c r="Y13">
        <f>'Coûts annuels réseaux et stocka'!AB37+'Coûts annuels réseaux et stocka'!AB38</f>
        <v>0</v>
      </c>
      <c r="Z13">
        <f>'Coûts annuels réseaux et stocka'!AC37+'Coûts annuels réseaux et stocka'!AC38</f>
        <v>0</v>
      </c>
      <c r="AA13">
        <f>'Coûts annuels réseaux et stocka'!AD37+'Coûts annuels réseaux et stocka'!AD38</f>
        <v>0</v>
      </c>
      <c r="AB13">
        <f>'Coûts annuels réseaux et stocka'!AE37+'Coûts annuels réseaux et stocka'!AE38</f>
        <v>0</v>
      </c>
      <c r="AC13">
        <f>'Coûts annuels réseaux et stocka'!AF37+'Coûts annuels réseaux et stocka'!AF38</f>
        <v>0</v>
      </c>
      <c r="AD13">
        <f>'Coûts annuels réseaux et stocka'!AG37+'Coûts annuels réseaux et stocka'!AG38</f>
        <v>0</v>
      </c>
      <c r="AE13">
        <f>'Coûts annuels réseaux et stocka'!AH37+'Coûts annuels réseaux et stocka'!AH38</f>
        <v>236.3528033860259</v>
      </c>
      <c r="AF13">
        <f>'Coûts annuels réseaux et stocka'!AI37+'Coûts annuels réseaux et stocka'!AI38</f>
        <v>472.92453084423028</v>
      </c>
      <c r="AG13">
        <f>'Coûts annuels réseaux et stocka'!AJ37+'Coûts annuels réseaux et stocka'!AJ38</f>
        <v>709.71518237461316</v>
      </c>
      <c r="AH13">
        <f>'Coûts annuels réseaux et stocka'!AK37+'Coûts annuels réseaux et stocka'!AK38</f>
        <v>946.72475797717425</v>
      </c>
      <c r="AI13">
        <f>'Coûts annuels réseaux et stocka'!AL37+'Coûts annuels réseaux et stocka'!AL38</f>
        <v>1183.9532576519141</v>
      </c>
      <c r="AJ13">
        <f>'Coûts annuels réseaux et stocka'!AM37+'Coûts annuels réseaux et stocka'!AM38</f>
        <v>1421.4006813988321</v>
      </c>
      <c r="AK13">
        <f>'Coûts annuels réseaux et stocka'!AN37+'Coûts annuels réseaux et stocka'!AN38</f>
        <v>1659.0670292179286</v>
      </c>
      <c r="AL13">
        <f>'Coûts annuels réseaux et stocka'!AO37+'Coûts annuels réseaux et stocka'!AO38</f>
        <v>1896.9523011092033</v>
      </c>
      <c r="AM13">
        <f>'Coûts annuels réseaux et stocka'!AP37+'Coûts annuels réseaux et stocka'!AP38</f>
        <v>2135.0564970726573</v>
      </c>
    </row>
    <row r="14" spans="1:39" x14ac:dyDescent="0.25">
      <c r="A14" t="s">
        <v>212</v>
      </c>
      <c r="B14">
        <f>'Coûts annuel génération élec'!E10+'Coûts annuel génération élec'!E14</f>
        <v>372.2332671658549</v>
      </c>
      <c r="C14">
        <f>'Coûts annuel génération élec'!F10+'Coûts annuel génération élec'!F14</f>
        <v>507.47327634251349</v>
      </c>
      <c r="D14">
        <f>'Coûts annuel génération élec'!G10+'Coûts annuel génération élec'!G14</f>
        <v>642.50423649328445</v>
      </c>
      <c r="E14">
        <f>'Coûts annuel génération élec'!H10+'Coûts annuel génération élec'!H14</f>
        <v>776.39556903917958</v>
      </c>
      <c r="F14">
        <f>'Coûts annuel génération élec'!I10+'Coûts annuel génération élec'!I14</f>
        <v>909.14727832509379</v>
      </c>
      <c r="G14">
        <f>'Coûts annuel génération élec'!J10+'Coûts annuel génération élec'!J14</f>
        <v>1266.5928736929839</v>
      </c>
      <c r="H14">
        <f>'Coûts annuel génération élec'!K10+'Coûts annuel génération élec'!K14</f>
        <v>1615.6830140666821</v>
      </c>
      <c r="I14">
        <f>'Coûts annuel génération élec'!L10+'Coûts annuel génération élec'!L14</f>
        <v>1956.4177029050707</v>
      </c>
      <c r="J14">
        <f>'Coûts annuel génération élec'!M10+'Coûts annuel génération élec'!M14</f>
        <v>2288.7969433295739</v>
      </c>
      <c r="K14">
        <f>'Coûts annuel génération élec'!N10+'Coûts annuel génération élec'!N14</f>
        <v>2612.8207381079851</v>
      </c>
      <c r="L14">
        <f>'Coûts annuel génération élec'!O10+'Coûts annuel génération élec'!O14</f>
        <v>2928.4890896413081</v>
      </c>
      <c r="M14">
        <f>'Coûts annuel génération élec'!P10+'Coûts annuel génération élec'!P14</f>
        <v>3162.7898741357567</v>
      </c>
      <c r="N14">
        <f>'Coûts annuel génération élec'!Q10+'Coûts annuel génération élec'!Q14</f>
        <v>3391.6222045454797</v>
      </c>
      <c r="O14">
        <f>'Coûts annuel génération élec'!R10+'Coûts annuel génération élec'!R14</f>
        <v>3614.9860515064574</v>
      </c>
      <c r="P14">
        <f>'Coûts annuel génération élec'!S10+'Coûts annuel génération élec'!S14</f>
        <v>3832.8813753562354</v>
      </c>
      <c r="Q14">
        <f>'Coûts annuel génération élec'!T10+'Coûts annuel génération élec'!T14</f>
        <v>4045.3081269974427</v>
      </c>
      <c r="R14">
        <f>'Coûts annuel génération élec'!U10+'Coûts annuel génération élec'!U14</f>
        <v>4252.2662488364504</v>
      </c>
      <c r="S14">
        <f>'Coûts annuel génération élec'!V10+'Coûts annuel génération élec'!V14</f>
        <v>4453.7556757860548</v>
      </c>
      <c r="T14">
        <f>'Coûts annuel génération élec'!W10+'Coûts annuel génération élec'!W14</f>
        <v>4653.8517059561855</v>
      </c>
      <c r="U14">
        <f>'Coûts annuel génération élec'!X10+'Coûts annuel génération élec'!X14</f>
        <v>4852.554320861087</v>
      </c>
      <c r="V14">
        <f>'Coûts annuel génération élec'!Y10+'Coûts annuel génération élec'!Y14</f>
        <v>5032.1824166623255</v>
      </c>
      <c r="W14">
        <f>'Coûts annuel génération élec'!Z10+'Coûts annuel génération élec'!Z14</f>
        <v>5209.5549820610786</v>
      </c>
      <c r="X14">
        <f>'Coûts annuel génération élec'!AA10+'Coûts annuel génération élec'!AA14</f>
        <v>5386.2475014243537</v>
      </c>
      <c r="Y14">
        <f>'Coûts annuel génération élec'!AB10+'Coûts annuel génération élec'!AB14</f>
        <v>5562.2599371464676</v>
      </c>
      <c r="Z14">
        <f>'Coûts annuel génération élec'!AC10+'Coûts annuel génération élec'!AC14</f>
        <v>5737.5922479834835</v>
      </c>
      <c r="AA14">
        <f>'Coûts annuel génération élec'!AD10+'Coûts annuel génération élec'!AD14</f>
        <v>5813.5246233223497</v>
      </c>
      <c r="AB14">
        <f>'Coûts annuel génération élec'!AE10+'Coûts annuel génération élec'!AE14</f>
        <v>5894.4764102655972</v>
      </c>
      <c r="AC14">
        <f>'Coûts annuel génération élec'!AF10+'Coûts annuel génération élec'!AF14</f>
        <v>5980.4475592364906</v>
      </c>
      <c r="AD14">
        <f>'Coûts annuel génération élec'!AG10+'Coûts annuel génération élec'!AG14</f>
        <v>6071.4380187780353</v>
      </c>
      <c r="AE14">
        <f>'Coûts annuel génération élec'!AH10+'Coûts annuel génération élec'!AH14</f>
        <v>6167.4477360103319</v>
      </c>
      <c r="AF14">
        <f>'Coûts annuel génération élec'!AI10+'Coûts annuel génération élec'!AI14</f>
        <v>6268.4766570874399</v>
      </c>
      <c r="AG14">
        <f>'Coûts annuel génération élec'!AJ10+'Coûts annuel génération élec'!AJ14</f>
        <v>6400.3323736784632</v>
      </c>
      <c r="AH14">
        <f>'Coûts annuel génération élec'!AK10+'Coûts annuel génération élec'!AK14</f>
        <v>6534.9271746592967</v>
      </c>
      <c r="AI14">
        <f>'Coûts annuel génération élec'!AL10+'Coûts annuel génération élec'!AL14</f>
        <v>6672.2610460118158</v>
      </c>
      <c r="AJ14">
        <f>'Coûts annuel génération élec'!AM10+'Coûts annuel génération élec'!AM14</f>
        <v>6812.3339795569464</v>
      </c>
      <c r="AK14">
        <f>'Coûts annuel génération élec'!AN10+'Coûts annuel génération élec'!AN14</f>
        <v>6955.1459726015191</v>
      </c>
      <c r="AL14">
        <f>'Coûts annuel génération élec'!AO10+'Coûts annuel génération élec'!AO14</f>
        <v>7100.697027528583</v>
      </c>
      <c r="AM14">
        <f>'Coûts annuel génération élec'!AP10+'Coûts annuel génération élec'!AP14</f>
        <v>7248.9871513374919</v>
      </c>
    </row>
    <row r="15" spans="1:39" x14ac:dyDescent="0.25">
      <c r="A15" t="s">
        <v>213</v>
      </c>
      <c r="B15">
        <f>'Coûts annuel génération élec'!E19</f>
        <v>98.968617354265746</v>
      </c>
      <c r="C15">
        <f>'Coûts annuel génération élec'!F19</f>
        <v>165.23273557747339</v>
      </c>
      <c r="D15">
        <f>'Coûts annuel génération élec'!G19</f>
        <v>230.20029431573531</v>
      </c>
      <c r="E15">
        <f>'Coûts annuel génération élec'!H19</f>
        <v>293.87132288597775</v>
      </c>
      <c r="F15">
        <f>'Coûts annuel génération élec'!I19</f>
        <v>356.24584786288665</v>
      </c>
      <c r="G15">
        <f>'Coûts annuel génération élec'!J19</f>
        <v>417.32389294287987</v>
      </c>
      <c r="H15">
        <f>'Coûts annuel génération élec'!K19</f>
        <v>477.10547883796414</v>
      </c>
      <c r="I15">
        <f>'Coûts annuel génération élec'!L19</f>
        <v>535.59062319965358</v>
      </c>
      <c r="J15">
        <f>'Coûts annuel génération élec'!M19</f>
        <v>592.77934057285427</v>
      </c>
      <c r="K15">
        <f>'Coûts annuel génération élec'!N19</f>
        <v>648.6716423793531</v>
      </c>
      <c r="L15">
        <f>'Coûts annuel génération élec'!O19</f>
        <v>703.26753693029821</v>
      </c>
      <c r="M15">
        <f>'Coûts annuel génération élec'!P19</f>
        <v>756.56702946680059</v>
      </c>
      <c r="N15">
        <f>'Coûts annuel génération élec'!Q19</f>
        <v>808.57012222756964</v>
      </c>
      <c r="O15">
        <f>'Coûts annuel génération élec'!R19</f>
        <v>859.27681454225342</v>
      </c>
      <c r="P15">
        <f>'Coûts annuel génération élec'!S19</f>
        <v>908.68710294897335</v>
      </c>
      <c r="Q15">
        <f>'Coûts annuel génération élec'!T19</f>
        <v>956.80098133433808</v>
      </c>
      <c r="R15">
        <f>'Coûts annuel génération élec'!U19</f>
        <v>1003.6184410940652</v>
      </c>
      <c r="S15">
        <f>'Coûts annuel génération élec'!V19</f>
        <v>1049.1394713121854</v>
      </c>
      <c r="T15">
        <f>'Coûts annuel génération élec'!W19</f>
        <v>1093.7638258612817</v>
      </c>
      <c r="U15">
        <f>'Coûts annuel génération élec'!X19</f>
        <v>1137.4914941113609</v>
      </c>
      <c r="V15">
        <f>'Coûts annuel génération élec'!Y19</f>
        <v>1180.322463678207</v>
      </c>
      <c r="W15">
        <f>'Coûts annuel génération élec'!Z19</f>
        <v>1222.2567205938317</v>
      </c>
      <c r="X15">
        <f>'Coûts annuel génération élec'!AA19</f>
        <v>1263.2942494858519</v>
      </c>
      <c r="Y15">
        <f>'Coûts annuel génération élec'!AB19</f>
        <v>1303.4350337639589</v>
      </c>
      <c r="Z15">
        <f>'Coûts annuel génération élec'!AC19</f>
        <v>1342.6790558116329</v>
      </c>
      <c r="AA15">
        <f>'Coûts annuel génération élec'!AD19</f>
        <v>1381.0262971812374</v>
      </c>
      <c r="AB15">
        <f>'Coûts annuel génération élec'!AE19</f>
        <v>1391.3256542862348</v>
      </c>
      <c r="AC15">
        <f>'Coûts annuel génération élec'!AF19</f>
        <v>1401.1775499845576</v>
      </c>
      <c r="AD15">
        <f>'Coûts annuel génération élec'!AG19</f>
        <v>1410.581952100089</v>
      </c>
      <c r="AE15">
        <f>'Coûts annuel génération élec'!AH19</f>
        <v>1419.5388293472645</v>
      </c>
      <c r="AF15">
        <f>'Coûts annuel génération élec'!AI19</f>
        <v>1428.0481515809217</v>
      </c>
      <c r="AG15">
        <f>'Coûts annuel génération élec'!AJ19</f>
        <v>1436.1098900289096</v>
      </c>
      <c r="AH15">
        <f>'Coûts annuel génération élec'!AK19</f>
        <v>1443.7240175057846</v>
      </c>
      <c r="AI15">
        <f>'Coûts annuel génération élec'!AL19</f>
        <v>1450.8905086061247</v>
      </c>
      <c r="AJ15">
        <f>'Coûts annuel génération élec'!AM19</f>
        <v>1457.609339876208</v>
      </c>
      <c r="AK15">
        <f>'Coûts annuel génération élec'!AN19</f>
        <v>1463.8804899630143</v>
      </c>
      <c r="AL15">
        <f>'Coûts annuel génération élec'!AO19</f>
        <v>1469.7039397397402</v>
      </c>
      <c r="AM15">
        <f>'Coûts annuel génération élec'!AP19</f>
        <v>1475.0796724072327</v>
      </c>
    </row>
    <row r="16" spans="1:39" x14ac:dyDescent="0.25">
      <c r="A16" t="s">
        <v>214</v>
      </c>
      <c r="B16">
        <f>'Coûts annuel génération élec'!E40+'Coûts annuel génération élec'!E51</f>
        <v>1125.0559124785789</v>
      </c>
      <c r="C16">
        <f>'Coûts annuel génération élec'!F40+'Coûts annuel génération élec'!F51</f>
        <v>1160.9535513266835</v>
      </c>
      <c r="D16">
        <f>'Coûts annuel génération élec'!G40+'Coûts annuel génération élec'!G51</f>
        <v>1195.8648117007569</v>
      </c>
      <c r="E16">
        <f>'Coûts annuel génération élec'!H40+'Coûts annuel génération élec'!H51</f>
        <v>1229.78972326552</v>
      </c>
      <c r="F16">
        <f>'Coûts annuel génération élec'!I40+'Coûts annuel génération élec'!I51</f>
        <v>1262.7283127300516</v>
      </c>
      <c r="G16">
        <f>'Coûts annuel génération élec'!J40+'Coûts annuel génération élec'!J51</f>
        <v>1294.680603716143</v>
      </c>
      <c r="H16">
        <f>'Coûts annuel génération élec'!K40+'Coûts annuel génération élec'!K51</f>
        <v>1325.6466166588889</v>
      </c>
      <c r="I16">
        <f>'Coûts annuel génération élec'!L40+'Coûts annuel génération élec'!L51</f>
        <v>1355.6263687395945</v>
      </c>
      <c r="J16">
        <f>'Coûts annuel génération élec'!M40+'Coûts annuel génération élec'!M51</f>
        <v>1384.6198738507667</v>
      </c>
      <c r="K16">
        <f>'Coûts annuel génération élec'!N40+'Coûts annuel génération élec'!N51</f>
        <v>1412.6271425926941</v>
      </c>
      <c r="L16">
        <f>'Coûts annuel génération élec'!O40+'Coûts annuel génération élec'!O51</f>
        <v>1439.6481823008226</v>
      </c>
      <c r="M16">
        <f>'Coûts annuel génération élec'!P40+'Coûts annuel génération élec'!P51</f>
        <v>1465.6829971028924</v>
      </c>
      <c r="N16">
        <f>'Coûts annuel génération élec'!Q40+'Coûts annuel génération élec'!Q51</f>
        <v>1490.7315880045389</v>
      </c>
      <c r="O16">
        <f>'Coûts annuel génération élec'!R40+'Coûts annuel génération élec'!R51</f>
        <v>1514.7939530018268</v>
      </c>
      <c r="P16">
        <f>'Coûts annuel génération élec'!S40+'Coûts annuel génération élec'!S51</f>
        <v>1537.8700872189893</v>
      </c>
      <c r="Q16">
        <f>'Coûts annuel génération élec'!T40+'Coûts annuel génération élec'!T51</f>
        <v>1559.9599830694299</v>
      </c>
      <c r="R16">
        <f>'Coûts annuel génération élec'!U40+'Coûts annuel génération élec'!U51</f>
        <v>1581.0636304378786</v>
      </c>
      <c r="S16">
        <f>'Coûts annuel génération élec'!V40+'Coûts annuel génération élec'!V51</f>
        <v>1601.1810168814459</v>
      </c>
      <c r="T16">
        <f>'Coûts annuel génération élec'!W40+'Coûts annuel génération élec'!W51</f>
        <v>1620.7005084328885</v>
      </c>
      <c r="U16">
        <f>'Coûts annuel génération élec'!X40+'Coûts annuel génération élec'!X51</f>
        <v>1639.6220922985685</v>
      </c>
      <c r="V16">
        <f>'Coûts annuel génération élec'!Y40+'Coûts annuel génération élec'!Y51</f>
        <v>1657.9457539905525</v>
      </c>
      <c r="W16">
        <f>'Coûts annuel génération élec'!Z40+'Coûts annuel génération élec'!Z51</f>
        <v>1675.6714775272467</v>
      </c>
      <c r="X16">
        <f>'Coûts annuel génération élec'!AA40+'Coûts annuel génération élec'!AA51</f>
        <v>1692.7992456418133</v>
      </c>
      <c r="Y16">
        <f>'Coûts annuel génération élec'!AB40+'Coûts annuel génération élec'!AB51</f>
        <v>1709.3290399962289</v>
      </c>
      <c r="Z16">
        <f>'Coûts annuel génération élec'!AC40+'Coûts annuel génération élec'!AC51</f>
        <v>1725.2608413988419</v>
      </c>
      <c r="AA16">
        <f>'Coûts annuel génération élec'!AD40+'Coûts annuel génération élec'!AD51</f>
        <v>1740.5946300232972</v>
      </c>
      <c r="AB16">
        <f>'Coûts annuel génération élec'!AE40+'Coûts annuel génération élec'!AE51</f>
        <v>1737.4385655784315</v>
      </c>
      <c r="AC16">
        <f>'Coûts annuel génération élec'!AF40+'Coûts annuel génération élec'!AF51</f>
        <v>1733.8681424962201</v>
      </c>
      <c r="AD16">
        <f>'Coûts annuel génération élec'!AG40+'Coûts annuel génération élec'!AG51</f>
        <v>1729.8833258435661</v>
      </c>
      <c r="AE16">
        <f>'Coûts annuel génération élec'!AH40+'Coûts annuel génération élec'!AH51</f>
        <v>1725.4840818152552</v>
      </c>
      <c r="AF16">
        <f>'Coûts annuel génération élec'!AI40+'Coûts annuel génération élec'!AI51</f>
        <v>1720.6703780114153</v>
      </c>
      <c r="AG16">
        <f>'Coûts annuel génération élec'!AJ40+'Coûts annuel génération élec'!AJ51</f>
        <v>1715.921650379639</v>
      </c>
      <c r="AH16">
        <f>'Coûts annuel génération élec'!AK40+'Coûts annuel génération élec'!AK51</f>
        <v>1712.0670313824826</v>
      </c>
      <c r="AI16">
        <f>'Coûts annuel génération élec'!AL40+'Coûts annuel génération élec'!AL51</f>
        <v>1708.0024987007062</v>
      </c>
      <c r="AJ16">
        <f>'Coûts annuel génération élec'!AM40+'Coûts annuel génération élec'!AM51</f>
        <v>1703.728027903026</v>
      </c>
      <c r="AK16">
        <f>'Coûts annuel génération élec'!AN40+'Coûts annuel génération élec'!AN51</f>
        <v>1699.2435970161155</v>
      </c>
      <c r="AL16">
        <f>'Coûts annuel génération élec'!AO40+'Coûts annuel génération élec'!AO51</f>
        <v>1694.5491866582543</v>
      </c>
      <c r="AM16">
        <f>'Coûts annuel génération élec'!AP40+'Coûts annuel génération élec'!AP51</f>
        <v>1689.64478014521</v>
      </c>
    </row>
    <row r="17" spans="1:39" x14ac:dyDescent="0.25">
      <c r="A17" t="s">
        <v>215</v>
      </c>
      <c r="B17">
        <f>'Coûts annuel génération élec'!E46+'Coûts annuel génération élec'!E26+'Coûts annuel génération élec'!E25+'Coûts annuel génération élec'!E30+'Coûts annuel génération élec'!E34</f>
        <v>133.80299410013004</v>
      </c>
      <c r="C17">
        <f>'Coûts annuel génération élec'!F46+'Coûts annuel génération élec'!F26+'Coûts annuel génération élec'!F25+'Coûts annuel génération élec'!F30+'Coûts annuel génération élec'!F34</f>
        <v>157.66786147856769</v>
      </c>
      <c r="D17">
        <f>'Coûts annuel génération élec'!G46+'Coûts annuel génération élec'!G26+'Coûts annuel génération élec'!G25+'Coûts annuel génération élec'!G30+'Coûts annuel génération élec'!G34</f>
        <v>181.48256343967995</v>
      </c>
      <c r="E17">
        <f>'Coûts annuel génération élec'!H46+'Coûts annuel génération élec'!H26+'Coûts annuel génération élec'!H25+'Coûts annuel génération élec'!H30+'Coûts annuel génération élec'!H34</f>
        <v>205.08603046878193</v>
      </c>
      <c r="F17">
        <f>'Coûts annuel génération élec'!I46+'Coûts annuel génération élec'!I26+'Coûts annuel génération élec'!I25+'Coûts annuel génération élec'!I30+'Coûts annuel génération élec'!I34</f>
        <v>228.4782631454332</v>
      </c>
      <c r="G17">
        <f>'Coûts annuel génération élec'!J46+'Coûts annuel génération élec'!J26+'Coûts annuel génération élec'!J25+'Coûts annuel génération élec'!J30+'Coûts annuel génération élec'!J34</f>
        <v>251.65926202772306</v>
      </c>
      <c r="H17">
        <f>'Coûts annuel génération élec'!K46+'Coûts annuel génération élec'!K26+'Coûts annuel génération élec'!K25+'Coûts annuel génération élec'!K30+'Coûts annuel génération élec'!K34</f>
        <v>274.62902764841056</v>
      </c>
      <c r="I17">
        <f>'Coûts annuel génération élec'!L46+'Coûts annuel génération élec'!L26+'Coûts annuel génération élec'!L25+'Coûts annuel génération élec'!L30+'Coûts annuel génération élec'!L34</f>
        <v>297.38756051127524</v>
      </c>
      <c r="J17">
        <f>'Coûts annuel génération élec'!M46+'Coûts annuel génération élec'!M26+'Coûts annuel génération élec'!M25+'Coûts annuel génération élec'!M30+'Coûts annuel génération élec'!M34</f>
        <v>319.93486108770242</v>
      </c>
      <c r="K17">
        <f>'Coûts annuel génération élec'!N46+'Coûts annuel génération élec'!N26+'Coûts annuel génération élec'!N25+'Coûts annuel génération élec'!N30+'Coûts annuel génération élec'!N34</f>
        <v>342.27092981352587</v>
      </c>
      <c r="L17">
        <f>'Coûts annuel génération élec'!O46+'Coûts annuel génération élec'!O26+'Coûts annuel génération élec'!O25+'Coûts annuel génération élec'!O30+'Coûts annuel génération élec'!O34</f>
        <v>364.39576708614879</v>
      </c>
      <c r="M17">
        <f>'Coûts annuel génération élec'!P46+'Coûts annuel génération élec'!P26+'Coûts annuel génération élec'!P25+'Coûts annuel génération élec'!P30+'Coûts annuel génération élec'!P34</f>
        <v>386.30937326196238</v>
      </c>
      <c r="N17">
        <f>'Coûts annuel génération élec'!Q46+'Coûts annuel génération élec'!Q26+'Coûts annuel génération élec'!Q25+'Coûts annuel génération élec'!Q30+'Coûts annuel génération élec'!Q34</f>
        <v>408.011748654077</v>
      </c>
      <c r="O17">
        <f>'Coûts annuel génération élec'!R46+'Coûts annuel génération élec'!R26+'Coûts annuel génération élec'!R25+'Coûts annuel génération élec'!R30+'Coûts annuel génération élec'!R34</f>
        <v>429.50289353038215</v>
      </c>
      <c r="P17">
        <f>'Coûts annuel génération élec'!S46+'Coûts annuel génération élec'!S26+'Coûts annuel génération élec'!S25+'Coûts annuel génération élec'!S30+'Coûts annuel génération élec'!S34</f>
        <v>450.78280811194452</v>
      </c>
      <c r="Q17">
        <f>'Coûts annuel génération élec'!T46+'Coûts annuel génération élec'!T26+'Coûts annuel génération élec'!T25+'Coûts annuel génération élec'!T30+'Coûts annuel génération élec'!T34</f>
        <v>471.85149257175493</v>
      </c>
      <c r="R17">
        <f>'Coûts annuel génération élec'!U46+'Coûts annuel génération élec'!U26+'Coûts annuel génération élec'!U25+'Coûts annuel génération élec'!U30+'Coûts annuel génération élec'!U34</f>
        <v>492.70894703382999</v>
      </c>
      <c r="S17">
        <f>'Coûts annuel génération élec'!V46+'Coûts annuel génération élec'!V26+'Coûts annuel génération élec'!V25+'Coûts annuel génération élec'!V30+'Coûts annuel génération élec'!V34</f>
        <v>513.35517157267213</v>
      </c>
      <c r="T17">
        <f>'Coûts annuel génération élec'!W46+'Coûts annuel génération élec'!W26+'Coûts annuel génération élec'!W25+'Coûts annuel génération élec'!W30+'Coûts annuel génération élec'!W34</f>
        <v>533.82185172683444</v>
      </c>
      <c r="U17">
        <f>'Coûts annuel génération élec'!X46+'Coûts annuel génération élec'!X26+'Coûts annuel génération élec'!X25+'Coûts annuel génération élec'!X30+'Coûts annuel génération élec'!X34</f>
        <v>554.10898747160979</v>
      </c>
      <c r="V17">
        <f>'Coûts annuel génération élec'!Y46+'Coûts annuel génération élec'!Y26+'Coûts annuel génération élec'!Y25+'Coûts annuel génération élec'!Y30+'Coûts annuel génération élec'!Y34</f>
        <v>571.15624661153583</v>
      </c>
      <c r="W17">
        <f>'Coûts annuel génération élec'!Z46+'Coûts annuel génération élec'!Z26+'Coûts annuel génération élec'!Z25+'Coûts annuel génération élec'!Z30+'Coûts annuel génération élec'!Z34</f>
        <v>588.11038648156841</v>
      </c>
      <c r="X17">
        <f>'Coûts annuel génération élec'!AA46+'Coûts annuel génération élec'!AA26+'Coûts annuel génération élec'!AA25+'Coûts annuel génération élec'!AA30+'Coûts annuel génération élec'!AA34</f>
        <v>604.9702152766929</v>
      </c>
      <c r="Y17">
        <f>'Coûts annuel génération élec'!AB46+'Coûts annuel génération élec'!AB26+'Coûts annuel génération élec'!AB25+'Coûts annuel génération élec'!AB30+'Coûts annuel génération élec'!AB34</f>
        <v>621.73573278292315</v>
      </c>
      <c r="Z17">
        <f>'Coûts annuel génération élec'!AC46+'Coûts annuel génération élec'!AC26+'Coûts annuel génération élec'!AC25+'Coûts annuel génération élec'!AC30+'Coûts annuel génération élec'!AC34</f>
        <v>638.40693874281101</v>
      </c>
      <c r="AA17">
        <f>'Coûts annuel génération élec'!AD46+'Coûts annuel génération élec'!AD26+'Coûts annuel génération élec'!AD25+'Coûts annuel génération élec'!AD30+'Coûts annuel génération élec'!AD34</f>
        <v>654.98383285760985</v>
      </c>
      <c r="AB17">
        <f>'Coûts annuel génération élec'!AE46+'Coûts annuel génération élec'!AE26+'Coûts annuel génération élec'!AE25+'Coûts annuel génération élec'!AE30+'Coûts annuel génération élec'!AE34</f>
        <v>671.4664147897206</v>
      </c>
      <c r="AC17">
        <f>'Coûts annuel génération élec'!AF46+'Coûts annuel génération élec'!AF26+'Coûts annuel génération élec'!AF25+'Coûts annuel génération élec'!AF30+'Coûts annuel génération élec'!AF34</f>
        <v>687.85468416539902</v>
      </c>
      <c r="AD17">
        <f>'Coûts annuel génération élec'!AG46+'Coûts annuel génération élec'!AG26+'Coûts annuel génération élec'!AG25+'Coûts annuel génération élec'!AG30+'Coûts annuel génération élec'!AG34</f>
        <v>704.14864057770353</v>
      </c>
      <c r="AE17">
        <f>'Coûts annuel génération élec'!AH46+'Coûts annuel génération élec'!AH26+'Coûts annuel génération élec'!AH25+'Coûts annuel génération élec'!AH30+'Coûts annuel génération élec'!AH34</f>
        <v>720.34828358966126</v>
      </c>
      <c r="AF17">
        <f>'Coûts annuel génération élec'!AI46+'Coûts annuel génération élec'!AI26+'Coûts annuel génération élec'!AI25+'Coûts annuel génération élec'!AI30+'Coûts annuel génération élec'!AI34</f>
        <v>736.45361273762592</v>
      </c>
      <c r="AG17">
        <f>'Coûts annuel génération élec'!AJ46+'Coûts annuel génération élec'!AJ26+'Coûts annuel génération élec'!AJ25+'Coûts annuel génération élec'!AJ30+'Coûts annuel génération élec'!AJ34</f>
        <v>752.46462753480466</v>
      </c>
      <c r="AH17">
        <f>'Coûts annuel génération élec'!AK46+'Coûts annuel génération élec'!AK26+'Coûts annuel génération élec'!AK25+'Coûts annuel génération élec'!AK30+'Coûts annuel génération élec'!AK34</f>
        <v>768.38132747492523</v>
      </c>
      <c r="AI17">
        <f>'Coûts annuel génération élec'!AL46+'Coûts annuel génération élec'!AL26+'Coûts annuel génération élec'!AL25+'Coûts annuel génération élec'!AL30+'Coûts annuel génération élec'!AL34</f>
        <v>784.20371203601769</v>
      </c>
      <c r="AJ17">
        <f>'Coûts annuel génération élec'!AM46+'Coûts annuel génération élec'!AM26+'Coûts annuel génération élec'!AM25+'Coûts annuel génération élec'!AM30+'Coûts annuel génération élec'!AM34</f>
        <v>799.93178068428142</v>
      </c>
      <c r="AK17">
        <f>'Coûts annuel génération élec'!AN46+'Coûts annuel génération élec'!AN26+'Coûts annuel génération élec'!AN25+'Coûts annuel génération élec'!AN30+'Coûts annuel génération élec'!AN34</f>
        <v>815.56553287800818</v>
      </c>
      <c r="AL17">
        <f>'Coûts annuel génération élec'!AO46+'Coûts annuel génération élec'!AO26+'Coûts annuel génération élec'!AO25+'Coûts annuel génération élec'!AO30+'Coûts annuel génération élec'!AO34</f>
        <v>831.10496807153663</v>
      </c>
      <c r="AM17">
        <f>'Coûts annuel génération élec'!AP46+'Coûts annuel génération élec'!AP26+'Coûts annuel génération élec'!AP25+'Coûts annuel génération élec'!AP30+'Coûts annuel génération élec'!AP34</f>
        <v>846.55008571920337</v>
      </c>
    </row>
    <row r="18" spans="1:39" x14ac:dyDescent="0.25">
      <c r="A18" t="s">
        <v>218</v>
      </c>
      <c r="B18">
        <f>SUM(B13:B17)</f>
        <v>1730.0607910988297</v>
      </c>
      <c r="C18">
        <f t="shared" ref="C18:AM18" si="2">SUM(C13:C17)</f>
        <v>1991.327424725238</v>
      </c>
      <c r="D18">
        <f t="shared" si="2"/>
        <v>2250.0519059494563</v>
      </c>
      <c r="E18">
        <f t="shared" si="2"/>
        <v>2505.142645659459</v>
      </c>
      <c r="F18">
        <f t="shared" si="2"/>
        <v>2756.5997020634654</v>
      </c>
      <c r="G18">
        <f t="shared" si="2"/>
        <v>3230.2566323797296</v>
      </c>
      <c r="H18">
        <f t="shared" si="2"/>
        <v>3693.0641372119458</v>
      </c>
      <c r="I18">
        <f t="shared" si="2"/>
        <v>4145.0222553555941</v>
      </c>
      <c r="J18">
        <f t="shared" si="2"/>
        <v>4586.131018840897</v>
      </c>
      <c r="K18">
        <f t="shared" si="2"/>
        <v>5016.3904528935582</v>
      </c>
      <c r="L18">
        <f t="shared" si="2"/>
        <v>5435.8005759585776</v>
      </c>
      <c r="M18">
        <f t="shared" si="2"/>
        <v>5771.349273967412</v>
      </c>
      <c r="N18">
        <f t="shared" si="2"/>
        <v>6098.9356634316646</v>
      </c>
      <c r="O18">
        <f t="shared" si="2"/>
        <v>6418.5597125809199</v>
      </c>
      <c r="P18">
        <f t="shared" si="2"/>
        <v>6730.2213736361418</v>
      </c>
      <c r="Q18">
        <f t="shared" si="2"/>
        <v>7033.9205839729648</v>
      </c>
      <c r="R18">
        <f t="shared" si="2"/>
        <v>7329.6572674022236</v>
      </c>
      <c r="S18">
        <f t="shared" si="2"/>
        <v>7617.4313355523573</v>
      </c>
      <c r="T18">
        <f t="shared" si="2"/>
        <v>7902.1378919771896</v>
      </c>
      <c r="U18">
        <f t="shared" si="2"/>
        <v>8183.7768947426266</v>
      </c>
      <c r="V18">
        <f t="shared" si="2"/>
        <v>8441.6068809426215</v>
      </c>
      <c r="W18">
        <f t="shared" si="2"/>
        <v>8695.5935666637251</v>
      </c>
      <c r="X18">
        <f t="shared" si="2"/>
        <v>8947.3112118287117</v>
      </c>
      <c r="Y18">
        <f t="shared" si="2"/>
        <v>9196.7597436895776</v>
      </c>
      <c r="Z18">
        <f t="shared" si="2"/>
        <v>9443.9390839367697</v>
      </c>
      <c r="AA18">
        <f t="shared" si="2"/>
        <v>9590.1293833844938</v>
      </c>
      <c r="AB18">
        <f t="shared" si="2"/>
        <v>9694.7070449199837</v>
      </c>
      <c r="AC18">
        <f t="shared" si="2"/>
        <v>9803.3479358826662</v>
      </c>
      <c r="AD18">
        <f t="shared" si="2"/>
        <v>9916.0519372993931</v>
      </c>
      <c r="AE18">
        <f t="shared" si="2"/>
        <v>10269.171734148538</v>
      </c>
      <c r="AF18">
        <f t="shared" si="2"/>
        <v>10626.573330261632</v>
      </c>
      <c r="AG18">
        <f t="shared" si="2"/>
        <v>11014.54372399643</v>
      </c>
      <c r="AH18">
        <f t="shared" si="2"/>
        <v>11405.824308999663</v>
      </c>
      <c r="AI18">
        <f t="shared" si="2"/>
        <v>11799.311023006578</v>
      </c>
      <c r="AJ18">
        <f t="shared" si="2"/>
        <v>12195.003809419293</v>
      </c>
      <c r="AK18">
        <f t="shared" si="2"/>
        <v>12592.902621676585</v>
      </c>
      <c r="AL18">
        <f t="shared" si="2"/>
        <v>12993.007423107318</v>
      </c>
      <c r="AM18">
        <f t="shared" si="2"/>
        <v>13395.318186681796</v>
      </c>
    </row>
    <row r="20" spans="1:39" x14ac:dyDescent="0.25">
      <c r="A20" t="s">
        <v>219</v>
      </c>
      <c r="B20">
        <f>B18+B10</f>
        <v>7822.198759753277</v>
      </c>
      <c r="C20">
        <f t="shared" ref="C20:AM20" si="3">C18+C10</f>
        <v>9080.9622363444378</v>
      </c>
      <c r="D20">
        <f t="shared" si="3"/>
        <v>10323.321246611173</v>
      </c>
      <c r="E20">
        <f t="shared" si="3"/>
        <v>11545.53195146954</v>
      </c>
      <c r="F20">
        <f t="shared" si="3"/>
        <v>12747.594717538903</v>
      </c>
      <c r="G20">
        <f t="shared" si="3"/>
        <v>14289.452539714834</v>
      </c>
      <c r="H20">
        <f t="shared" si="3"/>
        <v>15796.460061321906</v>
      </c>
      <c r="I20">
        <f t="shared" si="3"/>
        <v>17268.617525453243</v>
      </c>
      <c r="J20">
        <f t="shared" si="3"/>
        <v>18705.92513221765</v>
      </c>
      <c r="K20">
        <f t="shared" si="3"/>
        <v>20108.383038521839</v>
      </c>
      <c r="L20">
        <f t="shared" si="3"/>
        <v>21475.991358253828</v>
      </c>
      <c r="M20">
        <f t="shared" si="3"/>
        <v>22700.065087903145</v>
      </c>
      <c r="N20">
        <f t="shared" si="3"/>
        <v>23895.171400670704</v>
      </c>
      <c r="O20">
        <f t="shared" si="3"/>
        <v>25061.310203962363</v>
      </c>
      <c r="P20">
        <f t="shared" si="3"/>
        <v>26198.481349918024</v>
      </c>
      <c r="Q20">
        <f t="shared" si="3"/>
        <v>27306.684639207146</v>
      </c>
      <c r="R20">
        <f t="shared" si="3"/>
        <v>28385.919825229619</v>
      </c>
      <c r="S20">
        <f t="shared" si="3"/>
        <v>29436.186618671105</v>
      </c>
      <c r="T20">
        <f t="shared" si="3"/>
        <v>30472.088522283964</v>
      </c>
      <c r="U20">
        <f t="shared" si="3"/>
        <v>31493.62535139321</v>
      </c>
      <c r="V20">
        <f t="shared" si="3"/>
        <v>32429.656260996417</v>
      </c>
      <c r="W20">
        <f t="shared" si="3"/>
        <v>33348.68297135349</v>
      </c>
      <c r="X20">
        <f t="shared" si="3"/>
        <v>34256.080355638849</v>
      </c>
      <c r="Y20">
        <f t="shared" si="3"/>
        <v>35151.84812460994</v>
      </c>
      <c r="Z20">
        <f t="shared" si="3"/>
        <v>36035.985971628004</v>
      </c>
      <c r="AA20">
        <f t="shared" si="3"/>
        <v>36709.070309733543</v>
      </c>
      <c r="AB20">
        <f t="shared" si="3"/>
        <v>37069.739233093467</v>
      </c>
      <c r="AC20">
        <f t="shared" si="3"/>
        <v>37435.239447044783</v>
      </c>
      <c r="AD20">
        <f t="shared" si="3"/>
        <v>37805.570435972113</v>
      </c>
      <c r="AE20">
        <f t="shared" si="3"/>
        <v>38648.927064638548</v>
      </c>
      <c r="AF20">
        <f t="shared" si="3"/>
        <v>39496.352454593463</v>
      </c>
      <c r="AG20">
        <f t="shared" si="3"/>
        <v>40401.519566131545</v>
      </c>
      <c r="AH20">
        <f t="shared" si="3"/>
        <v>41312.038794140906</v>
      </c>
      <c r="AI20">
        <f t="shared" si="3"/>
        <v>42222.829420319387</v>
      </c>
      <c r="AJ20">
        <f t="shared" si="3"/>
        <v>43133.891150300551</v>
      </c>
      <c r="AK20">
        <f t="shared" si="3"/>
        <v>44045.223730560596</v>
      </c>
      <c r="AL20">
        <f t="shared" si="3"/>
        <v>44956.826948992013</v>
      </c>
      <c r="AM20">
        <f t="shared" si="3"/>
        <v>45868.700635042776</v>
      </c>
    </row>
    <row r="21" spans="1:39" x14ac:dyDescent="0.25">
      <c r="A21" t="s">
        <v>220</v>
      </c>
      <c r="B21">
        <f>B20-('Coûts annuel génération élec'!E4+'Coûts annuel génération élec'!E5+'Coûts annuels réseaux et stocka'!E35)</f>
        <v>0</v>
      </c>
      <c r="C21">
        <f>C20-('Coûts annuel génération élec'!F4+'Coûts annuel génération élec'!F5+'Coûts annuels réseaux et stocka'!F35)</f>
        <v>0</v>
      </c>
      <c r="D21">
        <f>D20-('Coûts annuel génération élec'!G4+'Coûts annuel génération élec'!G5+'Coûts annuels réseaux et stocka'!G35)</f>
        <v>0</v>
      </c>
      <c r="E21">
        <f>E20-('Coûts annuel génération élec'!H4+'Coûts annuel génération élec'!H5+'Coûts annuels réseaux et stocka'!H35)</f>
        <v>0</v>
      </c>
      <c r="F21">
        <f>F20-('Coûts annuel génération élec'!I4+'Coûts annuel génération élec'!I5+'Coûts annuels réseaux et stocka'!I35)</f>
        <v>0</v>
      </c>
      <c r="G21">
        <f>G20-('Coûts annuel génération élec'!J4+'Coûts annuel génération élec'!J5+'Coûts annuels réseaux et stocka'!J35)</f>
        <v>0</v>
      </c>
      <c r="H21">
        <f>H20-('Coûts annuel génération élec'!K4+'Coûts annuel génération élec'!K5+'Coûts annuels réseaux et stocka'!K35)</f>
        <v>0</v>
      </c>
      <c r="I21">
        <f>I20-('Coûts annuel génération élec'!L4+'Coûts annuel génération élec'!L5+'Coûts annuels réseaux et stocka'!L35)</f>
        <v>0</v>
      </c>
      <c r="J21">
        <f>J20-('Coûts annuel génération élec'!M4+'Coûts annuel génération élec'!M5+'Coûts annuels réseaux et stocka'!M35)</f>
        <v>0</v>
      </c>
      <c r="K21">
        <f>K20-('Coûts annuel génération élec'!N4+'Coûts annuel génération élec'!N5+'Coûts annuels réseaux et stocka'!N35)</f>
        <v>0</v>
      </c>
      <c r="L21">
        <f>L20-('Coûts annuel génération élec'!O4+'Coûts annuel génération élec'!O5+'Coûts annuels réseaux et stocka'!O35)</f>
        <v>0</v>
      </c>
      <c r="M21">
        <f>M20-('Coûts annuel génération élec'!P4+'Coûts annuel génération élec'!P5+'Coûts annuels réseaux et stocka'!P35)</f>
        <v>0</v>
      </c>
      <c r="N21">
        <f>N20-('Coûts annuel génération élec'!Q4+'Coûts annuel génération élec'!Q5+'Coûts annuels réseaux et stocka'!Q35)</f>
        <v>0</v>
      </c>
      <c r="O21">
        <f>O20-('Coûts annuel génération élec'!R4+'Coûts annuel génération élec'!R5+'Coûts annuels réseaux et stocka'!R35)</f>
        <v>0</v>
      </c>
      <c r="P21">
        <f>P20-('Coûts annuel génération élec'!S4+'Coûts annuel génération élec'!S5+'Coûts annuels réseaux et stocka'!S35)</f>
        <v>0</v>
      </c>
      <c r="Q21">
        <f>Q20-('Coûts annuel génération élec'!T4+'Coûts annuel génération élec'!T5+'Coûts annuels réseaux et stocka'!T35)</f>
        <v>0</v>
      </c>
      <c r="R21">
        <f>R20-('Coûts annuel génération élec'!U4+'Coûts annuel génération élec'!U5+'Coûts annuels réseaux et stocka'!U35)</f>
        <v>0</v>
      </c>
      <c r="S21">
        <f>S20-('Coûts annuel génération élec'!V4+'Coûts annuel génération élec'!V5+'Coûts annuels réseaux et stocka'!V35)</f>
        <v>0</v>
      </c>
      <c r="T21">
        <f>T20-('Coûts annuel génération élec'!W4+'Coûts annuel génération élec'!W5+'Coûts annuels réseaux et stocka'!W35)</f>
        <v>0</v>
      </c>
      <c r="U21">
        <f>U20-('Coûts annuel génération élec'!X4+'Coûts annuel génération élec'!X5+'Coûts annuels réseaux et stocka'!X35)</f>
        <v>0</v>
      </c>
      <c r="V21">
        <f>V20-('Coûts annuel génération élec'!Y4+'Coûts annuel génération élec'!Y5+'Coûts annuels réseaux et stocka'!Y35)</f>
        <v>0</v>
      </c>
      <c r="W21">
        <f>W20-('Coûts annuel génération élec'!Z4+'Coûts annuel génération élec'!Z5+'Coûts annuels réseaux et stocka'!Z35)</f>
        <v>0</v>
      </c>
      <c r="X21">
        <f>X20-('Coûts annuel génération élec'!AA4+'Coûts annuel génération élec'!AA5+'Coûts annuels réseaux et stocka'!AA35)</f>
        <v>0</v>
      </c>
      <c r="Y21">
        <f>Y20-('Coûts annuel génération élec'!AB4+'Coûts annuel génération élec'!AB5+'Coûts annuels réseaux et stocka'!AB35)</f>
        <v>0</v>
      </c>
      <c r="Z21">
        <f>Z20-('Coûts annuel génération élec'!AC4+'Coûts annuel génération élec'!AC5+'Coûts annuels réseaux et stocka'!AC35)</f>
        <v>0</v>
      </c>
      <c r="AA21">
        <f>AA20-('Coûts annuel génération élec'!AD4+'Coûts annuel génération élec'!AD5+'Coûts annuels réseaux et stocka'!AD35)</f>
        <v>0</v>
      </c>
      <c r="AB21">
        <f>AB20-('Coûts annuel génération élec'!AE4+'Coûts annuel génération élec'!AE5+'Coûts annuels réseaux et stocka'!AE35)</f>
        <v>0</v>
      </c>
      <c r="AC21">
        <f>AC20-('Coûts annuel génération élec'!AF4+'Coûts annuel génération élec'!AF5+'Coûts annuels réseaux et stocka'!AF35)</f>
        <v>0</v>
      </c>
      <c r="AD21">
        <f>AD20-('Coûts annuel génération élec'!AG4+'Coûts annuel génération élec'!AG5+'Coûts annuels réseaux et stocka'!AG35)</f>
        <v>0</v>
      </c>
      <c r="AE21">
        <f>AE20-('Coûts annuel génération élec'!AH4+'Coûts annuel génération élec'!AH5+'Coûts annuels réseaux et stocka'!AH35)</f>
        <v>0</v>
      </c>
      <c r="AF21">
        <f>AF20-('Coûts annuel génération élec'!AI4+'Coûts annuel génération élec'!AI5+'Coûts annuels réseaux et stocka'!AI35)</f>
        <v>0</v>
      </c>
      <c r="AG21">
        <f>AG20-('Coûts annuel génération élec'!AJ4+'Coûts annuel génération élec'!AJ5+'Coûts annuels réseaux et stocka'!AJ35)</f>
        <v>0</v>
      </c>
      <c r="AH21">
        <f>AH20-('Coûts annuel génération élec'!AK4+'Coûts annuel génération élec'!AK5+'Coûts annuels réseaux et stocka'!AK35)</f>
        <v>0</v>
      </c>
      <c r="AI21">
        <f>AI20-('Coûts annuel génération élec'!AL4+'Coûts annuel génération élec'!AL5+'Coûts annuels réseaux et stocka'!AL35)</f>
        <v>0</v>
      </c>
      <c r="AJ21">
        <f>AJ20-('Coûts annuel génération élec'!AM4+'Coûts annuel génération élec'!AM5+'Coûts annuels réseaux et stocka'!AM35)</f>
        <v>0</v>
      </c>
      <c r="AK21">
        <f>AK20-('Coûts annuel génération élec'!AN4+'Coûts annuel génération élec'!AN5+'Coûts annuels réseaux et stocka'!AN35)</f>
        <v>0</v>
      </c>
      <c r="AL21">
        <f>AL20-('Coûts annuel génération élec'!AO4+'Coûts annuel génération élec'!AO5+'Coûts annuels réseaux et stocka'!AO35)</f>
        <v>0</v>
      </c>
      <c r="AM21">
        <f>AM20-('Coûts annuel génération élec'!AP4+'Coûts annuel génération élec'!AP5+'Coûts annuels réseaux et stocka'!AP35)</f>
        <v>0</v>
      </c>
    </row>
    <row r="23" spans="1:39" x14ac:dyDescent="0.25">
      <c r="A23" t="s">
        <v>221</v>
      </c>
    </row>
    <row r="25" spans="1:39" x14ac:dyDescent="0.25">
      <c r="A25" t="s">
        <v>222</v>
      </c>
      <c r="B25">
        <f>'Coûts annuels réseaux et stocka'!E11+'Coûts annuels réseaux et stocka'!E16+'Coûts annuels réseaux et stocka'!E22+'Coûts annuels réseaux et stocka'!E27+'Coûts annuels réseaux et stocka'!E32+'Coûts annuels réseaux et stocka'!E41+'Coûts annuels réseaux et stocka'!E45</f>
        <v>3912.3332462537464</v>
      </c>
      <c r="C25">
        <f>'Coûts annuels réseaux et stocka'!F11+'Coûts annuels réseaux et stocka'!F16+'Coûts annuels réseaux et stocka'!F22+'Coûts annuels réseaux et stocka'!F27+'Coûts annuels réseaux et stocka'!F32+'Coûts annuels réseaux et stocka'!F41+'Coûts annuels réseaux et stocka'!F45</f>
        <v>3915.509639885754</v>
      </c>
      <c r="D25">
        <f>'Coûts annuels réseaux et stocka'!G11+'Coûts annuels réseaux et stocka'!G16+'Coûts annuels réseaux et stocka'!G22+'Coûts annuels réseaux et stocka'!G27+'Coûts annuels réseaux et stocka'!G32+'Coûts annuels réseaux et stocka'!G41+'Coûts annuels réseaux et stocka'!G45</f>
        <v>3921.9730096507096</v>
      </c>
      <c r="E25">
        <f>'Coûts annuels réseaux et stocka'!H11+'Coûts annuels réseaux et stocka'!H16+'Coûts annuels réseaux et stocka'!H22+'Coûts annuels réseaux et stocka'!H27+'Coûts annuels réseaux et stocka'!H32+'Coûts annuels réseaux et stocka'!H41+'Coûts annuels réseaux et stocka'!H45</f>
        <v>3941.794784120043</v>
      </c>
      <c r="F25">
        <f>'Coûts annuels réseaux et stocka'!I11+'Coûts annuels réseaux et stocka'!I16+'Coûts annuels réseaux et stocka'!I22+'Coûts annuels réseaux et stocka'!I27+'Coûts annuels réseaux et stocka'!I32+'Coûts annuels réseaux et stocka'!I41+'Coûts annuels réseaux et stocka'!I45</f>
        <v>3974.9749632937528</v>
      </c>
      <c r="G25">
        <f>'Coûts annuels réseaux et stocka'!J11+'Coûts annuels réseaux et stocka'!J16+'Coûts annuels réseaux et stocka'!J22+'Coûts annuels réseaux et stocka'!J27+'Coûts annuels réseaux et stocka'!J32+'Coûts annuels réseaux et stocka'!J41+'Coûts annuels réseaux et stocka'!J45</f>
        <v>4031.5849757432688</v>
      </c>
      <c r="H25">
        <f>'Coûts annuels réseaux et stocka'!K11+'Coûts annuels réseaux et stocka'!K16+'Coûts annuels réseaux et stocka'!K22+'Coûts annuels réseaux et stocka'!K27+'Coûts annuels réseaux et stocka'!K32+'Coûts annuels réseaux et stocka'!K41+'Coûts annuels réseaux et stocka'!K45</f>
        <v>4088.1248214685911</v>
      </c>
      <c r="I25">
        <f>'Coûts annuels réseaux et stocka'!L11+'Coûts annuels réseaux et stocka'!L16+'Coûts annuels réseaux et stocka'!L22+'Coûts annuels réseaux et stocka'!L27+'Coûts annuels réseaux et stocka'!L32+'Coûts annuels réseaux et stocka'!L41+'Coûts annuels réseaux et stocka'!L45</f>
        <v>4141.2373576125756</v>
      </c>
      <c r="J25">
        <f>'Coûts annuels réseaux et stocka'!M11+'Coûts annuels réseaux et stocka'!M16+'Coûts annuels réseaux et stocka'!M22+'Coûts annuels réseaux et stocka'!M27+'Coûts annuels réseaux et stocka'!M32+'Coûts annuels réseaux et stocka'!M41+'Coûts annuels réseaux et stocka'!M45</f>
        <v>4170.7797270323663</v>
      </c>
      <c r="K25">
        <f>'Coûts annuels réseaux et stocka'!N11+'Coûts annuels réseaux et stocka'!N16+'Coûts annuels réseaux et stocka'!N22+'Coûts annuels réseaux et stocka'!N27+'Coûts annuels réseaux et stocka'!N32+'Coûts annuels réseaux et stocka'!N41+'Coûts annuels réseaux et stocka'!N45</f>
        <v>4173.3947868708201</v>
      </c>
      <c r="L25">
        <f>'Coûts annuels réseaux et stocka'!O11+'Coûts annuels réseaux et stocka'!O16+'Coûts annuels réseaux et stocka'!O22+'Coûts annuels réseaux et stocka'!O27+'Coûts annuels réseaux et stocka'!O32+'Coûts annuels réseaux et stocka'!O41+'Coûts annuels réseaux et stocka'!O45</f>
        <v>4175.9396799850792</v>
      </c>
      <c r="M25">
        <f>'Coûts annuels réseaux et stocka'!P11+'Coûts annuels réseaux et stocka'!P16+'Coûts annuels réseaux et stocka'!P22+'Coûts annuels réseaux et stocka'!P27+'Coûts annuels réseaux et stocka'!P32+'Coûts annuels réseaux et stocka'!P41+'Coûts annuels réseaux et stocka'!P45</f>
        <v>4178.4144063751446</v>
      </c>
      <c r="N25">
        <f>'Coûts annuels réseaux et stocka'!Q11+'Coûts annuels réseaux et stocka'!Q16+'Coûts annuels réseaux et stocka'!Q22+'Coûts annuels réseaux et stocka'!Q27+'Coûts annuels réseaux et stocka'!Q32+'Coûts annuels réseaux et stocka'!Q41+'Coûts annuels réseaux et stocka'!Q45</f>
        <v>4207.2835282108599</v>
      </c>
      <c r="O25">
        <f>'Coûts annuels réseaux et stocka'!R11+'Coûts annuels réseaux et stocka'!R16+'Coûts annuels réseaux et stocka'!R22+'Coûts annuels réseaux et stocka'!R27+'Coûts annuels réseaux et stocka'!R32+'Coûts annuels réseaux et stocka'!R41+'Coûts annuels réseaux et stocka'!R45</f>
        <v>4236.0371180545271</v>
      </c>
      <c r="P25">
        <f>'Coûts annuels réseaux et stocka'!S11+'Coûts annuels réseaux et stocka'!S16+'Coûts annuels réseaux et stocka'!S22+'Coûts annuels réseaux et stocka'!S27+'Coûts annuels réseaux et stocka'!S32+'Coûts annuels réseaux et stocka'!S41+'Coûts annuels réseaux et stocka'!S45</f>
        <v>4264.6751509962205</v>
      </c>
      <c r="Q25">
        <f>'Coûts annuels réseaux et stocka'!T11+'Coûts annuels réseaux et stocka'!T16+'Coûts annuels réseaux et stocka'!T22+'Coûts annuels réseaux et stocka'!T27+'Coûts annuels réseaux et stocka'!T32+'Coûts annuels réseaux et stocka'!T41+'Coûts annuels réseaux et stocka'!T45</f>
        <v>4293.1976059409162</v>
      </c>
      <c r="R25">
        <f>'Coûts annuels réseaux et stocka'!U11+'Coûts annuels réseaux et stocka'!U16+'Coûts annuels réseaux et stocka'!U22+'Coûts annuels réseaux et stocka'!U27+'Coûts annuels réseaux et stocka'!U32+'Coûts annuels réseaux et stocka'!U41+'Coûts annuels réseaux et stocka'!U45</f>
        <v>4309.4570375144285</v>
      </c>
      <c r="S25">
        <f>'Coûts annuels réseaux et stocka'!V11+'Coûts annuels réseaux et stocka'!V16+'Coûts annuels réseaux et stocka'!V22+'Coûts annuels réseaux et stocka'!V27+'Coûts annuels réseaux et stocka'!V32+'Coûts annuels réseaux et stocka'!V41+'Coûts annuels réseaux et stocka'!V45</f>
        <v>4325.6008621036408</v>
      </c>
      <c r="T25">
        <f>'Coûts annuels réseaux et stocka'!W11+'Coûts annuels réseaux et stocka'!W16+'Coûts annuels réseaux et stocka'!W22+'Coûts annuels réseaux et stocka'!W27+'Coûts annuels réseaux et stocka'!W32+'Coûts annuels réseaux et stocka'!W41+'Coûts annuels réseaux et stocka'!W45</f>
        <v>4354.1634167797247</v>
      </c>
      <c r="U25">
        <f>'Coûts annuels réseaux et stocka'!X11+'Coûts annuels réseaux et stocka'!X16+'Coûts annuels réseaux et stocka'!X22+'Coûts annuels réseaux et stocka'!X27+'Coûts annuels réseaux et stocka'!X32+'Coûts annuels réseaux et stocka'!X41+'Coûts annuels réseaux et stocka'!X45</f>
        <v>4382.6720987012668</v>
      </c>
      <c r="V25">
        <f>'Coûts annuels réseaux et stocka'!Y11+'Coûts annuels réseaux et stocka'!Y16+'Coûts annuels réseaux et stocka'!Y22+'Coûts annuels réseaux et stocka'!Y27+'Coûts annuels réseaux et stocka'!Y32+'Coûts annuels réseaux et stocka'!Y41+'Coûts annuels réseaux et stocka'!Y45</f>
        <v>4411.1269088399704</v>
      </c>
      <c r="W25">
        <f>'Coûts annuels réseaux et stocka'!Z11+'Coûts annuels réseaux et stocka'!Z16+'Coûts annuels réseaux et stocka'!Z22+'Coûts annuels réseaux et stocka'!Z27+'Coûts annuels réseaux et stocka'!Z32+'Coûts annuels réseaux et stocka'!Z41+'Coûts annuels réseaux et stocka'!Z45</f>
        <v>4438.2746010910487</v>
      </c>
      <c r="X25">
        <f>'Coûts annuels réseaux et stocka'!AA11+'Coûts annuels réseaux et stocka'!AA16+'Coûts annuels réseaux et stocka'!AA22+'Coûts annuels réseaux et stocka'!AA27+'Coûts annuels réseaux et stocka'!AA32+'Coûts annuels réseaux et stocka'!AA41+'Coûts annuels réseaux et stocka'!AA45</f>
        <v>4522.0488144823221</v>
      </c>
      <c r="Y25">
        <f>'Coûts annuels réseaux et stocka'!AB11+'Coûts annuels réseaux et stocka'!AB16+'Coûts annuels réseaux et stocka'!AB22+'Coûts annuels réseaux et stocka'!AB27+'Coûts annuels réseaux et stocka'!AB32+'Coûts annuels réseaux et stocka'!AB41+'Coûts annuels réseaux et stocka'!AB45</f>
        <v>4592.3781337493256</v>
      </c>
      <c r="Z25">
        <f>'Coûts annuels réseaux et stocka'!AC11+'Coûts annuels réseaux et stocka'!AC16+'Coûts annuels réseaux et stocka'!AC22+'Coûts annuels réseaux et stocka'!AC27+'Coûts annuels réseaux et stocka'!AC32+'Coûts annuels réseaux et stocka'!AC41+'Coûts annuels réseaux et stocka'!AC45</f>
        <v>4649.2625753700431</v>
      </c>
      <c r="AA25">
        <f>'Coûts annuels réseaux et stocka'!AD11+'Coûts annuels réseaux et stocka'!AD16+'Coûts annuels réseaux et stocka'!AD22+'Coûts annuels réseaux et stocka'!AD27+'Coûts annuels réseaux et stocka'!AD32+'Coûts annuels réseaux et stocka'!AD41+'Coûts annuels réseaux et stocka'!AD45</f>
        <v>4682.6307298084557</v>
      </c>
      <c r="AB25">
        <f>'Coûts annuels réseaux et stocka'!AE11+'Coûts annuels réseaux et stocka'!AE16+'Coûts annuels réseaux et stocka'!AE22+'Coûts annuels réseaux et stocka'!AE27+'Coûts annuels réseaux et stocka'!AE32+'Coûts annuels réseaux et stocka'!AE41+'Coûts annuels réseaux et stocka'!AE45</f>
        <v>4715.9826179888405</v>
      </c>
      <c r="AC25">
        <f>'Coûts annuels réseaux et stocka'!AF11+'Coûts annuels réseaux et stocka'!AF16+'Coûts annuels réseaux et stocka'!AF22+'Coûts annuels réseaux et stocka'!AF27+'Coûts annuels réseaux et stocka'!AF32+'Coûts annuels réseaux et stocka'!AF41+'Coûts annuels réseaux et stocka'!AF45</f>
        <v>4752.6754048802259</v>
      </c>
      <c r="AD25">
        <f>'Coûts annuels réseaux et stocka'!AG11+'Coûts annuels réseaux et stocka'!AG16+'Coûts annuels réseaux et stocka'!AG22+'Coûts annuels réseaux et stocka'!AG27+'Coûts annuels réseaux et stocka'!AG32+'Coûts annuels réseaux et stocka'!AG41+'Coûts annuels réseaux et stocka'!AG45</f>
        <v>4812.8519702133945</v>
      </c>
      <c r="AE25">
        <f>'Coûts annuels réseaux et stocka'!AH11+'Coûts annuels réseaux et stocka'!AH16+'Coûts annuels réseaux et stocka'!AH22+'Coûts annuels réseaux et stocka'!AH27+'Coûts annuels réseaux et stocka'!AH32+'Coûts annuels réseaux et stocka'!AH41+'Coûts annuels réseaux et stocka'!AH45</f>
        <v>4839.8694792094821</v>
      </c>
      <c r="AF25">
        <f>'Coûts annuels réseaux et stocka'!AI11+'Coûts annuels réseaux et stocka'!AI16+'Coûts annuels réseaux et stocka'!AI22+'Coûts annuels réseaux et stocka'!AI27+'Coûts annuels réseaux et stocka'!AI32+'Coûts annuels réseaux et stocka'!AI41+'Coûts annuels réseaux et stocka'!AI45</f>
        <v>4938.8023639596968</v>
      </c>
      <c r="AG25">
        <f>'Coûts annuels réseaux et stocka'!AJ11+'Coûts annuels réseaux et stocka'!AJ16+'Coûts annuels réseaux et stocka'!AJ22+'Coûts annuels réseaux et stocka'!AJ27+'Coûts annuels réseaux et stocka'!AJ32+'Coûts annuels réseaux et stocka'!AJ41+'Coûts annuels réseaux et stocka'!AJ45</f>
        <v>5037.5148177624624</v>
      </c>
      <c r="AH25">
        <f>'Coûts annuels réseaux et stocka'!AK11+'Coûts annuels réseaux et stocka'!AK16+'Coûts annuels réseaux et stocka'!AK22+'Coûts annuels réseaux et stocka'!AK27+'Coûts annuels réseaux et stocka'!AK32+'Coûts annuels réseaux et stocka'!AK41+'Coûts annuels réseaux et stocka'!AK45</f>
        <v>5135.464117529802</v>
      </c>
      <c r="AI25">
        <f>'Coûts annuels réseaux et stocka'!AL11+'Coûts annuels réseaux et stocka'!AL16+'Coûts annuels réseaux et stocka'!AL22+'Coûts annuels réseaux et stocka'!AL27+'Coûts annuels réseaux et stocka'!AL32+'Coûts annuels réseaux et stocka'!AL41+'Coûts annuels réseaux et stocka'!AL45</f>
        <v>5233.2172179054378</v>
      </c>
      <c r="AJ25">
        <f>'Coûts annuels réseaux et stocka'!AM11+'Coûts annuels réseaux et stocka'!AM16+'Coûts annuels réseaux et stocka'!AM22+'Coûts annuels réseaux et stocka'!AM27+'Coûts annuels réseaux et stocka'!AM32+'Coûts annuels réseaux et stocka'!AM41+'Coûts annuels réseaux et stocka'!AM45</f>
        <v>5330.7741203711721</v>
      </c>
      <c r="AK25">
        <f>'Coûts annuels réseaux et stocka'!AN11+'Coûts annuels réseaux et stocka'!AN16+'Coûts annuels réseaux et stocka'!AN22+'Coûts annuels réseaux et stocka'!AN27+'Coûts annuels réseaux et stocka'!AN32+'Coûts annuels réseaux et stocka'!AN41+'Coûts annuels réseaux et stocka'!AN45</f>
        <v>5428.1348258946427</v>
      </c>
      <c r="AL25">
        <f>'Coûts annuels réseaux et stocka'!AO11+'Coûts annuels réseaux et stocka'!AO16+'Coûts annuels réseaux et stocka'!AO22+'Coûts annuels réseaux et stocka'!AO27+'Coûts annuels réseaux et stocka'!AO32+'Coûts annuels réseaux et stocka'!AO41+'Coûts annuels réseaux et stocka'!AO45</f>
        <v>5618.9079174674662</v>
      </c>
      <c r="AM25">
        <f>'Coûts annuels réseaux et stocka'!AP11+'Coûts annuels réseaux et stocka'!AP16+'Coûts annuels réseaux et stocka'!AP22+'Coûts annuels réseaux et stocka'!AP27+'Coûts annuels réseaux et stocka'!AP32+'Coûts annuels réseaux et stocka'!AP41+'Coûts annuels réseaux et stocka'!AP45</f>
        <v>5809.4848125485705</v>
      </c>
    </row>
    <row r="26" spans="1:39" x14ac:dyDescent="0.25">
      <c r="A26" t="s">
        <v>223</v>
      </c>
      <c r="B26">
        <f>'Coûts annuels réseaux et stocka'!E12+'Coûts annuels réseaux et stocka'!E13+'Coûts annuels réseaux et stocka'!E17+'Coûts annuels réseaux et stocka'!E18+'Coûts annuels réseaux et stocka'!E24+'Coûts annuels réseaux et stocka'!E28+'Coûts annuels réseaux et stocka'!E33+'Coûts annuels réseaux et stocka'!E42+'Coûts annuels réseaux et stocka'!E46</f>
        <v>9690.2539859649114</v>
      </c>
      <c r="C26">
        <f>'Coûts annuels réseaux et stocka'!F12+'Coûts annuels réseaux et stocka'!F13+'Coûts annuels réseaux et stocka'!F17+'Coûts annuels réseaux et stocka'!F18+'Coûts annuels réseaux et stocka'!F24+'Coûts annuels réseaux et stocka'!F28+'Coûts annuels réseaux et stocka'!F33+'Coûts annuels réseaux et stocka'!F42+'Coûts annuels réseaux et stocka'!F46</f>
        <v>9679.461425391486</v>
      </c>
      <c r="D26">
        <f>'Coûts annuels réseaux et stocka'!G12+'Coûts annuels réseaux et stocka'!G13+'Coûts annuels réseaux et stocka'!G17+'Coûts annuels réseaux et stocka'!G18+'Coûts annuels réseaux et stocka'!G24+'Coûts annuels réseaux et stocka'!G28+'Coûts annuels réseaux et stocka'!G33+'Coûts annuels réseaux et stocka'!G42+'Coûts annuels réseaux et stocka'!G46</f>
        <v>9668.6279342289472</v>
      </c>
      <c r="E26">
        <f>'Coûts annuels réseaux et stocka'!H12+'Coûts annuels réseaux et stocka'!H13+'Coûts annuels réseaux et stocka'!H17+'Coûts annuels réseaux et stocka'!H18+'Coûts annuels réseaux et stocka'!H24+'Coûts annuels réseaux et stocka'!H28+'Coûts annuels réseaux et stocka'!H33+'Coûts annuels réseaux et stocka'!H42+'Coûts annuels réseaux et stocka'!H46</f>
        <v>9657.753512477293</v>
      </c>
      <c r="F26">
        <f>'Coûts annuels réseaux et stocka'!I12+'Coûts annuels réseaux et stocka'!I13+'Coûts annuels réseaux et stocka'!I17+'Coûts annuels réseaux et stocka'!I18+'Coûts annuels réseaux et stocka'!I24+'Coûts annuels réseaux et stocka'!I28+'Coûts annuels réseaux et stocka'!I33+'Coûts annuels réseaux et stocka'!I42+'Coûts annuels réseaux et stocka'!I46</f>
        <v>9646.8381601365272</v>
      </c>
      <c r="G26">
        <f>'Coûts annuels réseaux et stocka'!J12+'Coûts annuels réseaux et stocka'!J13+'Coûts annuels réseaux et stocka'!J17+'Coûts annuels réseaux et stocka'!J18+'Coûts annuels réseaux et stocka'!J24+'Coûts annuels réseaux et stocka'!J28+'Coûts annuels réseaux et stocka'!J33+'Coûts annuels réseaux et stocka'!J42+'Coûts annuels réseaux et stocka'!J46</f>
        <v>9635.8818772066479</v>
      </c>
      <c r="H26">
        <f>'Coûts annuels réseaux et stocka'!K12+'Coûts annuels réseaux et stocka'!K13+'Coûts annuels réseaux et stocka'!K17+'Coûts annuels réseaux et stocka'!K18+'Coûts annuels réseaux et stocka'!K24+'Coûts annuels réseaux et stocka'!K28+'Coûts annuels réseaux et stocka'!K33+'Coûts annuels réseaux et stocka'!K42+'Coûts annuels réseaux et stocka'!K46</f>
        <v>9624.8846636876515</v>
      </c>
      <c r="I26">
        <f>'Coûts annuels réseaux et stocka'!L12+'Coûts annuels réseaux et stocka'!L13+'Coûts annuels réseaux et stocka'!L17+'Coûts annuels réseaux et stocka'!L18+'Coûts annuels réseaux et stocka'!L24+'Coûts annuels réseaux et stocka'!L28+'Coûts annuels réseaux et stocka'!L33+'Coûts annuels réseaux et stocka'!L42+'Coûts annuels réseaux et stocka'!L46</f>
        <v>9613.8465195795488</v>
      </c>
      <c r="J26">
        <f>'Coûts annuels réseaux et stocka'!M12+'Coûts annuels réseaux et stocka'!M13+'Coûts annuels réseaux et stocka'!M17+'Coûts annuels réseaux et stocka'!M18+'Coûts annuels réseaux et stocka'!M24+'Coûts annuels réseaux et stocka'!M28+'Coûts annuels réseaux et stocka'!M33+'Coûts annuels réseaux et stocka'!M42+'Coûts annuels réseaux et stocka'!M46</f>
        <v>9602.7674448823291</v>
      </c>
      <c r="K26">
        <f>'Coûts annuels réseaux et stocka'!N12+'Coûts annuels réseaux et stocka'!N13+'Coûts annuels réseaux et stocka'!N17+'Coûts annuels réseaux et stocka'!N18+'Coûts annuels réseaux et stocka'!N24+'Coûts annuels réseaux et stocka'!N28+'Coûts annuels réseaux et stocka'!N33+'Coûts annuels réseaux et stocka'!N42+'Coûts annuels réseaux et stocka'!N46</f>
        <v>9591.6474395959976</v>
      </c>
      <c r="L26">
        <f>'Coûts annuels réseaux et stocka'!O12+'Coûts annuels réseaux et stocka'!O13+'Coûts annuels réseaux et stocka'!O17+'Coûts annuels réseaux et stocka'!O18+'Coûts annuels réseaux et stocka'!O24+'Coûts annuels réseaux et stocka'!O28+'Coûts annuels réseaux et stocka'!O33+'Coûts annuels réseaux et stocka'!O42+'Coûts annuels réseaux et stocka'!O46</f>
        <v>9580.4865037205509</v>
      </c>
      <c r="M26">
        <f>'Coûts annuels réseaux et stocka'!P12+'Coûts annuels réseaux et stocka'!P13+'Coûts annuels réseaux et stocka'!P17+'Coûts annuels réseaux et stocka'!P18+'Coûts annuels réseaux et stocka'!P24+'Coûts annuels réseaux et stocka'!P28+'Coûts annuels réseaux et stocka'!P33+'Coûts annuels réseaux et stocka'!P42+'Coûts annuels réseaux et stocka'!P46</f>
        <v>9569.2846372559907</v>
      </c>
      <c r="N26">
        <f>'Coûts annuels réseaux et stocka'!Q12+'Coûts annuels réseaux et stocka'!Q13+'Coûts annuels réseaux et stocka'!Q17+'Coûts annuels réseaux et stocka'!Q18+'Coûts annuels réseaux et stocka'!Q24+'Coûts annuels réseaux et stocka'!Q28+'Coûts annuels réseaux et stocka'!Q33+'Coûts annuels réseaux et stocka'!Q42+'Coûts annuels réseaux et stocka'!Q46</f>
        <v>9583.4679021358588</v>
      </c>
      <c r="O26">
        <f>'Coûts annuels réseaux et stocka'!R12+'Coûts annuels réseaux et stocka'!R13+'Coûts annuels réseaux et stocka'!R17+'Coûts annuels réseaux et stocka'!R18+'Coûts annuels réseaux et stocka'!R24+'Coûts annuels réseaux et stocka'!R28+'Coûts annuels réseaux et stocka'!R33+'Coûts annuels réseaux et stocka'!R42+'Coûts annuels réseaux et stocka'!R46</f>
        <v>9597.5838115334809</v>
      </c>
      <c r="P26">
        <f>'Coûts annuels réseaux et stocka'!S12+'Coûts annuels réseaux et stocka'!S13+'Coûts annuels réseaux et stocka'!S17+'Coûts annuels réseaux et stocka'!S18+'Coûts annuels réseaux et stocka'!S24+'Coûts annuels réseaux et stocka'!S28+'Coûts annuels réseaux et stocka'!S33+'Coûts annuels réseaux et stocka'!S42+'Coûts annuels réseaux et stocka'!S46</f>
        <v>9611.6323654488551</v>
      </c>
      <c r="Q26">
        <f>'Coûts annuels réseaux et stocka'!T12+'Coûts annuels réseaux et stocka'!T13+'Coûts annuels réseaux et stocka'!T17+'Coûts annuels réseaux et stocka'!T18+'Coûts annuels réseaux et stocka'!T24+'Coûts annuels réseaux et stocka'!T28+'Coûts annuels réseaux et stocka'!T33+'Coûts annuels réseaux et stocka'!T42+'Coûts annuels réseaux et stocka'!T46</f>
        <v>9625.6135638819887</v>
      </c>
      <c r="R26">
        <f>'Coûts annuels réseaux et stocka'!U12+'Coûts annuels réseaux et stocka'!U13+'Coûts annuels réseaux et stocka'!U17+'Coûts annuels réseaux et stocka'!U18+'Coûts annuels réseaux et stocka'!U24+'Coûts annuels réseaux et stocka'!U28+'Coûts annuels réseaux et stocka'!U33+'Coûts annuels réseaux et stocka'!U42+'Coûts annuels réseaux et stocka'!U46</f>
        <v>9636.8634068328756</v>
      </c>
      <c r="S26">
        <f>'Coûts annuels réseaux et stocka'!V12+'Coûts annuels réseaux et stocka'!V13+'Coûts annuels réseaux et stocka'!V17+'Coûts annuels réseaux et stocka'!V18+'Coûts annuels réseaux et stocka'!V24+'Coûts annuels réseaux et stocka'!V28+'Coûts annuels réseaux et stocka'!V33+'Coûts annuels réseaux et stocka'!V42+'Coûts annuels réseaux et stocka'!V46</f>
        <v>9648.0458943015165</v>
      </c>
      <c r="T26">
        <f>'Coûts annuels réseaux et stocka'!W12+'Coûts annuels réseaux et stocka'!W13+'Coûts annuels réseaux et stocka'!W17+'Coûts annuels réseaux et stocka'!W18+'Coûts annuels réseaux et stocka'!W24+'Coûts annuels réseaux et stocka'!W28+'Coûts annuels réseaux et stocka'!W33+'Coûts annuels réseaux et stocka'!W42+'Coûts annuels réseaux et stocka'!W46</f>
        <v>9665.4647596993491</v>
      </c>
      <c r="U26">
        <f>'Coûts annuels réseaux et stocka'!X12+'Coûts annuels réseaux et stocka'!X13+'Coûts annuels réseaux et stocka'!X17+'Coûts annuels réseaux et stocka'!X18+'Coûts annuels réseaux et stocka'!X24+'Coûts annuels réseaux et stocka'!X28+'Coûts annuels réseaux et stocka'!X33+'Coûts annuels réseaux et stocka'!X42+'Coûts annuels réseaux et stocka'!X46</f>
        <v>9682.8522870728139</v>
      </c>
      <c r="V26">
        <f>'Coûts annuels réseaux et stocka'!Y12+'Coûts annuels réseaux et stocka'!Y13+'Coûts annuels réseaux et stocka'!Y17+'Coûts annuels réseaux et stocka'!Y18+'Coûts annuels réseaux et stocka'!Y24+'Coûts annuels réseaux et stocka'!Y28+'Coûts annuels réseaux et stocka'!Y33+'Coûts annuels réseaux et stocka'!Y42+'Coûts annuels réseaux et stocka'!Y46</f>
        <v>9700.2084764219053</v>
      </c>
      <c r="W26">
        <f>'Coûts annuels réseaux et stocka'!Z12+'Coûts annuels réseaux et stocka'!Z13+'Coûts annuels réseaux et stocka'!Z17+'Coûts annuels réseaux et stocka'!Z18+'Coûts annuels réseaux et stocka'!Z24+'Coûts annuels réseaux et stocka'!Z28+'Coûts annuels réseaux et stocka'!Z33+'Coûts annuels réseaux et stocka'!Z42+'Coûts annuels réseaux et stocka'!Z46</f>
        <v>9717.533327746627</v>
      </c>
      <c r="X26">
        <f>'Coûts annuels réseaux et stocka'!AA12+'Coûts annuels réseaux et stocka'!AA13+'Coûts annuels réseaux et stocka'!AA17+'Coûts annuels réseaux et stocka'!AA18+'Coûts annuels réseaux et stocka'!AA24+'Coûts annuels réseaux et stocka'!AA28+'Coûts annuels réseaux et stocka'!AA33+'Coûts annuels réseaux et stocka'!AA42+'Coûts annuels réseaux et stocka'!AA46</f>
        <v>9734.8268410469755</v>
      </c>
      <c r="Y26">
        <f>'Coûts annuels réseaux et stocka'!AB12+'Coûts annuels réseaux et stocka'!AB13+'Coûts annuels réseaux et stocka'!AB17+'Coûts annuels réseaux et stocka'!AB18+'Coûts annuels réseaux et stocka'!AB24+'Coûts annuels réseaux et stocka'!AB28+'Coûts annuels réseaux et stocka'!AB33+'Coûts annuels réseaux et stocka'!AB42+'Coûts annuels réseaux et stocka'!AB46</f>
        <v>9752.0890163229542</v>
      </c>
      <c r="Z26">
        <f>'Coûts annuels réseaux et stocka'!AC12+'Coûts annuels réseaux et stocka'!AC13+'Coûts annuels réseaux et stocka'!AC17+'Coûts annuels réseaux et stocka'!AC18+'Coûts annuels réseaux et stocka'!AC24+'Coûts annuels réseaux et stocka'!AC28+'Coûts annuels réseaux et stocka'!AC33+'Coûts annuels réseaux et stocka'!AC42+'Coûts annuels réseaux et stocka'!AC46</f>
        <v>9769.3198535745632</v>
      </c>
      <c r="AA26">
        <f>'Coûts annuels réseaux et stocka'!AD12+'Coûts annuels réseaux et stocka'!AD13+'Coûts annuels réseaux et stocka'!AD17+'Coûts annuels réseaux et stocka'!AD18+'Coûts annuels réseaux et stocka'!AD24+'Coûts annuels réseaux et stocka'!AD28+'Coûts annuels réseaux et stocka'!AD33+'Coûts annuels réseaux et stocka'!AD42+'Coûts annuels réseaux et stocka'!AD46</f>
        <v>9786.5193528018008</v>
      </c>
      <c r="AB26">
        <f>'Coûts annuels réseaux et stocka'!AE12+'Coûts annuels réseaux et stocka'!AE13+'Coûts annuels réseaux et stocka'!AE17+'Coûts annuels réseaux et stocka'!AE18+'Coûts annuels réseaux et stocka'!AE24+'Coûts annuels réseaux et stocka'!AE28+'Coûts annuels réseaux et stocka'!AE33+'Coûts annuels réseaux et stocka'!AE42+'Coûts annuels réseaux et stocka'!AE46</f>
        <v>9803.6875140046686</v>
      </c>
      <c r="AC26">
        <f>'Coûts annuels réseaux et stocka'!AF12+'Coûts annuels réseaux et stocka'!AF13+'Coûts annuels réseaux et stocka'!AF17+'Coûts annuels réseaux et stocka'!AF18+'Coûts annuels réseaux et stocka'!AF24+'Coûts annuels réseaux et stocka'!AF28+'Coûts annuels réseaux et stocka'!AF33+'Coûts annuels réseaux et stocka'!AF42+'Coûts annuels réseaux et stocka'!AF46</f>
        <v>9820.8243371831613</v>
      </c>
      <c r="AD26">
        <f>'Coûts annuels réseaux et stocka'!AG12+'Coûts annuels réseaux et stocka'!AG13+'Coûts annuels réseaux et stocka'!AG17+'Coûts annuels réseaux et stocka'!AG18+'Coûts annuels réseaux et stocka'!AG24+'Coûts annuels réseaux et stocka'!AG28+'Coûts annuels réseaux et stocka'!AG33+'Coûts annuels réseaux et stocka'!AG42+'Coûts annuels réseaux et stocka'!AG46</f>
        <v>9837.929822337288</v>
      </c>
      <c r="AE26">
        <f>'Coûts annuels réseaux et stocka'!AH12+'Coûts annuels réseaux et stocka'!AH13+'Coûts annuels réseaux et stocka'!AH17+'Coûts annuels réseaux et stocka'!AH18+'Coûts annuels réseaux et stocka'!AH24+'Coûts annuels réseaux et stocka'!AH28+'Coûts annuels réseaux et stocka'!AH33+'Coûts annuels réseaux et stocka'!AH42+'Coûts annuels réseaux et stocka'!AH46</f>
        <v>9855.0039694670413</v>
      </c>
      <c r="AF26">
        <f>'Coûts annuels réseaux et stocka'!AI12+'Coûts annuels réseaux et stocka'!AI13+'Coûts annuels réseaux et stocka'!AI17+'Coûts annuels réseaux et stocka'!AI18+'Coûts annuels réseaux et stocka'!AI24+'Coûts annuels réseaux et stocka'!AI28+'Coûts annuels réseaux et stocka'!AI33+'Coûts annuels réseaux et stocka'!AI42+'Coûts annuels réseaux et stocka'!AI46</f>
        <v>9903.2256568110861</v>
      </c>
      <c r="AG26">
        <f>'Coûts annuels réseaux et stocka'!AJ12+'Coûts annuels réseaux et stocka'!AJ13+'Coûts annuels réseaux et stocka'!AJ17+'Coûts annuels réseaux et stocka'!AJ18+'Coûts annuels réseaux et stocka'!AJ24+'Coûts annuels réseaux et stocka'!AJ28+'Coûts annuels réseaux et stocka'!AJ33+'Coûts annuels réseaux et stocka'!AJ42+'Coûts annuels réseaux et stocka'!AJ46</f>
        <v>9951.2968723417653</v>
      </c>
      <c r="AH26">
        <f>'Coûts annuels réseaux et stocka'!AK12+'Coûts annuels réseaux et stocka'!AK13+'Coûts annuels réseaux et stocka'!AK17+'Coûts annuels réseaux et stocka'!AK18+'Coûts annuels réseaux et stocka'!AK24+'Coûts annuels réseaux et stocka'!AK28+'Coûts annuels réseaux et stocka'!AK33+'Coûts annuels réseaux et stocka'!AK42+'Coûts annuels réseaux et stocka'!AK46</f>
        <v>9999.2176160590789</v>
      </c>
      <c r="AI26">
        <f>'Coûts annuels réseaux et stocka'!AL12+'Coûts annuels réseaux et stocka'!AL13+'Coûts annuels réseaux et stocka'!AL17+'Coûts annuels réseaux et stocka'!AL18+'Coûts annuels réseaux et stocka'!AL24+'Coûts annuels réseaux et stocka'!AL28+'Coûts annuels réseaux et stocka'!AL33+'Coûts annuels réseaux et stocka'!AL42+'Coûts annuels réseaux et stocka'!AL46</f>
        <v>10046.987887963029</v>
      </c>
      <c r="AJ26">
        <f>'Coûts annuels réseaux et stocka'!AM12+'Coûts annuels réseaux et stocka'!AM13+'Coûts annuels réseaux et stocka'!AM17+'Coûts annuels réseaux et stocka'!AM18+'Coûts annuels réseaux et stocka'!AM24+'Coûts annuels réseaux et stocka'!AM28+'Coûts annuels réseaux et stocka'!AM33+'Coûts annuels réseaux et stocka'!AM42+'Coûts annuels réseaux et stocka'!AM46</f>
        <v>10094.607688053615</v>
      </c>
      <c r="AK26">
        <f>'Coûts annuels réseaux et stocka'!AN12+'Coûts annuels réseaux et stocka'!AN13+'Coûts annuels réseaux et stocka'!AN17+'Coûts annuels réseaux et stocka'!AN18+'Coûts annuels réseaux et stocka'!AN24+'Coûts annuels réseaux et stocka'!AN28+'Coûts annuels réseaux et stocka'!AN33+'Coûts annuels réseaux et stocka'!AN42+'Coûts annuels réseaux et stocka'!AN46</f>
        <v>10142.077016330835</v>
      </c>
      <c r="AL26">
        <f>'Coûts annuels réseaux et stocka'!AO12+'Coûts annuels réseaux et stocka'!AO13+'Coûts annuels réseaux et stocka'!AO17+'Coûts annuels réseaux et stocka'!AO18+'Coûts annuels réseaux et stocka'!AO24+'Coûts annuels réseaux et stocka'!AO28+'Coûts annuels réseaux et stocka'!AO33+'Coûts annuels réseaux et stocka'!AO42+'Coûts annuels réseaux et stocka'!AO46</f>
        <v>10300.790086003542</v>
      </c>
      <c r="AM26">
        <f>'Coûts annuels réseaux et stocka'!AP12+'Coûts annuels réseaux et stocka'!AP13+'Coûts annuels réseaux et stocka'!AP17+'Coûts annuels réseaux et stocka'!AP18+'Coûts annuels réseaux et stocka'!AP24+'Coûts annuels réseaux et stocka'!AP28+'Coûts annuels réseaux et stocka'!AP33+'Coûts annuels réseaux et stocka'!AP42+'Coûts annuels réseaux et stocka'!AP46</f>
        <v>10459.352683862888</v>
      </c>
    </row>
    <row r="27" spans="1:39" ht="15.75" thickBot="1" x14ac:dyDescent="0.3"/>
    <row r="28" spans="1:39" x14ac:dyDescent="0.25">
      <c r="A28" s="121" t="s">
        <v>210</v>
      </c>
      <c r="B28" s="122">
        <f>B4</f>
        <v>2013</v>
      </c>
      <c r="C28" s="122">
        <f t="shared" ref="C28:AM28" si="4">C4</f>
        <v>2014</v>
      </c>
      <c r="D28" s="122">
        <f t="shared" si="4"/>
        <v>2015</v>
      </c>
      <c r="E28" s="122">
        <f t="shared" si="4"/>
        <v>2016</v>
      </c>
      <c r="F28" s="122">
        <f t="shared" si="4"/>
        <v>2017</v>
      </c>
      <c r="G28" s="122">
        <f t="shared" si="4"/>
        <v>2018</v>
      </c>
      <c r="H28" s="122">
        <f t="shared" si="4"/>
        <v>2019</v>
      </c>
      <c r="I28" s="122">
        <f t="shared" si="4"/>
        <v>2020</v>
      </c>
      <c r="J28" s="122">
        <f t="shared" si="4"/>
        <v>2021</v>
      </c>
      <c r="K28" s="122">
        <f t="shared" si="4"/>
        <v>2022</v>
      </c>
      <c r="L28" s="122">
        <f t="shared" si="4"/>
        <v>2023</v>
      </c>
      <c r="M28" s="122">
        <f t="shared" si="4"/>
        <v>2024</v>
      </c>
      <c r="N28" s="122">
        <f t="shared" si="4"/>
        <v>2025</v>
      </c>
      <c r="O28" s="122">
        <f t="shared" si="4"/>
        <v>2026</v>
      </c>
      <c r="P28" s="122">
        <f t="shared" si="4"/>
        <v>2027</v>
      </c>
      <c r="Q28" s="122">
        <f t="shared" si="4"/>
        <v>2028</v>
      </c>
      <c r="R28" s="122">
        <f t="shared" si="4"/>
        <v>2029</v>
      </c>
      <c r="S28" s="122">
        <f t="shared" si="4"/>
        <v>2030</v>
      </c>
      <c r="T28" s="122">
        <f t="shared" si="4"/>
        <v>2031</v>
      </c>
      <c r="U28" s="122">
        <f t="shared" si="4"/>
        <v>2032</v>
      </c>
      <c r="V28" s="122">
        <f t="shared" si="4"/>
        <v>2033</v>
      </c>
      <c r="W28" s="122">
        <f t="shared" si="4"/>
        <v>2034</v>
      </c>
      <c r="X28" s="122">
        <f t="shared" si="4"/>
        <v>2035</v>
      </c>
      <c r="Y28" s="122">
        <f t="shared" si="4"/>
        <v>2036</v>
      </c>
      <c r="Z28" s="122">
        <f t="shared" si="4"/>
        <v>2037</v>
      </c>
      <c r="AA28" s="122">
        <f t="shared" si="4"/>
        <v>2038</v>
      </c>
      <c r="AB28" s="122">
        <f t="shared" si="4"/>
        <v>2039</v>
      </c>
      <c r="AC28" s="122">
        <f t="shared" si="4"/>
        <v>2040</v>
      </c>
      <c r="AD28" s="122">
        <f t="shared" si="4"/>
        <v>2041</v>
      </c>
      <c r="AE28" s="122">
        <f t="shared" si="4"/>
        <v>2042</v>
      </c>
      <c r="AF28" s="122">
        <f t="shared" si="4"/>
        <v>2043</v>
      </c>
      <c r="AG28" s="122">
        <f t="shared" si="4"/>
        <v>2044</v>
      </c>
      <c r="AH28" s="122">
        <f t="shared" si="4"/>
        <v>2045</v>
      </c>
      <c r="AI28" s="122">
        <f t="shared" si="4"/>
        <v>2046</v>
      </c>
      <c r="AJ28" s="122">
        <f t="shared" si="4"/>
        <v>2047</v>
      </c>
      <c r="AK28" s="122">
        <f t="shared" si="4"/>
        <v>2048</v>
      </c>
      <c r="AL28" s="122">
        <f t="shared" si="4"/>
        <v>2049</v>
      </c>
      <c r="AM28" s="123">
        <f t="shared" si="4"/>
        <v>2050</v>
      </c>
    </row>
    <row r="29" spans="1:39" x14ac:dyDescent="0.25">
      <c r="A29" s="124" t="s">
        <v>224</v>
      </c>
      <c r="B29" s="86">
        <f t="shared" ref="B29:AM33" si="5">B5+B$25*B100</f>
        <v>0</v>
      </c>
      <c r="C29" s="86">
        <f t="shared" si="5"/>
        <v>0</v>
      </c>
      <c r="D29" s="86">
        <f t="shared" si="5"/>
        <v>0</v>
      </c>
      <c r="E29" s="86">
        <f t="shared" si="5"/>
        <v>0</v>
      </c>
      <c r="F29" s="86">
        <f t="shared" si="5"/>
        <v>0</v>
      </c>
      <c r="G29" s="86">
        <f t="shared" si="5"/>
        <v>0</v>
      </c>
      <c r="H29" s="86">
        <f t="shared" si="5"/>
        <v>0</v>
      </c>
      <c r="I29" s="86">
        <f t="shared" si="5"/>
        <v>0</v>
      </c>
      <c r="J29" s="86">
        <f t="shared" si="5"/>
        <v>0</v>
      </c>
      <c r="K29" s="86">
        <f t="shared" si="5"/>
        <v>0</v>
      </c>
      <c r="L29" s="86">
        <f t="shared" si="5"/>
        <v>0</v>
      </c>
      <c r="M29" s="86">
        <f t="shared" si="5"/>
        <v>0</v>
      </c>
      <c r="N29" s="86">
        <f t="shared" si="5"/>
        <v>0</v>
      </c>
      <c r="O29" s="86">
        <f t="shared" si="5"/>
        <v>0</v>
      </c>
      <c r="P29" s="86">
        <f t="shared" si="5"/>
        <v>0</v>
      </c>
      <c r="Q29" s="86">
        <f t="shared" si="5"/>
        <v>0</v>
      </c>
      <c r="R29" s="86">
        <f t="shared" si="5"/>
        <v>0</v>
      </c>
      <c r="S29" s="86">
        <f t="shared" si="5"/>
        <v>0</v>
      </c>
      <c r="T29" s="86">
        <f t="shared" si="5"/>
        <v>0</v>
      </c>
      <c r="U29" s="86">
        <f t="shared" si="5"/>
        <v>0</v>
      </c>
      <c r="V29" s="86">
        <f t="shared" si="5"/>
        <v>0</v>
      </c>
      <c r="W29" s="86">
        <f t="shared" si="5"/>
        <v>0</v>
      </c>
      <c r="X29" s="86">
        <f t="shared" si="5"/>
        <v>0</v>
      </c>
      <c r="Y29" s="86">
        <f t="shared" si="5"/>
        <v>0</v>
      </c>
      <c r="Z29" s="86">
        <f t="shared" si="5"/>
        <v>0</v>
      </c>
      <c r="AA29" s="86">
        <f t="shared" si="5"/>
        <v>0</v>
      </c>
      <c r="AB29" s="86">
        <f t="shared" si="5"/>
        <v>0</v>
      </c>
      <c r="AC29" s="86">
        <f t="shared" si="5"/>
        <v>0</v>
      </c>
      <c r="AD29" s="86">
        <f t="shared" si="5"/>
        <v>0</v>
      </c>
      <c r="AE29" s="86">
        <f t="shared" si="5"/>
        <v>249.50705128957929</v>
      </c>
      <c r="AF29" s="86">
        <f t="shared" si="5"/>
        <v>498.76226138724428</v>
      </c>
      <c r="AG29" s="86">
        <f t="shared" si="5"/>
        <v>747.76357555931475</v>
      </c>
      <c r="AH29" s="86">
        <f t="shared" si="5"/>
        <v>996.50101052990635</v>
      </c>
      <c r="AI29" s="86">
        <f t="shared" si="5"/>
        <v>1244.9769117287101</v>
      </c>
      <c r="AJ29" s="86">
        <f t="shared" si="5"/>
        <v>1493.1894842554364</v>
      </c>
      <c r="AK29" s="86">
        <f t="shared" si="5"/>
        <v>1741.1369320658823</v>
      </c>
      <c r="AL29" s="86">
        <f t="shared" si="5"/>
        <v>1991.5538218373108</v>
      </c>
      <c r="AM29" s="125">
        <f t="shared" si="5"/>
        <v>2242.3870973524531</v>
      </c>
    </row>
    <row r="30" spans="1:39" x14ac:dyDescent="0.25">
      <c r="A30" s="124" t="s">
        <v>225</v>
      </c>
      <c r="B30" s="86">
        <f t="shared" si="5"/>
        <v>1014.2862308577339</v>
      </c>
      <c r="C30" s="86">
        <f t="shared" si="5"/>
        <v>1383.8164756761246</v>
      </c>
      <c r="D30" s="86">
        <f t="shared" si="5"/>
        <v>1753.3737005214505</v>
      </c>
      <c r="E30" s="86">
        <f t="shared" si="5"/>
        <v>2121.4462226628393</v>
      </c>
      <c r="F30" s="86">
        <f t="shared" si="5"/>
        <v>2488.4831611256941</v>
      </c>
      <c r="G30" s="86">
        <f t="shared" si="5"/>
        <v>2989.8985940389161</v>
      </c>
      <c r="H30" s="86">
        <f t="shared" si="5"/>
        <v>3482.6514092156654</v>
      </c>
      <c r="I30" s="86">
        <f t="shared" si="5"/>
        <v>3966.3970787826574</v>
      </c>
      <c r="J30" s="86">
        <f t="shared" si="5"/>
        <v>4438.6518440941009</v>
      </c>
      <c r="K30" s="86">
        <f t="shared" si="5"/>
        <v>4898.1839592437727</v>
      </c>
      <c r="L30" s="86">
        <f t="shared" si="5"/>
        <v>5347.8669019546169</v>
      </c>
      <c r="M30" s="86">
        <f t="shared" si="5"/>
        <v>5752.0296005756945</v>
      </c>
      <c r="N30" s="86">
        <f t="shared" si="5"/>
        <v>6153.7028115615567</v>
      </c>
      <c r="O30" s="86">
        <f t="shared" si="5"/>
        <v>6549.1453060076838</v>
      </c>
      <c r="P30" s="86">
        <f t="shared" si="5"/>
        <v>6938.3641533109176</v>
      </c>
      <c r="Q30" s="86">
        <f t="shared" si="5"/>
        <v>7321.3665191771433</v>
      </c>
      <c r="R30" s="86">
        <f t="shared" si="5"/>
        <v>7695.5773092515064</v>
      </c>
      <c r="S30" s="86">
        <f t="shared" si="5"/>
        <v>8063.2905818044428</v>
      </c>
      <c r="T30" s="86">
        <f t="shared" si="5"/>
        <v>8432.7436214298723</v>
      </c>
      <c r="U30" s="86">
        <f t="shared" si="5"/>
        <v>8801.2949410077345</v>
      </c>
      <c r="V30" s="86">
        <f t="shared" si="5"/>
        <v>9126.2157665260765</v>
      </c>
      <c r="W30" s="86">
        <f t="shared" si="5"/>
        <v>9447.8277085913742</v>
      </c>
      <c r="X30" s="86">
        <f t="shared" si="5"/>
        <v>9786.5271115372798</v>
      </c>
      <c r="Y30" s="86">
        <f t="shared" si="5"/>
        <v>10123.487858901593</v>
      </c>
      <c r="Z30" s="86">
        <f t="shared" si="5"/>
        <v>10458.221696905</v>
      </c>
      <c r="AA30" s="86">
        <f t="shared" si="5"/>
        <v>10686.252069431474</v>
      </c>
      <c r="AB30" s="86">
        <f t="shared" si="5"/>
        <v>10921.469248729936</v>
      </c>
      <c r="AC30" s="86">
        <f t="shared" si="5"/>
        <v>11165.06782886176</v>
      </c>
      <c r="AD30" s="86">
        <f t="shared" si="5"/>
        <v>11424.542654153949</v>
      </c>
      <c r="AE30" s="86">
        <f t="shared" si="5"/>
        <v>11672.755146735419</v>
      </c>
      <c r="AF30" s="86">
        <f t="shared" si="5"/>
        <v>11955.448615427063</v>
      </c>
      <c r="AG30" s="86">
        <f t="shared" si="5"/>
        <v>12271.87311238594</v>
      </c>
      <c r="AH30" s="86">
        <f t="shared" si="5"/>
        <v>12593.777408269687</v>
      </c>
      <c r="AI30" s="86">
        <f t="shared" si="5"/>
        <v>12921.375989801052</v>
      </c>
      <c r="AJ30" s="86">
        <f t="shared" si="5"/>
        <v>13254.663017169063</v>
      </c>
      <c r="AK30" s="86">
        <f t="shared" si="5"/>
        <v>13593.632652551276</v>
      </c>
      <c r="AL30" s="86">
        <f t="shared" si="5"/>
        <v>13981.368750149439</v>
      </c>
      <c r="AM30" s="125">
        <f t="shared" si="5"/>
        <v>14377.01553643351</v>
      </c>
    </row>
    <row r="31" spans="1:39" x14ac:dyDescent="0.25">
      <c r="A31" s="124" t="s">
        <v>226</v>
      </c>
      <c r="B31" s="86">
        <f t="shared" si="5"/>
        <v>759.72473511196119</v>
      </c>
      <c r="C31" s="86">
        <f t="shared" si="5"/>
        <v>1269.0694167740642</v>
      </c>
      <c r="D31" s="86">
        <f t="shared" si="5"/>
        <v>1769.1571120451276</v>
      </c>
      <c r="E31" s="86">
        <f t="shared" si="5"/>
        <v>2260.3110615241885</v>
      </c>
      <c r="F31" s="86">
        <f t="shared" si="5"/>
        <v>2742.7725190112833</v>
      </c>
      <c r="G31" s="86">
        <f t="shared" si="5"/>
        <v>3217.16911590154</v>
      </c>
      <c r="H31" s="86">
        <f t="shared" si="5"/>
        <v>3682.8957122700663</v>
      </c>
      <c r="I31" s="86">
        <f t="shared" si="5"/>
        <v>4139.7918278123043</v>
      </c>
      <c r="J31" s="86">
        <f t="shared" si="5"/>
        <v>4586.6703153187982</v>
      </c>
      <c r="K31" s="86">
        <f t="shared" si="5"/>
        <v>5022.8944390344695</v>
      </c>
      <c r="L31" s="86">
        <f t="shared" si="5"/>
        <v>5449.8120603671978</v>
      </c>
      <c r="M31" s="86">
        <f t="shared" si="5"/>
        <v>5867.4242246795111</v>
      </c>
      <c r="N31" s="86">
        <f t="shared" si="5"/>
        <v>6277.8809407118333</v>
      </c>
      <c r="O31" s="86">
        <f t="shared" si="5"/>
        <v>6679.3661533319118</v>
      </c>
      <c r="P31" s="86">
        <f t="shared" si="5"/>
        <v>7071.8836638693847</v>
      </c>
      <c r="Q31" s="86">
        <f t="shared" si="5"/>
        <v>7455.4373093085323</v>
      </c>
      <c r="R31" s="86">
        <f t="shared" si="5"/>
        <v>7828.7328753782922</v>
      </c>
      <c r="S31" s="86">
        <f t="shared" si="5"/>
        <v>8192.9136661765988</v>
      </c>
      <c r="T31" s="86">
        <f t="shared" si="5"/>
        <v>8552.4206338636122</v>
      </c>
      <c r="U31" s="86">
        <f t="shared" si="5"/>
        <v>8905.9262392760993</v>
      </c>
      <c r="V31" s="86">
        <f t="shared" si="5"/>
        <v>9253.4358475690351</v>
      </c>
      <c r="W31" s="86">
        <f t="shared" si="5"/>
        <v>9594.7794284447809</v>
      </c>
      <c r="X31" s="86">
        <f t="shared" si="5"/>
        <v>9938.4408346176806</v>
      </c>
      <c r="Y31" s="86">
        <f t="shared" si="5"/>
        <v>10274.822611600175</v>
      </c>
      <c r="Z31" s="86">
        <f t="shared" si="5"/>
        <v>10603.662572125981</v>
      </c>
      <c r="AA31" s="86">
        <f t="shared" si="5"/>
        <v>10923.008356492102</v>
      </c>
      <c r="AB31" s="86">
        <f t="shared" si="5"/>
        <v>11037.143533864737</v>
      </c>
      <c r="AC31" s="86">
        <f t="shared" si="5"/>
        <v>11149.317743435762</v>
      </c>
      <c r="AD31" s="86">
        <f t="shared" si="5"/>
        <v>11263.407721075982</v>
      </c>
      <c r="AE31" s="86">
        <f t="shared" si="5"/>
        <v>11365.384842347741</v>
      </c>
      <c r="AF31" s="86">
        <f t="shared" si="5"/>
        <v>11478.917874846646</v>
      </c>
      <c r="AG31" s="86">
        <f t="shared" si="5"/>
        <v>11590.402672285261</v>
      </c>
      <c r="AH31" s="86">
        <f t="shared" si="5"/>
        <v>11699.719118568253</v>
      </c>
      <c r="AI31" s="86">
        <f t="shared" si="5"/>
        <v>11806.97804961283</v>
      </c>
      <c r="AJ31" s="86">
        <f t="shared" si="5"/>
        <v>11912.176128008423</v>
      </c>
      <c r="AK31" s="86">
        <f t="shared" si="5"/>
        <v>12015.310029324013</v>
      </c>
      <c r="AL31" s="86">
        <f t="shared" si="5"/>
        <v>12138.846693424546</v>
      </c>
      <c r="AM31" s="125">
        <f t="shared" si="5"/>
        <v>12261.519741894495</v>
      </c>
    </row>
    <row r="32" spans="1:39" x14ac:dyDescent="0.25">
      <c r="A32" s="124" t="s">
        <v>227</v>
      </c>
      <c r="B32" s="86">
        <f t="shared" si="5"/>
        <v>4622.9491192230325</v>
      </c>
      <c r="C32" s="86">
        <f t="shared" si="5"/>
        <v>4765.2021692115532</v>
      </c>
      <c r="D32" s="86">
        <f t="shared" si="5"/>
        <v>4904.2101753373872</v>
      </c>
      <c r="E32" s="86">
        <f t="shared" si="5"/>
        <v>5041.3029248391003</v>
      </c>
      <c r="F32" s="86">
        <f t="shared" si="5"/>
        <v>5176.5326892687199</v>
      </c>
      <c r="G32" s="86">
        <f t="shared" si="5"/>
        <v>5311.2951174543814</v>
      </c>
      <c r="H32" s="86">
        <f t="shared" si="5"/>
        <v>5442.5198389667112</v>
      </c>
      <c r="I32" s="86">
        <f t="shared" si="5"/>
        <v>5569.7522389136748</v>
      </c>
      <c r="J32" s="86">
        <f t="shared" si="5"/>
        <v>5690.2158964978762</v>
      </c>
      <c r="K32" s="86">
        <f t="shared" si="5"/>
        <v>5803.3531111729553</v>
      </c>
      <c r="L32" s="86">
        <f t="shared" si="5"/>
        <v>5912.8149738182547</v>
      </c>
      <c r="M32" s="86">
        <f t="shared" si="5"/>
        <v>6018.6017182486166</v>
      </c>
      <c r="N32" s="86">
        <f t="shared" si="5"/>
        <v>6124.4889151514071</v>
      </c>
      <c r="O32" s="86">
        <f t="shared" si="5"/>
        <v>6226.7675872227483</v>
      </c>
      <c r="P32" s="86">
        <f t="shared" si="5"/>
        <v>6325.4385410958512</v>
      </c>
      <c r="Q32" s="86">
        <f t="shared" si="5"/>
        <v>6420.5025854564583</v>
      </c>
      <c r="R32" s="86">
        <f t="shared" si="5"/>
        <v>6510.1601637750091</v>
      </c>
      <c r="S32" s="86">
        <f t="shared" si="5"/>
        <v>6596.178114331321</v>
      </c>
      <c r="T32" s="86">
        <f t="shared" si="5"/>
        <v>6681.8823289780748</v>
      </c>
      <c r="U32" s="86">
        <f t="shared" si="5"/>
        <v>6765.425360315412</v>
      </c>
      <c r="V32" s="86">
        <f t="shared" si="5"/>
        <v>6846.808334065674</v>
      </c>
      <c r="W32" s="86">
        <f t="shared" si="5"/>
        <v>6925.8376538936673</v>
      </c>
      <c r="X32" s="86">
        <f t="shared" si="5"/>
        <v>7011.5958609453064</v>
      </c>
      <c r="Y32" s="86">
        <f t="shared" si="5"/>
        <v>7093.2410950242638</v>
      </c>
      <c r="Z32" s="86">
        <f t="shared" si="5"/>
        <v>7170.716570534225</v>
      </c>
      <c r="AA32" s="86">
        <f t="shared" si="5"/>
        <v>7242.3399505308589</v>
      </c>
      <c r="AB32" s="86">
        <f t="shared" si="5"/>
        <v>7243.5959170067772</v>
      </c>
      <c r="AC32" s="86">
        <f t="shared" si="5"/>
        <v>7243.976022941416</v>
      </c>
      <c r="AD32" s="86">
        <f t="shared" si="5"/>
        <v>7246.8387188890065</v>
      </c>
      <c r="AE32" s="86">
        <f t="shared" si="5"/>
        <v>7239.8532762124178</v>
      </c>
      <c r="AF32" s="86">
        <f t="shared" si="5"/>
        <v>7243.4034789470443</v>
      </c>
      <c r="AG32" s="86">
        <f t="shared" si="5"/>
        <v>7247.3401623061782</v>
      </c>
      <c r="AH32" s="86">
        <f t="shared" si="5"/>
        <v>7254.4605705446784</v>
      </c>
      <c r="AI32" s="86">
        <f t="shared" si="5"/>
        <v>7260.8828634417168</v>
      </c>
      <c r="AJ32" s="86">
        <f t="shared" si="5"/>
        <v>7266.6064872791785</v>
      </c>
      <c r="AK32" s="86">
        <f t="shared" si="5"/>
        <v>7271.6308972381903</v>
      </c>
      <c r="AL32" s="86">
        <f t="shared" si="5"/>
        <v>7292.1851306691824</v>
      </c>
      <c r="AM32" s="125">
        <f t="shared" si="5"/>
        <v>7312.2146499451028</v>
      </c>
    </row>
    <row r="33" spans="1:39" x14ac:dyDescent="0.25">
      <c r="A33" s="124" t="s">
        <v>228</v>
      </c>
      <c r="B33" s="86">
        <f t="shared" si="5"/>
        <v>377.91723576715674</v>
      </c>
      <c r="C33" s="86">
        <f t="shared" si="5"/>
        <v>431.32254675984848</v>
      </c>
      <c r="D33" s="86">
        <f t="shared" si="5"/>
        <v>484.69835378128403</v>
      </c>
      <c r="E33" s="86">
        <f t="shared" si="5"/>
        <v>537.80506362515962</v>
      </c>
      <c r="F33" s="86">
        <f t="shared" si="5"/>
        <v>590.70791365980267</v>
      </c>
      <c r="G33" s="86">
        <f t="shared" si="5"/>
        <v>643.65287196627969</v>
      </c>
      <c r="H33" s="86">
        <f t="shared" si="5"/>
        <v>696.29842163378567</v>
      </c>
      <c r="I33" s="86">
        <f t="shared" si="5"/>
        <v>748.57571013961353</v>
      </c>
      <c r="J33" s="86">
        <f t="shared" si="5"/>
        <v>800.01111232088738</v>
      </c>
      <c r="K33" s="86">
        <f t="shared" si="5"/>
        <v>850.40690037503998</v>
      </c>
      <c r="L33" s="86">
        <f t="shared" si="5"/>
        <v>900.33092133522882</v>
      </c>
      <c r="M33" s="86">
        <f t="shared" si="5"/>
        <v>949.78344764534779</v>
      </c>
      <c r="N33" s="86">
        <f t="shared" si="5"/>
        <v>999.54645205555437</v>
      </c>
      <c r="O33" s="86">
        <f t="shared" si="5"/>
        <v>1048.9279919109165</v>
      </c>
      <c r="P33" s="86">
        <f t="shared" si="5"/>
        <v>1097.929102367493</v>
      </c>
      <c r="Q33" s="86">
        <f t="shared" si="5"/>
        <v>1146.550833506762</v>
      </c>
      <c r="R33" s="86">
        <f t="shared" si="5"/>
        <v>1194.3510935636505</v>
      </c>
      <c r="S33" s="86">
        <f t="shared" si="5"/>
        <v>1241.7311723115436</v>
      </c>
      <c r="T33" s="86">
        <f t="shared" si="5"/>
        <v>1289.2727065353988</v>
      </c>
      <c r="U33" s="86">
        <f t="shared" si="5"/>
        <v>1336.5221309967426</v>
      </c>
      <c r="V33" s="86">
        <f t="shared" si="5"/>
        <v>1375.8206240011757</v>
      </c>
      <c r="W33" s="86">
        <f t="shared" si="5"/>
        <v>1414.9937783983478</v>
      </c>
      <c r="X33" s="86">
        <f t="shared" si="5"/>
        <v>1456.7681251487313</v>
      </c>
      <c r="Y33" s="86">
        <f t="shared" si="5"/>
        <v>1498.0164923211091</v>
      </c>
      <c r="Z33" s="86">
        <f t="shared" si="5"/>
        <v>1538.6679608277002</v>
      </c>
      <c r="AA33" s="86">
        <f t="shared" si="5"/>
        <v>1578.1180494776249</v>
      </c>
      <c r="AB33" s="86">
        <f t="shared" si="5"/>
        <v>1617.5234725501543</v>
      </c>
      <c r="AC33" s="86">
        <f t="shared" si="5"/>
        <v>1657.0765639134743</v>
      </c>
      <c r="AD33" s="86">
        <f t="shared" si="5"/>
        <v>1697.9788491119816</v>
      </c>
      <c r="AE33" s="86">
        <f t="shared" si="5"/>
        <v>1735.8719814534652</v>
      </c>
      <c r="AF33" s="86">
        <f t="shared" si="5"/>
        <v>1778.0840239992792</v>
      </c>
      <c r="AG33" s="86">
        <f t="shared" si="5"/>
        <v>1820.3879358437432</v>
      </c>
      <c r="AH33" s="86">
        <f t="shared" si="5"/>
        <v>1862.7472358963216</v>
      </c>
      <c r="AI33" s="86">
        <f t="shared" si="5"/>
        <v>1905.196239042353</v>
      </c>
      <c r="AJ33" s="86">
        <f t="shared" si="5"/>
        <v>1947.7341022613414</v>
      </c>
      <c r="AK33" s="86">
        <f t="shared" si="5"/>
        <v>1990.3599819596473</v>
      </c>
      <c r="AL33" s="86">
        <f t="shared" si="5"/>
        <v>2039.8411939762718</v>
      </c>
      <c r="AM33" s="125">
        <f t="shared" si="5"/>
        <v>2089.7302352839861</v>
      </c>
    </row>
    <row r="34" spans="1:39" x14ac:dyDescent="0.25">
      <c r="A34" s="126" t="s">
        <v>229</v>
      </c>
      <c r="B34" s="127">
        <f>B25*B105</f>
        <v>3229.593893948309</v>
      </c>
      <c r="C34" s="127">
        <f t="shared" ref="C34:AM34" si="6">C25*C105</f>
        <v>3155.7338430833647</v>
      </c>
      <c r="D34" s="127">
        <f t="shared" si="6"/>
        <v>3083.803008627177</v>
      </c>
      <c r="E34" s="127">
        <f t="shared" si="6"/>
        <v>3021.3188172788359</v>
      </c>
      <c r="F34" s="127">
        <f t="shared" si="6"/>
        <v>2967.4736957036903</v>
      </c>
      <c r="G34" s="127">
        <f t="shared" si="6"/>
        <v>2928.7651837172571</v>
      </c>
      <c r="H34" s="127">
        <f t="shared" si="6"/>
        <v>2887.155363492323</v>
      </c>
      <c r="I34" s="127">
        <f t="shared" si="6"/>
        <v>2840.3157720619765</v>
      </c>
      <c r="J34" s="127">
        <f t="shared" si="6"/>
        <v>2775.0246721774552</v>
      </c>
      <c r="K34" s="127">
        <f t="shared" si="6"/>
        <v>2690.5489626728631</v>
      </c>
      <c r="L34" s="127">
        <f t="shared" si="6"/>
        <v>2605.3056048050348</v>
      </c>
      <c r="M34" s="127">
        <f t="shared" si="6"/>
        <v>2519.2912291617063</v>
      </c>
      <c r="N34" s="127">
        <f t="shared" si="6"/>
        <v>2447.9001459695505</v>
      </c>
      <c r="O34" s="127">
        <f t="shared" si="6"/>
        <v>2374.5805709627107</v>
      </c>
      <c r="P34" s="127">
        <f t="shared" si="6"/>
        <v>2299.3196666344552</v>
      </c>
      <c r="Q34" s="127">
        <f t="shared" si="6"/>
        <v>2222.1044137262038</v>
      </c>
      <c r="R34" s="127">
        <f t="shared" si="6"/>
        <v>2136.8981533733654</v>
      </c>
      <c r="S34" s="127">
        <f t="shared" si="6"/>
        <v>2050.2426105984828</v>
      </c>
      <c r="T34" s="127">
        <f t="shared" si="6"/>
        <v>1967.7947562795434</v>
      </c>
      <c r="U34" s="127">
        <f t="shared" si="6"/>
        <v>1883.3518837558609</v>
      </c>
      <c r="V34" s="127">
        <f t="shared" si="6"/>
        <v>1796.8957167318022</v>
      </c>
      <c r="W34" s="127">
        <f t="shared" si="6"/>
        <v>1707.9254364526473</v>
      </c>
      <c r="X34" s="127">
        <f t="shared" si="6"/>
        <v>1637.4860260434605</v>
      </c>
      <c r="Y34" s="127">
        <f t="shared" si="6"/>
        <v>1557.8984568225437</v>
      </c>
      <c r="Z34" s="127">
        <f t="shared" si="6"/>
        <v>1470.0406626683678</v>
      </c>
      <c r="AA34" s="127">
        <f t="shared" si="6"/>
        <v>1371.8532302254453</v>
      </c>
      <c r="AB34" s="127">
        <f t="shared" si="6"/>
        <v>1271.2826340107238</v>
      </c>
      <c r="AC34" s="127">
        <f t="shared" si="6"/>
        <v>1169.1287568899293</v>
      </c>
      <c r="AD34" s="127">
        <f t="shared" si="6"/>
        <v>1069.6025256551893</v>
      </c>
      <c r="AE34" s="127">
        <f t="shared" si="6"/>
        <v>956.25251166086821</v>
      </c>
      <c r="AF34" s="127">
        <f t="shared" si="6"/>
        <v>853.96523368424607</v>
      </c>
      <c r="AG34" s="127">
        <f t="shared" si="6"/>
        <v>746.72320151713848</v>
      </c>
      <c r="AH34" s="127">
        <f t="shared" si="6"/>
        <v>634.47325886220256</v>
      </c>
      <c r="AI34" s="127">
        <f t="shared" si="6"/>
        <v>517.32556159158503</v>
      </c>
      <c r="AJ34" s="127">
        <f t="shared" si="6"/>
        <v>395.29224227898573</v>
      </c>
      <c r="AK34" s="127">
        <f t="shared" si="6"/>
        <v>268.38544163964349</v>
      </c>
      <c r="AL34" s="127">
        <f t="shared" si="6"/>
        <v>138.93185329541001</v>
      </c>
      <c r="AM34" s="127">
        <f t="shared" si="6"/>
        <v>0</v>
      </c>
    </row>
    <row r="35" spans="1:39" x14ac:dyDescent="0.25">
      <c r="A35" s="128" t="s">
        <v>216</v>
      </c>
      <c r="B35" s="86">
        <f>SUM(B29:B33)</f>
        <v>6774.8773209598849</v>
      </c>
      <c r="C35" s="86">
        <f t="shared" ref="C35:AM35" si="7">SUM(C29:C33)</f>
        <v>7849.41060842159</v>
      </c>
      <c r="D35" s="86">
        <f t="shared" si="7"/>
        <v>8911.4393416852508</v>
      </c>
      <c r="E35" s="86">
        <f t="shared" si="7"/>
        <v>9960.8652726512864</v>
      </c>
      <c r="F35" s="86">
        <f t="shared" si="7"/>
        <v>10998.4962830655</v>
      </c>
      <c r="G35" s="86">
        <f t="shared" si="7"/>
        <v>12162.015699361118</v>
      </c>
      <c r="H35" s="86">
        <f t="shared" si="7"/>
        <v>13304.365382086229</v>
      </c>
      <c r="I35" s="86">
        <f t="shared" si="7"/>
        <v>14424.516855648251</v>
      </c>
      <c r="J35" s="86">
        <f t="shared" si="7"/>
        <v>15515.549168231664</v>
      </c>
      <c r="K35" s="86">
        <f t="shared" si="7"/>
        <v>16574.838409826236</v>
      </c>
      <c r="L35" s="86">
        <f t="shared" si="7"/>
        <v>17610.824857475298</v>
      </c>
      <c r="M35" s="86">
        <f t="shared" si="7"/>
        <v>18587.838991149169</v>
      </c>
      <c r="N35" s="86">
        <f t="shared" si="7"/>
        <v>19555.61911948035</v>
      </c>
      <c r="O35" s="86">
        <f t="shared" si="7"/>
        <v>20504.207038473261</v>
      </c>
      <c r="P35" s="86">
        <f t="shared" si="7"/>
        <v>21433.615460643643</v>
      </c>
      <c r="Q35" s="86">
        <f t="shared" si="7"/>
        <v>22343.857247448894</v>
      </c>
      <c r="R35" s="86">
        <f t="shared" si="7"/>
        <v>23228.821441968459</v>
      </c>
      <c r="S35" s="86">
        <f t="shared" si="7"/>
        <v>24094.113534623903</v>
      </c>
      <c r="T35" s="86">
        <f t="shared" si="7"/>
        <v>24956.319290806958</v>
      </c>
      <c r="U35" s="86">
        <f t="shared" si="7"/>
        <v>25809.168671595991</v>
      </c>
      <c r="V35" s="86">
        <f t="shared" si="7"/>
        <v>26602.280572161962</v>
      </c>
      <c r="W35" s="86">
        <f t="shared" si="7"/>
        <v>27383.438569328169</v>
      </c>
      <c r="X35" s="86">
        <f t="shared" si="7"/>
        <v>28193.331932248999</v>
      </c>
      <c r="Y35" s="86">
        <f t="shared" si="7"/>
        <v>28989.56805784714</v>
      </c>
      <c r="Z35" s="86">
        <f t="shared" si="7"/>
        <v>29771.268800392911</v>
      </c>
      <c r="AA35" s="86">
        <f t="shared" si="7"/>
        <v>30429.718425932057</v>
      </c>
      <c r="AB35" s="86">
        <f t="shared" si="7"/>
        <v>30819.732172151605</v>
      </c>
      <c r="AC35" s="86">
        <f t="shared" si="7"/>
        <v>31215.438159152411</v>
      </c>
      <c r="AD35" s="86">
        <f t="shared" si="7"/>
        <v>31632.767943230923</v>
      </c>
      <c r="AE35" s="86">
        <f t="shared" si="7"/>
        <v>32263.372298038623</v>
      </c>
      <c r="AF35" s="86">
        <f t="shared" si="7"/>
        <v>32954.616254607274</v>
      </c>
      <c r="AG35" s="86">
        <f t="shared" si="7"/>
        <v>33677.767458380433</v>
      </c>
      <c r="AH35" s="86">
        <f t="shared" si="7"/>
        <v>34407.205343808848</v>
      </c>
      <c r="AI35" s="86">
        <f t="shared" si="7"/>
        <v>35139.410053626656</v>
      </c>
      <c r="AJ35" s="86">
        <f t="shared" si="7"/>
        <v>35874.369218973436</v>
      </c>
      <c r="AK35" s="86">
        <f t="shared" si="7"/>
        <v>36612.070493139014</v>
      </c>
      <c r="AL35" s="86">
        <f t="shared" si="7"/>
        <v>37443.795590056754</v>
      </c>
      <c r="AM35" s="125">
        <f t="shared" si="7"/>
        <v>38282.867260909545</v>
      </c>
    </row>
    <row r="36" spans="1:39" x14ac:dyDescent="0.25">
      <c r="A36" s="129"/>
      <c r="B36" s="86"/>
      <c r="C36" s="86"/>
      <c r="D36" s="86"/>
      <c r="E36" s="86"/>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125"/>
    </row>
    <row r="37" spans="1:39" x14ac:dyDescent="0.25">
      <c r="A37" s="130" t="s">
        <v>217</v>
      </c>
      <c r="B37" s="131">
        <f>B28</f>
        <v>2013</v>
      </c>
      <c r="C37" s="131">
        <f t="shared" ref="C37:AM37" si="8">C28</f>
        <v>2014</v>
      </c>
      <c r="D37" s="131">
        <f t="shared" si="8"/>
        <v>2015</v>
      </c>
      <c r="E37" s="131">
        <f t="shared" si="8"/>
        <v>2016</v>
      </c>
      <c r="F37" s="131">
        <f t="shared" si="8"/>
        <v>2017</v>
      </c>
      <c r="G37" s="131">
        <f t="shared" si="8"/>
        <v>2018</v>
      </c>
      <c r="H37" s="131">
        <f t="shared" si="8"/>
        <v>2019</v>
      </c>
      <c r="I37" s="131">
        <f t="shared" si="8"/>
        <v>2020</v>
      </c>
      <c r="J37" s="131">
        <f t="shared" si="8"/>
        <v>2021</v>
      </c>
      <c r="K37" s="131">
        <f t="shared" si="8"/>
        <v>2022</v>
      </c>
      <c r="L37" s="131">
        <f t="shared" si="8"/>
        <v>2023</v>
      </c>
      <c r="M37" s="131">
        <f t="shared" si="8"/>
        <v>2024</v>
      </c>
      <c r="N37" s="131">
        <f t="shared" si="8"/>
        <v>2025</v>
      </c>
      <c r="O37" s="131">
        <f t="shared" si="8"/>
        <v>2026</v>
      </c>
      <c r="P37" s="131">
        <f t="shared" si="8"/>
        <v>2027</v>
      </c>
      <c r="Q37" s="131">
        <f t="shared" si="8"/>
        <v>2028</v>
      </c>
      <c r="R37" s="131">
        <f t="shared" si="8"/>
        <v>2029</v>
      </c>
      <c r="S37" s="131">
        <f t="shared" si="8"/>
        <v>2030</v>
      </c>
      <c r="T37" s="131">
        <f t="shared" si="8"/>
        <v>2031</v>
      </c>
      <c r="U37" s="131">
        <f t="shared" si="8"/>
        <v>2032</v>
      </c>
      <c r="V37" s="131">
        <f t="shared" si="8"/>
        <v>2033</v>
      </c>
      <c r="W37" s="131">
        <f t="shared" si="8"/>
        <v>2034</v>
      </c>
      <c r="X37" s="131">
        <f t="shared" si="8"/>
        <v>2035</v>
      </c>
      <c r="Y37" s="131">
        <f t="shared" si="8"/>
        <v>2036</v>
      </c>
      <c r="Z37" s="131">
        <f t="shared" si="8"/>
        <v>2037</v>
      </c>
      <c r="AA37" s="131">
        <f t="shared" si="8"/>
        <v>2038</v>
      </c>
      <c r="AB37" s="131">
        <f t="shared" si="8"/>
        <v>2039</v>
      </c>
      <c r="AC37" s="131">
        <f t="shared" si="8"/>
        <v>2040</v>
      </c>
      <c r="AD37" s="131">
        <f t="shared" si="8"/>
        <v>2041</v>
      </c>
      <c r="AE37" s="131">
        <f t="shared" si="8"/>
        <v>2042</v>
      </c>
      <c r="AF37" s="131">
        <f t="shared" si="8"/>
        <v>2043</v>
      </c>
      <c r="AG37" s="131">
        <f t="shared" si="8"/>
        <v>2044</v>
      </c>
      <c r="AH37" s="131">
        <f t="shared" si="8"/>
        <v>2045</v>
      </c>
      <c r="AI37" s="131">
        <f t="shared" si="8"/>
        <v>2046</v>
      </c>
      <c r="AJ37" s="131">
        <f t="shared" si="8"/>
        <v>2047</v>
      </c>
      <c r="AK37" s="131">
        <f t="shared" si="8"/>
        <v>2048</v>
      </c>
      <c r="AL37" s="131">
        <f t="shared" si="8"/>
        <v>2049</v>
      </c>
      <c r="AM37" s="132">
        <f t="shared" si="8"/>
        <v>2050</v>
      </c>
    </row>
    <row r="38" spans="1:39" x14ac:dyDescent="0.25">
      <c r="A38" s="124" t="s">
        <v>230</v>
      </c>
      <c r="B38" s="86">
        <f t="shared" ref="B38:AM42" si="9">B13+B$26*B100</f>
        <v>0</v>
      </c>
      <c r="C38" s="86">
        <f t="shared" si="9"/>
        <v>0</v>
      </c>
      <c r="D38" s="86">
        <f t="shared" si="9"/>
        <v>0</v>
      </c>
      <c r="E38" s="86">
        <f t="shared" si="9"/>
        <v>0</v>
      </c>
      <c r="F38" s="86">
        <f t="shared" si="9"/>
        <v>0</v>
      </c>
      <c r="G38" s="86">
        <f t="shared" si="9"/>
        <v>0</v>
      </c>
      <c r="H38" s="86">
        <f t="shared" si="9"/>
        <v>0</v>
      </c>
      <c r="I38" s="86">
        <f t="shared" si="9"/>
        <v>0</v>
      </c>
      <c r="J38" s="86">
        <f t="shared" si="9"/>
        <v>0</v>
      </c>
      <c r="K38" s="86">
        <f t="shared" si="9"/>
        <v>0</v>
      </c>
      <c r="L38" s="86">
        <f t="shared" si="9"/>
        <v>0</v>
      </c>
      <c r="M38" s="86">
        <f t="shared" si="9"/>
        <v>0</v>
      </c>
      <c r="N38" s="86">
        <f t="shared" si="9"/>
        <v>0</v>
      </c>
      <c r="O38" s="86">
        <f t="shared" si="9"/>
        <v>0</v>
      </c>
      <c r="P38" s="86">
        <f t="shared" si="9"/>
        <v>0</v>
      </c>
      <c r="Q38" s="86">
        <f t="shared" si="9"/>
        <v>0</v>
      </c>
      <c r="R38" s="86">
        <f t="shared" si="9"/>
        <v>0</v>
      </c>
      <c r="S38" s="86">
        <f t="shared" si="9"/>
        <v>0</v>
      </c>
      <c r="T38" s="86">
        <f t="shared" si="9"/>
        <v>0</v>
      </c>
      <c r="U38" s="86">
        <f t="shared" si="9"/>
        <v>0</v>
      </c>
      <c r="V38" s="86">
        <f t="shared" si="9"/>
        <v>0</v>
      </c>
      <c r="W38" s="86">
        <f t="shared" si="9"/>
        <v>0</v>
      </c>
      <c r="X38" s="86">
        <f t="shared" si="9"/>
        <v>0</v>
      </c>
      <c r="Y38" s="86">
        <f t="shared" si="9"/>
        <v>0</v>
      </c>
      <c r="Z38" s="86">
        <f t="shared" si="9"/>
        <v>0</v>
      </c>
      <c r="AA38" s="86">
        <f t="shared" si="9"/>
        <v>0</v>
      </c>
      <c r="AB38" s="86">
        <f t="shared" si="9"/>
        <v>0</v>
      </c>
      <c r="AC38" s="86">
        <f t="shared" si="9"/>
        <v>0</v>
      </c>
      <c r="AD38" s="86">
        <f t="shared" si="9"/>
        <v>0</v>
      </c>
      <c r="AE38" s="86">
        <f t="shared" si="9"/>
        <v>272.32145515661989</v>
      </c>
      <c r="AF38" s="86">
        <f t="shared" si="9"/>
        <v>545.22573685643579</v>
      </c>
      <c r="AG38" s="86">
        <f t="shared" si="9"/>
        <v>818.71137652514835</v>
      </c>
      <c r="AH38" s="86">
        <f t="shared" si="9"/>
        <v>1092.7769046741205</v>
      </c>
      <c r="AI38" s="86">
        <f t="shared" si="9"/>
        <v>1367.4208509034129</v>
      </c>
      <c r="AJ38" s="86">
        <f t="shared" si="9"/>
        <v>1642.6417439041948</v>
      </c>
      <c r="AK38" s="86">
        <f t="shared" si="9"/>
        <v>1918.4381114604967</v>
      </c>
      <c r="AL38" s="86">
        <f t="shared" si="9"/>
        <v>2198.0647534581449</v>
      </c>
      <c r="AM38" s="125">
        <f t="shared" si="9"/>
        <v>2479.0791990096236</v>
      </c>
    </row>
    <row r="39" spans="1:39" x14ac:dyDescent="0.25">
      <c r="A39" s="124" t="s">
        <v>231</v>
      </c>
      <c r="B39" s="86">
        <f t="shared" si="9"/>
        <v>655.88063367186896</v>
      </c>
      <c r="C39" s="86">
        <f t="shared" si="9"/>
        <v>895.95100927658427</v>
      </c>
      <c r="D39" s="86">
        <f t="shared" si="9"/>
        <v>1136.3046491053581</v>
      </c>
      <c r="E39" s="86">
        <f t="shared" si="9"/>
        <v>1376.0147897026261</v>
      </c>
      <c r="F39" s="86">
        <f t="shared" si="9"/>
        <v>1615.0853035538112</v>
      </c>
      <c r="G39" s="86">
        <f t="shared" si="9"/>
        <v>2079.3536220701353</v>
      </c>
      <c r="H39" s="86">
        <f t="shared" si="9"/>
        <v>2535.7743811075238</v>
      </c>
      <c r="I39" s="86">
        <f t="shared" si="9"/>
        <v>2984.351616876897</v>
      </c>
      <c r="J39" s="86">
        <f t="shared" si="9"/>
        <v>3425.0894220524387</v>
      </c>
      <c r="K39" s="86">
        <f t="shared" si="9"/>
        <v>3857.9919467604932</v>
      </c>
      <c r="L39" s="86">
        <f t="shared" si="9"/>
        <v>4283.0633995963099</v>
      </c>
      <c r="M39" s="86">
        <f t="shared" si="9"/>
        <v>4627.295922851391</v>
      </c>
      <c r="N39" s="86">
        <f t="shared" si="9"/>
        <v>4970.7826540250871</v>
      </c>
      <c r="O39" s="86">
        <f t="shared" si="9"/>
        <v>5309.9347604624481</v>
      </c>
      <c r="P39" s="86">
        <f t="shared" si="9"/>
        <v>5644.7622409121486</v>
      </c>
      <c r="Q39" s="86">
        <f t="shared" si="9"/>
        <v>5975.2752302495292</v>
      </c>
      <c r="R39" s="86">
        <f t="shared" si="9"/>
        <v>6300.9176769681089</v>
      </c>
      <c r="S39" s="86">
        <f t="shared" si="9"/>
        <v>6622.2014832534569</v>
      </c>
      <c r="T39" s="86">
        <f t="shared" si="9"/>
        <v>6944.7059449842654</v>
      </c>
      <c r="U39" s="86">
        <f t="shared" si="9"/>
        <v>7267.1117186135707</v>
      </c>
      <c r="V39" s="86">
        <f t="shared" si="9"/>
        <v>7571.7509904864637</v>
      </c>
      <c r="W39" s="86">
        <f t="shared" si="9"/>
        <v>7875.4562367241633</v>
      </c>
      <c r="X39" s="86">
        <f t="shared" si="9"/>
        <v>8179.8166300538851</v>
      </c>
      <c r="Y39" s="86">
        <f t="shared" si="9"/>
        <v>8484.8460259587409</v>
      </c>
      <c r="Z39" s="86">
        <f t="shared" si="9"/>
        <v>8790.5584848873132</v>
      </c>
      <c r="AA39" s="86">
        <f t="shared" si="9"/>
        <v>8998.24851048663</v>
      </c>
      <c r="AB39" s="86">
        <f t="shared" si="9"/>
        <v>9212.3499807414773</v>
      </c>
      <c r="AC39" s="86">
        <f t="shared" si="9"/>
        <v>9432.877597727047</v>
      </c>
      <c r="AD39" s="86">
        <f t="shared" si="9"/>
        <v>9659.8462866504869</v>
      </c>
      <c r="AE39" s="86">
        <f t="shared" si="9"/>
        <v>9879.6727437450372</v>
      </c>
      <c r="AF39" s="86">
        <f t="shared" si="9"/>
        <v>10117.069230969179</v>
      </c>
      <c r="AG39" s="86">
        <f t="shared" si="9"/>
        <v>10386.4225129152</v>
      </c>
      <c r="AH39" s="86">
        <f t="shared" si="9"/>
        <v>10659.64007249082</v>
      </c>
      <c r="AI39" s="86">
        <f t="shared" si="9"/>
        <v>10936.717086622224</v>
      </c>
      <c r="AJ39" s="86">
        <f t="shared" si="9"/>
        <v>11217.648735009923</v>
      </c>
      <c r="AK39" s="86">
        <f t="shared" si="9"/>
        <v>11502.430199796967</v>
      </c>
      <c r="AL39" s="86">
        <f t="shared" si="9"/>
        <v>11842.33339718798</v>
      </c>
      <c r="AM39" s="125">
        <f t="shared" si="9"/>
        <v>12188.742087412073</v>
      </c>
    </row>
    <row r="40" spans="1:39" x14ac:dyDescent="0.25">
      <c r="A40" s="124" t="s">
        <v>232</v>
      </c>
      <c r="B40" s="86">
        <f t="shared" si="9"/>
        <v>181.03011961386738</v>
      </c>
      <c r="C40" s="86">
        <f t="shared" si="9"/>
        <v>303.63943581984802</v>
      </c>
      <c r="D40" s="86">
        <f t="shared" si="9"/>
        <v>425.21674658616774</v>
      </c>
      <c r="E40" s="86">
        <f t="shared" si="9"/>
        <v>545.76413470146178</v>
      </c>
      <c r="F40" s="86">
        <f t="shared" si="9"/>
        <v>665.2837085576291</v>
      </c>
      <c r="G40" s="86">
        <f t="shared" si="9"/>
        <v>783.77760246345542</v>
      </c>
      <c r="H40" s="86">
        <f t="shared" si="9"/>
        <v>901.247977001344</v>
      </c>
      <c r="I40" s="86">
        <f t="shared" si="9"/>
        <v>1017.6970194279369</v>
      </c>
      <c r="J40" s="86">
        <f t="shared" si="9"/>
        <v>1133.1269441191212</v>
      </c>
      <c r="K40" s="86">
        <f t="shared" si="9"/>
        <v>1247.5399930596275</v>
      </c>
      <c r="L40" s="86">
        <f t="shared" si="9"/>
        <v>1360.9384363771564</v>
      </c>
      <c r="M40" s="86">
        <f t="shared" si="9"/>
        <v>1473.3245729206906</v>
      </c>
      <c r="N40" s="86">
        <f t="shared" si="9"/>
        <v>1586.7653739603552</v>
      </c>
      <c r="O40" s="86">
        <f t="shared" si="9"/>
        <v>1699.5189188218078</v>
      </c>
      <c r="P40" s="86">
        <f t="shared" si="9"/>
        <v>1811.5905952253324</v>
      </c>
      <c r="Q40" s="86">
        <f t="shared" si="9"/>
        <v>1922.985865951505</v>
      </c>
      <c r="R40" s="86">
        <f t="shared" si="9"/>
        <v>2033.4255920759913</v>
      </c>
      <c r="S40" s="86">
        <f t="shared" si="9"/>
        <v>2143.1652656575661</v>
      </c>
      <c r="T40" s="86">
        <f t="shared" si="9"/>
        <v>2253.366250334675</v>
      </c>
      <c r="U40" s="86">
        <f t="shared" si="9"/>
        <v>2363.3657900581711</v>
      </c>
      <c r="V40" s="86">
        <f t="shared" si="9"/>
        <v>2473.171006347447</v>
      </c>
      <c r="W40" s="86">
        <f t="shared" si="9"/>
        <v>2582.7891245156748</v>
      </c>
      <c r="X40" s="86">
        <f t="shared" si="9"/>
        <v>2692.2274758361473</v>
      </c>
      <c r="Y40" s="86">
        <f t="shared" si="9"/>
        <v>2801.4934997647006</v>
      </c>
      <c r="Z40" s="86">
        <f t="shared" si="9"/>
        <v>2910.5947462174345</v>
      </c>
      <c r="AA40" s="86">
        <f t="shared" si="9"/>
        <v>3019.5388779028863</v>
      </c>
      <c r="AB40" s="86">
        <f t="shared" si="9"/>
        <v>3101.1825882034659</v>
      </c>
      <c r="AC40" s="86">
        <f t="shared" si="9"/>
        <v>3183.1342150012306</v>
      </c>
      <c r="AD40" s="86">
        <f t="shared" si="9"/>
        <v>3265.4017614960167</v>
      </c>
      <c r="AE40" s="86">
        <f t="shared" si="9"/>
        <v>3340.9549088877848</v>
      </c>
      <c r="AF40" s="86">
        <f t="shared" si="9"/>
        <v>3422.5742314919007</v>
      </c>
      <c r="AG40" s="86">
        <f t="shared" si="9"/>
        <v>3504.3562548323789</v>
      </c>
      <c r="AH40" s="86">
        <f t="shared" si="9"/>
        <v>3586.2983565188788</v>
      </c>
      <c r="AI40" s="86">
        <f t="shared" si="9"/>
        <v>3668.3979139977046</v>
      </c>
      <c r="AJ40" s="86">
        <f t="shared" si="9"/>
        <v>3750.6523047742367</v>
      </c>
      <c r="AK40" s="86">
        <f t="shared" si="9"/>
        <v>3833.0589066137863</v>
      </c>
      <c r="AL40" s="86">
        <f t="shared" si="9"/>
        <v>3942.3546956725991</v>
      </c>
      <c r="AM40" s="125">
        <f t="shared" si="9"/>
        <v>4053.2339824741221</v>
      </c>
    </row>
    <row r="41" spans="1:39" x14ac:dyDescent="0.25">
      <c r="A41" s="124" t="s">
        <v>233</v>
      </c>
      <c r="B41" s="86">
        <f t="shared" si="9"/>
        <v>2354.9023703255825</v>
      </c>
      <c r="C41" s="86">
        <f t="shared" si="9"/>
        <v>2401.6441594947046</v>
      </c>
      <c r="D41" s="86">
        <f t="shared" si="9"/>
        <v>2447.4517058005094</v>
      </c>
      <c r="E41" s="86">
        <f t="shared" si="9"/>
        <v>2492.3254838434959</v>
      </c>
      <c r="F41" s="86">
        <f t="shared" si="9"/>
        <v>2536.2659713927733</v>
      </c>
      <c r="G41" s="86">
        <f t="shared" si="9"/>
        <v>2579.273649348072</v>
      </c>
      <c r="H41" s="86">
        <f t="shared" si="9"/>
        <v>2621.3490017369668</v>
      </c>
      <c r="I41" s="86">
        <f t="shared" si="9"/>
        <v>2662.49251574754</v>
      </c>
      <c r="J41" s="86">
        <f t="shared" si="9"/>
        <v>2702.7046817964133</v>
      </c>
      <c r="K41" s="86">
        <f t="shared" si="9"/>
        <v>2741.9859936317835</v>
      </c>
      <c r="L41" s="86">
        <f t="shared" si="9"/>
        <v>2780.336948470826</v>
      </c>
      <c r="M41" s="86">
        <f t="shared" si="9"/>
        <v>2817.7580471705555</v>
      </c>
      <c r="N41" s="86">
        <f t="shared" si="9"/>
        <v>2857.8769911877716</v>
      </c>
      <c r="O41" s="86">
        <f t="shared" si="9"/>
        <v>2897.1331200605305</v>
      </c>
      <c r="P41" s="86">
        <f t="shared" si="9"/>
        <v>2935.527595950236</v>
      </c>
      <c r="Q41" s="86">
        <f t="shared" si="9"/>
        <v>2973.0615950872625</v>
      </c>
      <c r="R41" s="86">
        <f t="shared" si="9"/>
        <v>3009.3414772807546</v>
      </c>
      <c r="S41" s="86">
        <f t="shared" si="9"/>
        <v>3044.755747117897</v>
      </c>
      <c r="T41" s="86">
        <f t="shared" si="9"/>
        <v>3080.646087620677</v>
      </c>
      <c r="U41" s="86">
        <f t="shared" si="9"/>
        <v>3116.0850705141565</v>
      </c>
      <c r="V41" s="86">
        <f t="shared" si="9"/>
        <v>3151.0742252602336</v>
      </c>
      <c r="W41" s="86">
        <f t="shared" si="9"/>
        <v>3185.615102587828</v>
      </c>
      <c r="X41" s="86">
        <f t="shared" si="9"/>
        <v>3219.7092751312225</v>
      </c>
      <c r="Y41" s="86">
        <f t="shared" si="9"/>
        <v>3253.3583380849727</v>
      </c>
      <c r="Z41" s="86">
        <f t="shared" si="9"/>
        <v>3286.5639098734719</v>
      </c>
      <c r="AA41" s="86">
        <f t="shared" si="9"/>
        <v>3319.3276328332513</v>
      </c>
      <c r="AB41" s="86">
        <f t="shared" si="9"/>
        <v>3333.7593538578594</v>
      </c>
      <c r="AC41" s="86">
        <f t="shared" si="9"/>
        <v>3347.9362800725917</v>
      </c>
      <c r="AD41" s="86">
        <f t="shared" si="9"/>
        <v>3361.8601152451247</v>
      </c>
      <c r="AE41" s="86">
        <f t="shared" si="9"/>
        <v>3369.5102674695627</v>
      </c>
      <c r="AF41" s="86">
        <f t="shared" si="9"/>
        <v>3382.006171474899</v>
      </c>
      <c r="AG41" s="86">
        <f t="shared" si="9"/>
        <v>3394.6349769864437</v>
      </c>
      <c r="AH41" s="86">
        <f t="shared" si="9"/>
        <v>3408.2254381664125</v>
      </c>
      <c r="AI41" s="86">
        <f t="shared" si="9"/>
        <v>3421.6731540628894</v>
      </c>
      <c r="AJ41" s="86">
        <f t="shared" si="9"/>
        <v>3434.9777212938084</v>
      </c>
      <c r="AK41" s="86">
        <f t="shared" si="9"/>
        <v>3448.138738631671</v>
      </c>
      <c r="AL41" s="86">
        <f t="shared" si="9"/>
        <v>3480.4689987287402</v>
      </c>
      <c r="AM41" s="125">
        <f t="shared" si="9"/>
        <v>3512.8638307397719</v>
      </c>
    </row>
    <row r="42" spans="1:39" x14ac:dyDescent="0.25">
      <c r="A42" s="124" t="s">
        <v>234</v>
      </c>
      <c r="B42" s="86">
        <f t="shared" si="9"/>
        <v>229.28912884255641</v>
      </c>
      <c r="C42" s="86">
        <f t="shared" si="9"/>
        <v>268.32099308514159</v>
      </c>
      <c r="D42" s="86">
        <f t="shared" si="9"/>
        <v>307.37397415584189</v>
      </c>
      <c r="E42" s="86">
        <f t="shared" si="9"/>
        <v>346.28755625639326</v>
      </c>
      <c r="F42" s="86">
        <f t="shared" si="9"/>
        <v>385.062301392878</v>
      </c>
      <c r="G42" s="86">
        <f t="shared" si="9"/>
        <v>423.69877939562639</v>
      </c>
      <c r="H42" s="86">
        <f t="shared" si="9"/>
        <v>462.19756805413408</v>
      </c>
      <c r="I42" s="86">
        <f t="shared" si="9"/>
        <v>500.55925325542358</v>
      </c>
      <c r="J42" s="86">
        <f t="shared" si="9"/>
        <v>538.78442912593778</v>
      </c>
      <c r="K42" s="86">
        <f t="shared" si="9"/>
        <v>576.87369817705894</v>
      </c>
      <c r="L42" s="86">
        <f t="shared" si="9"/>
        <v>614.82767145433979</v>
      </c>
      <c r="M42" s="86">
        <f t="shared" si="9"/>
        <v>652.64696869053159</v>
      </c>
      <c r="N42" s="86">
        <f t="shared" si="9"/>
        <v>691.08324025863692</v>
      </c>
      <c r="O42" s="86">
        <f t="shared" si="9"/>
        <v>729.47260087967743</v>
      </c>
      <c r="P42" s="86">
        <f t="shared" si="9"/>
        <v>767.81650868305724</v>
      </c>
      <c r="Q42" s="86">
        <f t="shared" si="9"/>
        <v>806.11644292769245</v>
      </c>
      <c r="R42" s="86">
        <f t="shared" si="9"/>
        <v>844.27671752535878</v>
      </c>
      <c r="S42" s="86">
        <f t="shared" si="9"/>
        <v>882.38662324278084</v>
      </c>
      <c r="T42" s="86">
        <f t="shared" si="9"/>
        <v>920.73162604364211</v>
      </c>
      <c r="U42" s="86">
        <f t="shared" si="9"/>
        <v>959.08497217803426</v>
      </c>
      <c r="V42" s="86">
        <f t="shared" si="9"/>
        <v>994.38825991798467</v>
      </c>
      <c r="W42" s="86">
        <f t="shared" si="9"/>
        <v>1029.7902057553945</v>
      </c>
      <c r="X42" s="86">
        <f t="shared" si="9"/>
        <v>1065.2916062697154</v>
      </c>
      <c r="Y42" s="86">
        <f t="shared" si="9"/>
        <v>1100.8944794090403</v>
      </c>
      <c r="Z42" s="86">
        <f t="shared" si="9"/>
        <v>1136.6008734180211</v>
      </c>
      <c r="AA42" s="86">
        <f t="shared" si="9"/>
        <v>1172.4128674150468</v>
      </c>
      <c r="AB42" s="86">
        <f t="shared" si="9"/>
        <v>1208.3325719826128</v>
      </c>
      <c r="AC42" s="86">
        <f t="shared" si="9"/>
        <v>1244.362129771177</v>
      </c>
      <c r="AD42" s="86">
        <f t="shared" si="9"/>
        <v>1280.5037161168034</v>
      </c>
      <c r="AE42" s="86">
        <f t="shared" si="9"/>
        <v>1314.5827664469834</v>
      </c>
      <c r="AF42" s="86">
        <f t="shared" si="9"/>
        <v>1350.5630500911209</v>
      </c>
      <c r="AG42" s="86">
        <f t="shared" si="9"/>
        <v>1386.6102836141711</v>
      </c>
      <c r="AH42" s="86">
        <f t="shared" si="9"/>
        <v>1422.7237770376955</v>
      </c>
      <c r="AI42" s="86">
        <f>AI17+AI$26*AI104</f>
        <v>1458.9028399466733</v>
      </c>
      <c r="AJ42" s="86">
        <f>AJ17+AJ$26*AJ104</f>
        <v>1495.1467814935709</v>
      </c>
      <c r="AK42" s="86">
        <f t="shared" si="9"/>
        <v>1531.4549104021066</v>
      </c>
      <c r="AL42" s="86">
        <f t="shared" si="9"/>
        <v>1575.8806453736292</v>
      </c>
      <c r="AM42" s="125">
        <f t="shared" si="9"/>
        <v>1620.751770909093</v>
      </c>
    </row>
    <row r="43" spans="1:39" x14ac:dyDescent="0.25">
      <c r="A43" s="126" t="s">
        <v>235</v>
      </c>
      <c r="B43" s="127">
        <f>B26*B105</f>
        <v>7999.2125246098649</v>
      </c>
      <c r="C43" s="127">
        <f t="shared" ref="C43:AM43" si="10">C26*C105</f>
        <v>7801.2332524404455</v>
      </c>
      <c r="D43" s="127">
        <f t="shared" si="10"/>
        <v>7602.3327645305271</v>
      </c>
      <c r="E43" s="127">
        <f t="shared" si="10"/>
        <v>7402.5041936327752</v>
      </c>
      <c r="F43" s="127">
        <f t="shared" si="10"/>
        <v>7201.7405773029004</v>
      </c>
      <c r="G43" s="127">
        <f t="shared" si="10"/>
        <v>7000.0348563090884</v>
      </c>
      <c r="H43" s="127">
        <f t="shared" si="10"/>
        <v>6797.3798729996306</v>
      </c>
      <c r="I43" s="127">
        <f t="shared" si="10"/>
        <v>6593.7683696273461</v>
      </c>
      <c r="J43" s="127">
        <f t="shared" si="10"/>
        <v>6389.1929866293149</v>
      </c>
      <c r="K43" s="127">
        <f t="shared" si="10"/>
        <v>6183.6462608605925</v>
      </c>
      <c r="L43" s="127">
        <f t="shared" si="10"/>
        <v>5977.1206237804963</v>
      </c>
      <c r="M43" s="127">
        <f t="shared" si="10"/>
        <v>5769.6083995902345</v>
      </c>
      <c r="N43" s="127">
        <f t="shared" si="10"/>
        <v>5575.8953061356742</v>
      </c>
      <c r="O43" s="127">
        <f t="shared" si="10"/>
        <v>5380.0841238899366</v>
      </c>
      <c r="P43" s="127">
        <f t="shared" si="10"/>
        <v>5182.156798314224</v>
      </c>
      <c r="Q43" s="127">
        <f t="shared" si="10"/>
        <v>4982.0950136389647</v>
      </c>
      <c r="R43" s="127">
        <f t="shared" si="10"/>
        <v>4778.559210384884</v>
      </c>
      <c r="S43" s="127">
        <f t="shared" si="10"/>
        <v>4572.9681105821746</v>
      </c>
      <c r="T43" s="127">
        <f t="shared" si="10"/>
        <v>4368.1527426932798</v>
      </c>
      <c r="U43" s="127">
        <f t="shared" si="10"/>
        <v>4160.981630451508</v>
      </c>
      <c r="V43" s="127">
        <f t="shared" si="10"/>
        <v>3951.4308753523983</v>
      </c>
      <c r="W43" s="127">
        <f t="shared" si="10"/>
        <v>3739.4762248272909</v>
      </c>
      <c r="X43" s="127">
        <f t="shared" si="10"/>
        <v>3525.0930655847174</v>
      </c>
      <c r="Y43" s="127">
        <f t="shared" si="10"/>
        <v>3308.2564167950773</v>
      </c>
      <c r="Z43" s="127">
        <f t="shared" si="10"/>
        <v>3088.9409231150921</v>
      </c>
      <c r="AA43" s="127">
        <f t="shared" si="10"/>
        <v>2867.1208475484814</v>
      </c>
      <c r="AB43" s="127">
        <f t="shared" si="10"/>
        <v>2642.770064139238</v>
      </c>
      <c r="AC43" s="127">
        <f t="shared" si="10"/>
        <v>2415.862050493783</v>
      </c>
      <c r="AD43" s="127">
        <f t="shared" si="10"/>
        <v>2186.3698801282499</v>
      </c>
      <c r="AE43" s="127">
        <f t="shared" si="10"/>
        <v>1947.1335619095928</v>
      </c>
      <c r="AF43" s="127">
        <f t="shared" si="10"/>
        <v>1712.3605661891827</v>
      </c>
      <c r="AG43" s="127">
        <f t="shared" si="10"/>
        <v>1475.1051914648529</v>
      </c>
      <c r="AH43" s="127">
        <f t="shared" si="10"/>
        <v>1235.3773761708173</v>
      </c>
      <c r="AI43" s="127">
        <f t="shared" si="10"/>
        <v>993.18706543670271</v>
      </c>
      <c r="AJ43" s="127">
        <f t="shared" si="10"/>
        <v>748.54421099717547</v>
      </c>
      <c r="AK43" s="127">
        <f t="shared" si="10"/>
        <v>501.45877110239292</v>
      </c>
      <c r="AL43" s="127">
        <f t="shared" si="10"/>
        <v>254.69501868976732</v>
      </c>
      <c r="AM43" s="127">
        <f t="shared" si="10"/>
        <v>0</v>
      </c>
    </row>
    <row r="44" spans="1:39" x14ac:dyDescent="0.25">
      <c r="A44" s="129" t="s">
        <v>218</v>
      </c>
      <c r="B44" s="86">
        <f>SUM(B38:B42)</f>
        <v>3421.1022524538748</v>
      </c>
      <c r="C44" s="86">
        <f t="shared" ref="C44:AM44" si="11">SUM(C38:C42)</f>
        <v>3869.5555976762785</v>
      </c>
      <c r="D44" s="86">
        <f t="shared" si="11"/>
        <v>4316.3470756478773</v>
      </c>
      <c r="E44" s="86">
        <f t="shared" si="11"/>
        <v>4760.3919645039769</v>
      </c>
      <c r="F44" s="86">
        <f t="shared" si="11"/>
        <v>5201.6972848970918</v>
      </c>
      <c r="G44" s="86">
        <f t="shared" si="11"/>
        <v>5866.1036532772887</v>
      </c>
      <c r="H44" s="86">
        <f t="shared" si="11"/>
        <v>6520.5689278999689</v>
      </c>
      <c r="I44" s="86">
        <f t="shared" si="11"/>
        <v>7165.1004053077977</v>
      </c>
      <c r="J44" s="86">
        <f t="shared" si="11"/>
        <v>7799.7054770939112</v>
      </c>
      <c r="K44" s="86">
        <f t="shared" si="11"/>
        <v>8424.3916316289633</v>
      </c>
      <c r="L44" s="86">
        <f t="shared" si="11"/>
        <v>9039.1664558986304</v>
      </c>
      <c r="M44" s="86">
        <f t="shared" si="11"/>
        <v>9571.0255116331682</v>
      </c>
      <c r="N44" s="86">
        <f t="shared" si="11"/>
        <v>10106.50825943185</v>
      </c>
      <c r="O44" s="86">
        <f t="shared" si="11"/>
        <v>10636.059400224463</v>
      </c>
      <c r="P44" s="86">
        <f t="shared" si="11"/>
        <v>11159.696940770775</v>
      </c>
      <c r="Q44" s="86">
        <f t="shared" si="11"/>
        <v>11677.439134215989</v>
      </c>
      <c r="R44" s="86">
        <f t="shared" si="11"/>
        <v>12187.961463850215</v>
      </c>
      <c r="S44" s="86">
        <f t="shared" si="11"/>
        <v>12692.509119271701</v>
      </c>
      <c r="T44" s="86">
        <f t="shared" si="11"/>
        <v>13199.449908983259</v>
      </c>
      <c r="U44" s="86">
        <f t="shared" si="11"/>
        <v>13705.647551363933</v>
      </c>
      <c r="V44" s="86">
        <f t="shared" si="11"/>
        <v>14190.38448201213</v>
      </c>
      <c r="W44" s="86">
        <f t="shared" si="11"/>
        <v>14673.650669583061</v>
      </c>
      <c r="X44" s="86">
        <f t="shared" si="11"/>
        <v>15157.04498729097</v>
      </c>
      <c r="Y44" s="86">
        <f t="shared" si="11"/>
        <v>15640.592343217453</v>
      </c>
      <c r="Z44" s="86">
        <f t="shared" si="11"/>
        <v>16124.318014396242</v>
      </c>
      <c r="AA44" s="86">
        <f t="shared" si="11"/>
        <v>16509.527888637811</v>
      </c>
      <c r="AB44" s="86">
        <f t="shared" si="11"/>
        <v>16855.624494785417</v>
      </c>
      <c r="AC44" s="86">
        <f t="shared" si="11"/>
        <v>17208.310222572047</v>
      </c>
      <c r="AD44" s="86">
        <f t="shared" si="11"/>
        <v>17567.611879508429</v>
      </c>
      <c r="AE44" s="86">
        <f t="shared" si="11"/>
        <v>18177.042141705988</v>
      </c>
      <c r="AF44" s="86">
        <f t="shared" si="11"/>
        <v>18817.438420883533</v>
      </c>
      <c r="AG44" s="86">
        <f t="shared" si="11"/>
        <v>19490.735404873343</v>
      </c>
      <c r="AH44" s="86">
        <f t="shared" si="11"/>
        <v>20169.664548887926</v>
      </c>
      <c r="AI44" s="86">
        <f t="shared" si="11"/>
        <v>20853.111845532905</v>
      </c>
      <c r="AJ44" s="86">
        <f t="shared" si="11"/>
        <v>21541.067286475736</v>
      </c>
      <c r="AK44" s="86">
        <f t="shared" si="11"/>
        <v>22233.520866905026</v>
      </c>
      <c r="AL44" s="86">
        <f t="shared" si="11"/>
        <v>23039.10249042109</v>
      </c>
      <c r="AM44" s="125">
        <f t="shared" si="11"/>
        <v>23854.670870544684</v>
      </c>
    </row>
    <row r="45" spans="1:39" x14ac:dyDescent="0.25">
      <c r="A45" s="129"/>
      <c r="B45" s="86"/>
      <c r="C45" s="86"/>
      <c r="D45" s="86"/>
      <c r="E45" s="86"/>
      <c r="F45" s="86"/>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125"/>
    </row>
    <row r="46" spans="1:39" x14ac:dyDescent="0.25">
      <c r="A46" s="129" t="s">
        <v>236</v>
      </c>
      <c r="B46" s="86">
        <f>B44+B35</f>
        <v>10195.979573413759</v>
      </c>
      <c r="C46" s="86">
        <f t="shared" ref="C46:AM46" si="12">C44+C35</f>
        <v>11718.966206097868</v>
      </c>
      <c r="D46" s="86">
        <f t="shared" si="12"/>
        <v>13227.786417333129</v>
      </c>
      <c r="E46" s="86">
        <f t="shared" si="12"/>
        <v>14721.257237155263</v>
      </c>
      <c r="F46" s="86">
        <f t="shared" si="12"/>
        <v>16200.193567962593</v>
      </c>
      <c r="G46" s="86">
        <f t="shared" si="12"/>
        <v>18028.119352638409</v>
      </c>
      <c r="H46" s="86">
        <f t="shared" si="12"/>
        <v>19824.934309986198</v>
      </c>
      <c r="I46" s="86">
        <f t="shared" si="12"/>
        <v>21589.617260956049</v>
      </c>
      <c r="J46" s="86">
        <f t="shared" si="12"/>
        <v>23315.254645325575</v>
      </c>
      <c r="K46" s="86">
        <f t="shared" si="12"/>
        <v>24999.230041455201</v>
      </c>
      <c r="L46" s="86">
        <f t="shared" si="12"/>
        <v>26649.991313373928</v>
      </c>
      <c r="M46" s="86">
        <f t="shared" si="12"/>
        <v>28158.864502782337</v>
      </c>
      <c r="N46" s="86">
        <f t="shared" si="12"/>
        <v>29662.127378912199</v>
      </c>
      <c r="O46" s="86">
        <f t="shared" si="12"/>
        <v>31140.266438697727</v>
      </c>
      <c r="P46" s="86">
        <f t="shared" si="12"/>
        <v>32593.31240141442</v>
      </c>
      <c r="Q46" s="86">
        <f t="shared" si="12"/>
        <v>34021.296381664884</v>
      </c>
      <c r="R46" s="86">
        <f t="shared" si="12"/>
        <v>35416.782905818676</v>
      </c>
      <c r="S46" s="86">
        <f t="shared" si="12"/>
        <v>36786.622653895603</v>
      </c>
      <c r="T46" s="86">
        <f t="shared" si="12"/>
        <v>38155.769199790215</v>
      </c>
      <c r="U46" s="86">
        <f t="shared" si="12"/>
        <v>39514.816222959926</v>
      </c>
      <c r="V46" s="86">
        <f t="shared" si="12"/>
        <v>40792.665054174096</v>
      </c>
      <c r="W46" s="86">
        <f t="shared" si="12"/>
        <v>42057.089238911227</v>
      </c>
      <c r="X46" s="86">
        <f t="shared" si="12"/>
        <v>43350.376919539965</v>
      </c>
      <c r="Y46" s="86">
        <f t="shared" si="12"/>
        <v>44630.160401064597</v>
      </c>
      <c r="Z46" s="86">
        <f t="shared" si="12"/>
        <v>45895.586814789152</v>
      </c>
      <c r="AA46" s="86">
        <f t="shared" si="12"/>
        <v>46939.246314569871</v>
      </c>
      <c r="AB46" s="86">
        <f t="shared" si="12"/>
        <v>47675.356666937019</v>
      </c>
      <c r="AC46" s="86">
        <f t="shared" si="12"/>
        <v>48423.748381724457</v>
      </c>
      <c r="AD46" s="86">
        <f t="shared" si="12"/>
        <v>49200.379822739356</v>
      </c>
      <c r="AE46" s="86">
        <f t="shared" si="12"/>
        <v>50440.414439744607</v>
      </c>
      <c r="AF46" s="86">
        <f t="shared" si="12"/>
        <v>51772.054675490806</v>
      </c>
      <c r="AG46" s="86">
        <f t="shared" si="12"/>
        <v>53168.502863253772</v>
      </c>
      <c r="AH46" s="86">
        <f t="shared" si="12"/>
        <v>54576.869892696777</v>
      </c>
      <c r="AI46" s="86">
        <f t="shared" si="12"/>
        <v>55992.521899159561</v>
      </c>
      <c r="AJ46" s="86">
        <f t="shared" si="12"/>
        <v>57415.436505449172</v>
      </c>
      <c r="AK46" s="86">
        <f t="shared" si="12"/>
        <v>58845.59136004404</v>
      </c>
      <c r="AL46" s="86">
        <f t="shared" si="12"/>
        <v>60482.89808047784</v>
      </c>
      <c r="AM46" s="125">
        <f t="shared" si="12"/>
        <v>62137.538131454232</v>
      </c>
    </row>
    <row r="47" spans="1:39" x14ac:dyDescent="0.25">
      <c r="A47" s="124" t="s">
        <v>237</v>
      </c>
      <c r="B47" s="86">
        <f>B34+B43</f>
        <v>11228.806418558173</v>
      </c>
      <c r="C47" s="86">
        <f t="shared" ref="C47:AM47" si="13">C34+C43</f>
        <v>10956.967095523811</v>
      </c>
      <c r="D47" s="86">
        <f t="shared" si="13"/>
        <v>10686.135773157705</v>
      </c>
      <c r="E47" s="86">
        <f t="shared" si="13"/>
        <v>10423.823010911612</v>
      </c>
      <c r="F47" s="86">
        <f t="shared" si="13"/>
        <v>10169.21427300659</v>
      </c>
      <c r="G47" s="86">
        <f t="shared" si="13"/>
        <v>9928.8000400263445</v>
      </c>
      <c r="H47" s="86">
        <f t="shared" si="13"/>
        <v>9684.5352364919527</v>
      </c>
      <c r="I47" s="86">
        <f t="shared" si="13"/>
        <v>9434.0841416893236</v>
      </c>
      <c r="J47" s="86">
        <f t="shared" si="13"/>
        <v>9164.2176588067705</v>
      </c>
      <c r="K47" s="86">
        <f t="shared" si="13"/>
        <v>8874.1952235334556</v>
      </c>
      <c r="L47" s="86">
        <f t="shared" si="13"/>
        <v>8582.4262285855311</v>
      </c>
      <c r="M47" s="86">
        <f t="shared" si="13"/>
        <v>8288.8996287519403</v>
      </c>
      <c r="N47" s="86">
        <f t="shared" si="13"/>
        <v>8023.7954521052252</v>
      </c>
      <c r="O47" s="86">
        <f t="shared" si="13"/>
        <v>7754.6646948526468</v>
      </c>
      <c r="P47" s="86">
        <f t="shared" si="13"/>
        <v>7481.4764649486788</v>
      </c>
      <c r="Q47" s="86">
        <f t="shared" si="13"/>
        <v>7204.199427365169</v>
      </c>
      <c r="R47" s="86">
        <f t="shared" si="13"/>
        <v>6915.4573637582489</v>
      </c>
      <c r="S47" s="86">
        <f t="shared" si="13"/>
        <v>6623.2107211806579</v>
      </c>
      <c r="T47" s="86">
        <f t="shared" si="13"/>
        <v>6335.9474989728233</v>
      </c>
      <c r="U47" s="86">
        <f t="shared" si="13"/>
        <v>6044.3335142073684</v>
      </c>
      <c r="V47" s="86">
        <f t="shared" si="13"/>
        <v>5748.3265920842005</v>
      </c>
      <c r="W47" s="86">
        <f t="shared" si="13"/>
        <v>5447.4016612799387</v>
      </c>
      <c r="X47" s="86">
        <f t="shared" si="13"/>
        <v>5162.5790916281776</v>
      </c>
      <c r="Y47" s="86">
        <f t="shared" si="13"/>
        <v>4866.154873617621</v>
      </c>
      <c r="Z47" s="86">
        <f t="shared" si="13"/>
        <v>4558.9815857834601</v>
      </c>
      <c r="AA47" s="86">
        <f t="shared" si="13"/>
        <v>4238.9740777739262</v>
      </c>
      <c r="AB47" s="86">
        <f t="shared" si="13"/>
        <v>3914.0526981499615</v>
      </c>
      <c r="AC47" s="86">
        <f t="shared" si="13"/>
        <v>3584.9908073837123</v>
      </c>
      <c r="AD47" s="86">
        <f t="shared" si="13"/>
        <v>3255.9724057834392</v>
      </c>
      <c r="AE47" s="86">
        <f t="shared" si="13"/>
        <v>2903.3860735704611</v>
      </c>
      <c r="AF47" s="86">
        <f t="shared" si="13"/>
        <v>2566.3257998734289</v>
      </c>
      <c r="AG47" s="86">
        <f t="shared" si="13"/>
        <v>2221.8283929819913</v>
      </c>
      <c r="AH47" s="86">
        <f t="shared" si="13"/>
        <v>1869.8506350330199</v>
      </c>
      <c r="AI47" s="86">
        <f t="shared" si="13"/>
        <v>1510.5126270282876</v>
      </c>
      <c r="AJ47" s="86">
        <f t="shared" si="13"/>
        <v>1143.8364532761611</v>
      </c>
      <c r="AK47" s="86">
        <f t="shared" si="13"/>
        <v>769.84421274203646</v>
      </c>
      <c r="AL47" s="86">
        <f t="shared" si="13"/>
        <v>393.62687198517733</v>
      </c>
      <c r="AM47" s="86">
        <f t="shared" si="13"/>
        <v>0</v>
      </c>
    </row>
    <row r="48" spans="1:39" ht="15.75" thickBot="1" x14ac:dyDescent="0.3">
      <c r="A48" s="133" t="s">
        <v>220</v>
      </c>
      <c r="B48" s="134">
        <f>B46+B47-('Coûts annuel génération élec'!E4+'Coûts annuel génération élec'!E5+'Coûts annuels réseaux et stocka'!E4+'Coûts annuels réseaux et stocka'!E5+'Coûts annuels réseaux et stocka'!E6)</f>
        <v>0</v>
      </c>
      <c r="C48" s="134">
        <f>C46+C47-('Coûts annuel génération élec'!F4+'Coûts annuel génération élec'!F5+'Coûts annuels réseaux et stocka'!F4+'Coûts annuels réseaux et stocka'!F5+'Coûts annuels réseaux et stocka'!F6)</f>
        <v>0</v>
      </c>
      <c r="D48" s="134">
        <f>D46+D47-('Coûts annuel génération élec'!G4+'Coûts annuel génération élec'!G5+'Coûts annuels réseaux et stocka'!G4+'Coûts annuels réseaux et stocka'!G5+'Coûts annuels réseaux et stocka'!G6)</f>
        <v>0</v>
      </c>
      <c r="E48" s="134">
        <f>E46+E47-('Coûts annuel génération élec'!H4+'Coûts annuel génération élec'!H5+'Coûts annuels réseaux et stocka'!H4+'Coûts annuels réseaux et stocka'!H5+'Coûts annuels réseaux et stocka'!H6)</f>
        <v>0</v>
      </c>
      <c r="F48" s="134">
        <f>F46+F47-('Coûts annuel génération élec'!I4+'Coûts annuel génération élec'!I5+'Coûts annuels réseaux et stocka'!I4+'Coûts annuels réseaux et stocka'!I5+'Coûts annuels réseaux et stocka'!I6)</f>
        <v>0</v>
      </c>
      <c r="G48" s="134">
        <f>G46+G47-('Coûts annuel génération élec'!J4+'Coûts annuel génération élec'!J5+'Coûts annuels réseaux et stocka'!J4+'Coûts annuels réseaux et stocka'!J5+'Coûts annuels réseaux et stocka'!J6)</f>
        <v>0</v>
      </c>
      <c r="H48" s="134">
        <f>H46+H47-('Coûts annuel génération élec'!K4+'Coûts annuel génération élec'!K5+'Coûts annuels réseaux et stocka'!K4+'Coûts annuels réseaux et stocka'!K5+'Coûts annuels réseaux et stocka'!K6)</f>
        <v>0</v>
      </c>
      <c r="I48" s="134">
        <f>I46+I47-('Coûts annuel génération élec'!L4+'Coûts annuel génération élec'!L5+'Coûts annuels réseaux et stocka'!L4+'Coûts annuels réseaux et stocka'!L5+'Coûts annuels réseaux et stocka'!L6)</f>
        <v>0</v>
      </c>
      <c r="J48" s="134">
        <f>J46+J47-('Coûts annuel génération élec'!M4+'Coûts annuel génération élec'!M5+'Coûts annuels réseaux et stocka'!M4+'Coûts annuels réseaux et stocka'!M5+'Coûts annuels réseaux et stocka'!M6)</f>
        <v>0</v>
      </c>
      <c r="K48" s="134">
        <f>K46+K47-('Coûts annuel génération élec'!N4+'Coûts annuel génération élec'!N5+'Coûts annuels réseaux et stocka'!N4+'Coûts annuels réseaux et stocka'!N5+'Coûts annuels réseaux et stocka'!N6)</f>
        <v>0</v>
      </c>
      <c r="L48" s="134">
        <f>L46+L47-('Coûts annuel génération élec'!O4+'Coûts annuel génération élec'!O5+'Coûts annuels réseaux et stocka'!O4+'Coûts annuels réseaux et stocka'!O5+'Coûts annuels réseaux et stocka'!O6)</f>
        <v>0</v>
      </c>
      <c r="M48" s="134">
        <f>M46+M47-('Coûts annuel génération élec'!P4+'Coûts annuel génération élec'!P5+'Coûts annuels réseaux et stocka'!P4+'Coûts annuels réseaux et stocka'!P5+'Coûts annuels réseaux et stocka'!P6)</f>
        <v>0</v>
      </c>
      <c r="N48" s="134">
        <f>N46+N47-('Coûts annuel génération élec'!Q4+'Coûts annuel génération élec'!Q5+'Coûts annuels réseaux et stocka'!Q4+'Coûts annuels réseaux et stocka'!Q5+'Coûts annuels réseaux et stocka'!Q6)</f>
        <v>0</v>
      </c>
      <c r="O48" s="134">
        <f>O46+O47-('Coûts annuel génération élec'!R4+'Coûts annuel génération élec'!R5+'Coûts annuels réseaux et stocka'!R4+'Coûts annuels réseaux et stocka'!R5+'Coûts annuels réseaux et stocka'!R6)</f>
        <v>0</v>
      </c>
      <c r="P48" s="134">
        <f>P46+P47-('Coûts annuel génération élec'!S4+'Coûts annuel génération élec'!S5+'Coûts annuels réseaux et stocka'!S4+'Coûts annuels réseaux et stocka'!S5+'Coûts annuels réseaux et stocka'!S6)</f>
        <v>0</v>
      </c>
      <c r="Q48" s="134">
        <f>Q46+Q47-('Coûts annuel génération élec'!T4+'Coûts annuel génération élec'!T5+'Coûts annuels réseaux et stocka'!T4+'Coûts annuels réseaux et stocka'!T5+'Coûts annuels réseaux et stocka'!T6)</f>
        <v>94.092120450026414</v>
      </c>
      <c r="R48" s="134">
        <f>R46+R47-('Coûts annuel génération élec'!U4+'Coûts annuel génération élec'!U5+'Coûts annuels réseaux et stocka'!U4+'Coûts annuels réseaux et stocka'!U5+'Coûts annuels réseaux et stocka'!U6)</f>
        <v>0</v>
      </c>
      <c r="S48" s="134">
        <f>S46+S47-('Coûts annuel génération élec'!V4+'Coûts annuel génération élec'!V5+'Coûts annuels réseaux et stocka'!V4+'Coûts annuels réseaux et stocka'!V5+'Coûts annuels réseaux et stocka'!V6)</f>
        <v>0</v>
      </c>
      <c r="T48" s="134">
        <f>T46+T47-('Coûts annuel génération élec'!W4+'Coûts annuel génération élec'!W5+'Coûts annuels réseaux et stocka'!W4+'Coûts annuels réseaux et stocka'!W5+'Coûts annuels réseaux et stocka'!W6)</f>
        <v>0</v>
      </c>
      <c r="U48" s="134">
        <f>U46+U47-('Coûts annuel génération élec'!X4+'Coûts annuel génération élec'!X5+'Coûts annuels réseaux et stocka'!X4+'Coûts annuels réseaux et stocka'!X5+'Coûts annuels réseaux et stocka'!X6)</f>
        <v>0</v>
      </c>
      <c r="V48" s="134">
        <f>V46+V47-('Coûts annuel génération élec'!Y4+'Coûts annuel génération élec'!Y5+'Coûts annuels réseaux et stocka'!Y4+'Coûts annuels réseaux et stocka'!Y5+'Coûts annuels réseaux et stocka'!Y6)</f>
        <v>0</v>
      </c>
      <c r="W48" s="134">
        <f>W46+W47-('Coûts annuel génération élec'!Z4+'Coûts annuel génération élec'!Z5+'Coûts annuels réseaux et stocka'!Z4+'Coûts annuels réseaux et stocka'!Z5+'Coûts annuels réseaux et stocka'!Z6)</f>
        <v>0</v>
      </c>
      <c r="X48" s="134">
        <f>X46+X47-('Coûts annuel génération élec'!AA4+'Coûts annuel génération élec'!AA5+'Coûts annuels réseaux et stocka'!AA4+'Coûts annuels réseaux et stocka'!AA5+'Coûts annuels réseaux et stocka'!AA6)</f>
        <v>0</v>
      </c>
      <c r="Y48" s="134">
        <f>Y46+Y47-('Coûts annuel génération élec'!AB4+'Coûts annuel génération élec'!AB5+'Coûts annuels réseaux et stocka'!AB4+'Coûts annuels réseaux et stocka'!AB5+'Coûts annuels réseaux et stocka'!AB6)</f>
        <v>0</v>
      </c>
      <c r="Z48" s="134">
        <f>Z46+Z47-('Coûts annuel génération élec'!AC4+'Coûts annuel génération élec'!AC5+'Coûts annuels réseaux et stocka'!AC4+'Coûts annuels réseaux et stocka'!AC5+'Coûts annuels réseaux et stocka'!AC6)</f>
        <v>0</v>
      </c>
      <c r="AA48" s="134">
        <f>AA46+AA47-('Coûts annuel génération élec'!AD4+'Coûts annuel génération élec'!AD5+'Coûts annuels réseaux et stocka'!AD4+'Coûts annuels réseaux et stocka'!AD5+'Coûts annuels réseaux et stocka'!AD6)</f>
        <v>0</v>
      </c>
      <c r="AB48" s="134">
        <f>AB46+AB47-('Coûts annuel génération élec'!AE4+'Coûts annuel génération élec'!AE5+'Coûts annuels réseaux et stocka'!AE4+'Coûts annuels réseaux et stocka'!AE5+'Coûts annuels réseaux et stocka'!AE6)</f>
        <v>0</v>
      </c>
      <c r="AC48" s="134">
        <f>AC46+AC47-('Coûts annuel génération élec'!AF4+'Coûts annuel génération élec'!AF5+'Coûts annuels réseaux et stocka'!AF4+'Coûts annuels réseaux et stocka'!AF5+'Coûts annuels réseaux et stocka'!AF6)</f>
        <v>0</v>
      </c>
      <c r="AD48" s="134">
        <f>AD46+AD47-('Coûts annuel génération élec'!AG4+'Coûts annuel génération élec'!AG5+'Coûts annuels réseaux et stocka'!AG4+'Coûts annuels réseaux et stocka'!AG5+'Coûts annuels réseaux et stocka'!AG6)</f>
        <v>0</v>
      </c>
      <c r="AE48" s="134">
        <f>AE46+AE47-('Coûts annuel génération élec'!AH4+'Coûts annuel génération élec'!AH5+'Coûts annuels réseaux et stocka'!AH4+'Coûts annuels réseaux et stocka'!AH5+'Coûts annuels réseaux et stocka'!AH6)</f>
        <v>0</v>
      </c>
      <c r="AF48" s="134">
        <f>AF46+AF47-('Coûts annuel génération élec'!AI4+'Coûts annuel génération élec'!AI5+'Coûts annuels réseaux et stocka'!AI4+'Coûts annuels réseaux et stocka'!AI5+'Coûts annuels réseaux et stocka'!AI6)</f>
        <v>0</v>
      </c>
      <c r="AG48" s="134">
        <f>AG46+AG47-('Coûts annuel génération élec'!AJ4+'Coûts annuel génération élec'!AJ5+'Coûts annuels réseaux et stocka'!AJ4+'Coûts annuels réseaux et stocka'!AJ5+'Coûts annuels réseaux et stocka'!AJ6)</f>
        <v>0</v>
      </c>
      <c r="AH48" s="134">
        <f>AH46+AH47-('Coûts annuel génération élec'!AK4+'Coûts annuel génération élec'!AK5+'Coûts annuels réseaux et stocka'!AK4+'Coûts annuels réseaux et stocka'!AK5+'Coûts annuels réseaux et stocka'!AK6)</f>
        <v>0</v>
      </c>
      <c r="AI48" s="134">
        <f>AI46+AI47-('Coûts annuel génération élec'!AL4+'Coûts annuel génération élec'!AL5+'Coûts annuels réseaux et stocka'!AL4+'Coûts annuels réseaux et stocka'!AL5+'Coûts annuels réseaux et stocka'!AL6)</f>
        <v>0</v>
      </c>
      <c r="AJ48" s="134">
        <f>AJ46+AJ47-('Coûts annuel génération élec'!AM4+'Coûts annuel génération élec'!AM5+'Coûts annuels réseaux et stocka'!AM4+'Coûts annuels réseaux et stocka'!AM5+'Coûts annuels réseaux et stocka'!AM6)</f>
        <v>0</v>
      </c>
      <c r="AK48" s="134">
        <f>AK46+AK47-('Coûts annuel génération élec'!AN4+'Coûts annuel génération élec'!AN5+'Coûts annuels réseaux et stocka'!AN4+'Coûts annuels réseaux et stocka'!AN5+'Coûts annuels réseaux et stocka'!AN6)</f>
        <v>0</v>
      </c>
      <c r="AL48" s="134">
        <f>AL46+AL47-('Coûts annuel génération élec'!AO4+'Coûts annuel génération élec'!AO5+'Coûts annuels réseaux et stocka'!AO4+'Coûts annuels réseaux et stocka'!AO5+'Coûts annuels réseaux et stocka'!AO6)</f>
        <v>0</v>
      </c>
      <c r="AM48" s="134">
        <f>AM46+AM47-('Coûts annuel génération élec'!AP4+'Coûts annuel génération élec'!AP5+'Coûts annuels réseaux et stocka'!AP4+'Coûts annuels réseaux et stocka'!AP5+'Coûts annuels réseaux et stocka'!AP6)</f>
        <v>0</v>
      </c>
    </row>
    <row r="63" spans="1:39" ht="15.75" thickBot="1" x14ac:dyDescent="0.3"/>
    <row r="64" spans="1:39" x14ac:dyDescent="0.25">
      <c r="A64" s="121" t="s">
        <v>238</v>
      </c>
      <c r="B64" s="122">
        <f t="shared" ref="B64:AM64" si="14">B110</f>
        <v>2013</v>
      </c>
      <c r="C64" s="122">
        <f t="shared" si="14"/>
        <v>2014</v>
      </c>
      <c r="D64" s="122">
        <f t="shared" si="14"/>
        <v>2015</v>
      </c>
      <c r="E64" s="122">
        <f t="shared" si="14"/>
        <v>2016</v>
      </c>
      <c r="F64" s="122">
        <f t="shared" si="14"/>
        <v>2017</v>
      </c>
      <c r="G64" s="122">
        <f t="shared" si="14"/>
        <v>2018</v>
      </c>
      <c r="H64" s="122">
        <f t="shared" si="14"/>
        <v>2019</v>
      </c>
      <c r="I64" s="122">
        <f t="shared" si="14"/>
        <v>2020</v>
      </c>
      <c r="J64" s="122">
        <f t="shared" si="14"/>
        <v>2021</v>
      </c>
      <c r="K64" s="122">
        <f t="shared" si="14"/>
        <v>2022</v>
      </c>
      <c r="L64" s="122">
        <f t="shared" si="14"/>
        <v>2023</v>
      </c>
      <c r="M64" s="122">
        <f t="shared" si="14"/>
        <v>2024</v>
      </c>
      <c r="N64" s="122">
        <f t="shared" si="14"/>
        <v>2025</v>
      </c>
      <c r="O64" s="122">
        <f t="shared" si="14"/>
        <v>2026</v>
      </c>
      <c r="P64" s="122">
        <f t="shared" si="14"/>
        <v>2027</v>
      </c>
      <c r="Q64" s="122">
        <f t="shared" si="14"/>
        <v>2028</v>
      </c>
      <c r="R64" s="122">
        <f t="shared" si="14"/>
        <v>2029</v>
      </c>
      <c r="S64" s="122">
        <f t="shared" si="14"/>
        <v>2030</v>
      </c>
      <c r="T64" s="122">
        <f t="shared" si="14"/>
        <v>2031</v>
      </c>
      <c r="U64" s="122">
        <f t="shared" si="14"/>
        <v>2032</v>
      </c>
      <c r="V64" s="122">
        <f t="shared" si="14"/>
        <v>2033</v>
      </c>
      <c r="W64" s="122">
        <f t="shared" si="14"/>
        <v>2034</v>
      </c>
      <c r="X64" s="122">
        <f t="shared" si="14"/>
        <v>2035</v>
      </c>
      <c r="Y64" s="122">
        <f t="shared" si="14"/>
        <v>2036</v>
      </c>
      <c r="Z64" s="122">
        <f t="shared" si="14"/>
        <v>2037</v>
      </c>
      <c r="AA64" s="122">
        <f t="shared" si="14"/>
        <v>2038</v>
      </c>
      <c r="AB64" s="122">
        <f t="shared" si="14"/>
        <v>2039</v>
      </c>
      <c r="AC64" s="122">
        <f t="shared" si="14"/>
        <v>2040</v>
      </c>
      <c r="AD64" s="122">
        <f t="shared" si="14"/>
        <v>2041</v>
      </c>
      <c r="AE64" s="122">
        <f t="shared" si="14"/>
        <v>2042</v>
      </c>
      <c r="AF64" s="122">
        <f t="shared" si="14"/>
        <v>2043</v>
      </c>
      <c r="AG64" s="122">
        <f t="shared" si="14"/>
        <v>2044</v>
      </c>
      <c r="AH64" s="122">
        <f t="shared" si="14"/>
        <v>2045</v>
      </c>
      <c r="AI64" s="122">
        <f t="shared" si="14"/>
        <v>2046</v>
      </c>
      <c r="AJ64" s="122">
        <f t="shared" si="14"/>
        <v>2047</v>
      </c>
      <c r="AK64" s="122">
        <f t="shared" si="14"/>
        <v>2048</v>
      </c>
      <c r="AL64" s="122">
        <f t="shared" si="14"/>
        <v>2049</v>
      </c>
      <c r="AM64" s="123">
        <f t="shared" si="14"/>
        <v>2050</v>
      </c>
    </row>
    <row r="65" spans="1:39" x14ac:dyDescent="0.25">
      <c r="A65" s="124" t="s">
        <v>211</v>
      </c>
      <c r="B65" s="87"/>
      <c r="C65" s="87"/>
      <c r="D65" s="87"/>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87"/>
      <c r="AE65" s="86">
        <f t="shared" ref="AE65:AM69" si="15">(AE29+AE38)/AE111</f>
        <v>313.29985442212865</v>
      </c>
      <c r="AF65" s="86">
        <f t="shared" si="15"/>
        <v>313.39921432781745</v>
      </c>
      <c r="AG65" s="86">
        <f t="shared" si="15"/>
        <v>313.49786911559653</v>
      </c>
      <c r="AH65" s="86">
        <f t="shared" si="15"/>
        <v>313.59462859675938</v>
      </c>
      <c r="AI65" s="86">
        <f t="shared" si="15"/>
        <v>313.69073502684279</v>
      </c>
      <c r="AJ65" s="86">
        <f t="shared" si="15"/>
        <v>313.78618809896602</v>
      </c>
      <c r="AK65" s="86">
        <f t="shared" si="15"/>
        <v>313.880987505691</v>
      </c>
      <c r="AL65" s="86">
        <f t="shared" si="15"/>
        <v>314.42487175133914</v>
      </c>
      <c r="AM65" s="125">
        <f t="shared" si="15"/>
        <v>314.96825000638103</v>
      </c>
    </row>
    <row r="66" spans="1:39" x14ac:dyDescent="0.25">
      <c r="A66" s="124" t="s">
        <v>212</v>
      </c>
      <c r="B66" s="86">
        <f>(B30+B39)/B112</f>
        <v>112.94832383374623</v>
      </c>
      <c r="C66" s="86">
        <f>(C30+C39)/C112</f>
        <v>112.83355718400426</v>
      </c>
      <c r="D66" s="86">
        <f t="shared" ref="B66:AD69" si="16">(D30+D39)/D112</f>
        <v>112.77943050058396</v>
      </c>
      <c r="E66" s="86">
        <f t="shared" si="16"/>
        <v>112.67563305372254</v>
      </c>
      <c r="F66" s="86">
        <f t="shared" si="16"/>
        <v>112.55673287930617</v>
      </c>
      <c r="G66" s="86">
        <f t="shared" si="16"/>
        <v>121.05539509509163</v>
      </c>
      <c r="H66" s="86">
        <f t="shared" si="16"/>
        <v>127.25781319944906</v>
      </c>
      <c r="I66" s="86">
        <f t="shared" si="16"/>
        <v>131.86556040118623</v>
      </c>
      <c r="J66" s="86">
        <f t="shared" si="16"/>
        <v>135.28185727996396</v>
      </c>
      <c r="K66" s="86">
        <f t="shared" si="16"/>
        <v>137.79211998604362</v>
      </c>
      <c r="L66" s="86">
        <f t="shared" si="16"/>
        <v>139.65160534417709</v>
      </c>
      <c r="M66" s="86">
        <f t="shared" si="16"/>
        <v>139.54141610607306</v>
      </c>
      <c r="N66" s="86">
        <f t="shared" si="16"/>
        <v>139.40564268239882</v>
      </c>
      <c r="O66" s="86">
        <f t="shared" si="16"/>
        <v>139.16314819096229</v>
      </c>
      <c r="P66" s="86">
        <f t="shared" si="16"/>
        <v>138.83325866009159</v>
      </c>
      <c r="Q66" s="86">
        <f t="shared" si="16"/>
        <v>138.43094234038605</v>
      </c>
      <c r="R66" s="86">
        <f t="shared" si="16"/>
        <v>137.93694249293873</v>
      </c>
      <c r="S66" s="86">
        <f t="shared" si="16"/>
        <v>137.391451729647</v>
      </c>
      <c r="T66" s="86">
        <f t="shared" si="16"/>
        <v>136.92494851499455</v>
      </c>
      <c r="U66" s="86">
        <f t="shared" si="16"/>
        <v>136.49288245643189</v>
      </c>
      <c r="V66" s="86">
        <f t="shared" si="16"/>
        <v>135.60024189220024</v>
      </c>
      <c r="W66" s="86">
        <f t="shared" si="16"/>
        <v>134.74983073655707</v>
      </c>
      <c r="X66" s="86">
        <f t="shared" si="16"/>
        <v>134.10062578212259</v>
      </c>
      <c r="Y66" s="86">
        <f t="shared" si="16"/>
        <v>133.49420959484098</v>
      </c>
      <c r="Z66" s="86">
        <f t="shared" si="16"/>
        <v>132.92250527269351</v>
      </c>
      <c r="AA66" s="86">
        <f t="shared" si="16"/>
        <v>131.02928230084868</v>
      </c>
      <c r="AB66" s="86">
        <f t="shared" si="16"/>
        <v>129.35522111320529</v>
      </c>
      <c r="AC66" s="86">
        <f t="shared" si="16"/>
        <v>127.88571420103554</v>
      </c>
      <c r="AD66" s="86">
        <f t="shared" si="16"/>
        <v>126.64590004007944</v>
      </c>
      <c r="AE66" s="86">
        <f t="shared" si="15"/>
        <v>125.37716947239412</v>
      </c>
      <c r="AF66" s="86">
        <f t="shared" si="15"/>
        <v>124.47951227566568</v>
      </c>
      <c r="AG66" s="86">
        <f t="shared" si="15"/>
        <v>123.99454964488589</v>
      </c>
      <c r="AH66" s="86">
        <f t="shared" si="15"/>
        <v>123.58717653136429</v>
      </c>
      <c r="AI66" s="86">
        <f t="shared" si="15"/>
        <v>123.25196138226299</v>
      </c>
      <c r="AJ66" s="86">
        <f t="shared" si="15"/>
        <v>122.98295695517791</v>
      </c>
      <c r="AK66" s="86">
        <f t="shared" si="15"/>
        <v>122.77484654759294</v>
      </c>
      <c r="AL66" s="86">
        <f t="shared" si="15"/>
        <v>123.07260140015443</v>
      </c>
      <c r="AM66" s="125">
        <f t="shared" si="15"/>
        <v>123.42234343607215</v>
      </c>
    </row>
    <row r="67" spans="1:39" x14ac:dyDescent="0.25">
      <c r="A67" s="124" t="s">
        <v>213</v>
      </c>
      <c r="B67" s="86">
        <f t="shared" si="16"/>
        <v>219.90529563483608</v>
      </c>
      <c r="C67" s="86">
        <f t="shared" si="16"/>
        <v>218.47667210869034</v>
      </c>
      <c r="D67" s="86">
        <f t="shared" si="16"/>
        <v>216.85588428137223</v>
      </c>
      <c r="E67" s="86">
        <f t="shared" si="16"/>
        <v>215.1969942361346</v>
      </c>
      <c r="F67" s="86">
        <f t="shared" si="16"/>
        <v>213.53616227882719</v>
      </c>
      <c r="G67" s="86">
        <f t="shared" si="16"/>
        <v>211.907640988716</v>
      </c>
      <c r="H67" s="86">
        <f t="shared" si="16"/>
        <v>210.27078405016167</v>
      </c>
      <c r="I67" s="86">
        <f t="shared" si="16"/>
        <v>208.62214033870396</v>
      </c>
      <c r="J67" s="86">
        <f t="shared" si="16"/>
        <v>206.92257719244279</v>
      </c>
      <c r="K67" s="86">
        <f t="shared" si="16"/>
        <v>205.16593018233007</v>
      </c>
      <c r="L67" s="86">
        <f t="shared" si="16"/>
        <v>203.40745797813378</v>
      </c>
      <c r="M67" s="86">
        <f t="shared" si="16"/>
        <v>201.6476909338011</v>
      </c>
      <c r="N67" s="86">
        <f t="shared" si="16"/>
        <v>199.99415275882365</v>
      </c>
      <c r="O67" s="86">
        <f t="shared" si="16"/>
        <v>198.34058855740284</v>
      </c>
      <c r="P67" s="86">
        <f t="shared" si="16"/>
        <v>196.68720664847305</v>
      </c>
      <c r="Q67" s="86">
        <f t="shared" si="16"/>
        <v>195.03416719221568</v>
      </c>
      <c r="R67" s="86">
        <f t="shared" si="16"/>
        <v>193.35056541940881</v>
      </c>
      <c r="S67" s="86">
        <f t="shared" si="16"/>
        <v>191.66730572332582</v>
      </c>
      <c r="T67" s="86">
        <f t="shared" si="16"/>
        <v>190.08288517675661</v>
      </c>
      <c r="U67" s="86">
        <f t="shared" si="16"/>
        <v>188.54951473464286</v>
      </c>
      <c r="V67" s="86">
        <f t="shared" si="16"/>
        <v>187.06025902341855</v>
      </c>
      <c r="W67" s="86">
        <f t="shared" si="16"/>
        <v>185.60674589704641</v>
      </c>
      <c r="X67" s="86">
        <f t="shared" si="16"/>
        <v>184.30831057614475</v>
      </c>
      <c r="Y67" s="86">
        <f t="shared" si="16"/>
        <v>183.01171832482498</v>
      </c>
      <c r="Z67" s="86">
        <f t="shared" si="16"/>
        <v>181.71332877396435</v>
      </c>
      <c r="AA67" s="86">
        <f t="shared" si="16"/>
        <v>180.38818590364494</v>
      </c>
      <c r="AB67" s="86">
        <f t="shared" si="16"/>
        <v>176.26084662975498</v>
      </c>
      <c r="AC67" s="86">
        <f t="shared" si="16"/>
        <v>172.4036170186763</v>
      </c>
      <c r="AD67" s="86">
        <f t="shared" si="16"/>
        <v>168.83413914582141</v>
      </c>
      <c r="AE67" s="86">
        <f t="shared" si="15"/>
        <v>165.28739173109383</v>
      </c>
      <c r="AF67" s="86">
        <f t="shared" si="15"/>
        <v>162.15784964382729</v>
      </c>
      <c r="AG67" s="86">
        <f t="shared" si="15"/>
        <v>159.2012172131183</v>
      </c>
      <c r="AH67" s="86">
        <f t="shared" si="15"/>
        <v>156.40073833322506</v>
      </c>
      <c r="AI67" s="86">
        <f t="shared" si="15"/>
        <v>153.74389606303887</v>
      </c>
      <c r="AJ67" s="86">
        <f t="shared" si="15"/>
        <v>151.21848291120585</v>
      </c>
      <c r="AK67" s="86">
        <f t="shared" si="15"/>
        <v>148.81363059838225</v>
      </c>
      <c r="AL67" s="86">
        <f t="shared" si="15"/>
        <v>146.96937014821967</v>
      </c>
      <c r="AM67" s="125">
        <f t="shared" si="15"/>
        <v>145.22741289694</v>
      </c>
    </row>
    <row r="68" spans="1:39" x14ac:dyDescent="0.25">
      <c r="A68" s="124" t="s">
        <v>214</v>
      </c>
      <c r="B68" s="86">
        <f t="shared" si="16"/>
        <v>108.83523273960961</v>
      </c>
      <c r="C68" s="86">
        <f t="shared" si="16"/>
        <v>111.06531508228309</v>
      </c>
      <c r="D68" s="86">
        <f t="shared" si="16"/>
        <v>113.20258899758547</v>
      </c>
      <c r="E68" s="86">
        <f t="shared" si="16"/>
        <v>115.26917303828384</v>
      </c>
      <c r="F68" s="86">
        <f t="shared" si="16"/>
        <v>117.26720482408695</v>
      </c>
      <c r="G68" s="86">
        <f t="shared" si="16"/>
        <v>119.21906565903707</v>
      </c>
      <c r="H68" s="86">
        <f t="shared" si="16"/>
        <v>121.07952238865987</v>
      </c>
      <c r="I68" s="86">
        <f t="shared" si="16"/>
        <v>122.84349344240775</v>
      </c>
      <c r="J68" s="86">
        <f t="shared" si="16"/>
        <v>124.47158855428977</v>
      </c>
      <c r="K68" s="86">
        <f t="shared" si="16"/>
        <v>125.95808362953564</v>
      </c>
      <c r="L68" s="86">
        <f t="shared" si="16"/>
        <v>127.359054539977</v>
      </c>
      <c r="M68" s="86">
        <f t="shared" si="16"/>
        <v>128.67605974249432</v>
      </c>
      <c r="N68" s="86">
        <f t="shared" si="16"/>
        <v>130.01777043212334</v>
      </c>
      <c r="O68" s="86">
        <f t="shared" si="16"/>
        <v>131.27914546508111</v>
      </c>
      <c r="P68" s="86">
        <f t="shared" si="16"/>
        <v>132.46164106600824</v>
      </c>
      <c r="Q68" s="86">
        <f t="shared" si="16"/>
        <v>133.56667940077955</v>
      </c>
      <c r="R68" s="86">
        <f t="shared" si="16"/>
        <v>134.56461896460834</v>
      </c>
      <c r="S68" s="86">
        <f t="shared" si="16"/>
        <v>135.48762029890605</v>
      </c>
      <c r="T68" s="86">
        <f t="shared" si="16"/>
        <v>136.40220021297534</v>
      </c>
      <c r="U68" s="86">
        <f t="shared" si="16"/>
        <v>137.2699566169471</v>
      </c>
      <c r="V68" s="86">
        <f t="shared" si="16"/>
        <v>138.09173004291887</v>
      </c>
      <c r="W68" s="86">
        <f t="shared" si="16"/>
        <v>138.86566799596005</v>
      </c>
      <c r="X68" s="86">
        <f t="shared" si="16"/>
        <v>139.71663329155683</v>
      </c>
      <c r="Y68" s="86">
        <f t="shared" si="16"/>
        <v>140.49612625147498</v>
      </c>
      <c r="Z68" s="86">
        <f t="shared" si="16"/>
        <v>141.20460164211738</v>
      </c>
      <c r="AA68" s="86">
        <f t="shared" si="16"/>
        <v>141.82067677033135</v>
      </c>
      <c r="AB68" s="86">
        <f t="shared" si="16"/>
        <v>141.24547806964142</v>
      </c>
      <c r="AC68" s="86">
        <f t="shared" si="16"/>
        <v>140.66159204084389</v>
      </c>
      <c r="AD68" s="86">
        <f t="shared" si="16"/>
        <v>140.11354047731197</v>
      </c>
      <c r="AE68" s="86">
        <f t="shared" si="15"/>
        <v>139.35968404384201</v>
      </c>
      <c r="AF68" s="86">
        <f t="shared" si="15"/>
        <v>138.81493678495005</v>
      </c>
      <c r="AG68" s="86">
        <f t="shared" si="15"/>
        <v>138.28280297374411</v>
      </c>
      <c r="AH68" s="86">
        <f t="shared" si="15"/>
        <v>137.80994442915588</v>
      </c>
      <c r="AI68" s="86">
        <f t="shared" si="15"/>
        <v>137.3313127288823</v>
      </c>
      <c r="AJ68" s="86">
        <f t="shared" si="15"/>
        <v>136.84698762821759</v>
      </c>
      <c r="AK68" s="86">
        <f t="shared" si="15"/>
        <v>136.35704734195454</v>
      </c>
      <c r="AL68" s="86">
        <f t="shared" si="15"/>
        <v>136.31130740385191</v>
      </c>
      <c r="AM68" s="125">
        <f t="shared" si="15"/>
        <v>136.26025256507197</v>
      </c>
    </row>
    <row r="69" spans="1:39" x14ac:dyDescent="0.25">
      <c r="A69" s="124" t="s">
        <v>215</v>
      </c>
      <c r="B69" s="86">
        <f t="shared" si="16"/>
        <v>121.9817007893989</v>
      </c>
      <c r="C69" s="86">
        <f t="shared" si="16"/>
        <v>121.57015606883954</v>
      </c>
      <c r="D69" s="86">
        <f t="shared" si="16"/>
        <v>121.25525864525315</v>
      </c>
      <c r="E69" s="86">
        <f t="shared" si="16"/>
        <v>120.95144078331013</v>
      </c>
      <c r="F69" s="86">
        <f t="shared" si="16"/>
        <v>120.66364457862505</v>
      </c>
      <c r="G69" s="86">
        <f t="shared" si="16"/>
        <v>120.41546917282146</v>
      </c>
      <c r="H69" s="86">
        <f t="shared" si="16"/>
        <v>120.16196947807978</v>
      </c>
      <c r="I69" s="86">
        <f t="shared" si="16"/>
        <v>119.89778447561413</v>
      </c>
      <c r="J69" s="86">
        <f t="shared" si="16"/>
        <v>119.58288777044623</v>
      </c>
      <c r="K69" s="86">
        <f t="shared" si="16"/>
        <v>119.2106906975889</v>
      </c>
      <c r="L69" s="86">
        <f t="shared" si="16"/>
        <v>118.83625702415333</v>
      </c>
      <c r="M69" s="86">
        <f t="shared" si="16"/>
        <v>118.46003819487152</v>
      </c>
      <c r="N69" s="86">
        <f t="shared" si="16"/>
        <v>118.18953860324457</v>
      </c>
      <c r="O69" s="86">
        <f t="shared" si="16"/>
        <v>117.91851445318025</v>
      </c>
      <c r="P69" s="86">
        <f t="shared" si="16"/>
        <v>117.64720007284954</v>
      </c>
      <c r="Q69" s="86">
        <f t="shared" si="16"/>
        <v>117.37578817108835</v>
      </c>
      <c r="R69" s="86">
        <f t="shared" si="16"/>
        <v>117.07340853443431</v>
      </c>
      <c r="S69" s="86">
        <f t="shared" si="16"/>
        <v>116.77099969698031</v>
      </c>
      <c r="T69" s="86">
        <f t="shared" si="16"/>
        <v>116.51428002568827</v>
      </c>
      <c r="U69" s="86">
        <f t="shared" si="16"/>
        <v>116.26339871187542</v>
      </c>
      <c r="V69" s="86">
        <f t="shared" si="16"/>
        <v>115.49546390532522</v>
      </c>
      <c r="W69" s="86">
        <f t="shared" si="16"/>
        <v>114.78232007885312</v>
      </c>
      <c r="X69" s="86">
        <f t="shared" si="16"/>
        <v>114.24172016467161</v>
      </c>
      <c r="Y69" s="86">
        <f t="shared" si="16"/>
        <v>113.71931460362175</v>
      </c>
      <c r="Z69" s="86">
        <f t="shared" si="16"/>
        <v>113.21039376041526</v>
      </c>
      <c r="AA69" s="86">
        <f t="shared" si="16"/>
        <v>112.68898914097957</v>
      </c>
      <c r="AB69" s="86">
        <f t="shared" si="16"/>
        <v>112.20226831920769</v>
      </c>
      <c r="AC69" s="86">
        <f t="shared" si="16"/>
        <v>111.75460708661596</v>
      </c>
      <c r="AD69" s="86">
        <f t="shared" si="16"/>
        <v>111.38761489688804</v>
      </c>
      <c r="AE69" s="86">
        <f t="shared" si="15"/>
        <v>110.85704279064851</v>
      </c>
      <c r="AF69" s="86">
        <f t="shared" si="15"/>
        <v>110.57545699386408</v>
      </c>
      <c r="AG69" s="86">
        <f t="shared" si="15"/>
        <v>110.31439031656593</v>
      </c>
      <c r="AH69" s="86">
        <f t="shared" si="15"/>
        <v>110.07099459932182</v>
      </c>
      <c r="AI69" s="86">
        <f>(AI33+AI42)/AI115</f>
        <v>109.84502242730592</v>
      </c>
      <c r="AJ69" s="86">
        <f t="shared" si="15"/>
        <v>109.63513129707398</v>
      </c>
      <c r="AK69" s="86">
        <f t="shared" si="15"/>
        <v>109.44010836985912</v>
      </c>
      <c r="AL69" s="86">
        <f t="shared" si="15"/>
        <v>109.70859399512814</v>
      </c>
      <c r="AM69" s="125">
        <f t="shared" si="15"/>
        <v>109.99000038963285</v>
      </c>
    </row>
    <row r="70" spans="1:39" x14ac:dyDescent="0.25">
      <c r="A70" s="126"/>
      <c r="B70" s="86"/>
      <c r="C70" s="86"/>
      <c r="D70" s="86"/>
      <c r="E70" s="86"/>
      <c r="F70" s="86"/>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125"/>
    </row>
    <row r="71" spans="1:39" x14ac:dyDescent="0.25">
      <c r="A71" s="129"/>
      <c r="B71" s="86"/>
      <c r="C71" s="86"/>
      <c r="D71" s="86"/>
      <c r="E71" s="86"/>
      <c r="F71" s="86"/>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125"/>
    </row>
    <row r="72" spans="1:39" x14ac:dyDescent="0.25">
      <c r="A72" s="129"/>
      <c r="B72" s="86"/>
      <c r="C72" s="86"/>
      <c r="D72" s="86"/>
      <c r="E72" s="86"/>
      <c r="F72" s="86"/>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125"/>
    </row>
    <row r="73" spans="1:39" x14ac:dyDescent="0.25">
      <c r="A73" s="129"/>
      <c r="B73" s="86"/>
      <c r="C73" s="86"/>
      <c r="D73" s="86"/>
      <c r="E73" s="86"/>
      <c r="F73" s="86"/>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125"/>
    </row>
    <row r="74" spans="1:39" x14ac:dyDescent="0.25">
      <c r="A74" s="129"/>
      <c r="B74" s="86"/>
      <c r="C74" s="86"/>
      <c r="D74" s="86"/>
      <c r="E74" s="86"/>
      <c r="F74" s="86"/>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125"/>
    </row>
    <row r="75" spans="1:39" x14ac:dyDescent="0.25">
      <c r="A75" s="129"/>
      <c r="B75" s="86"/>
      <c r="C75" s="86"/>
      <c r="D75" s="86"/>
      <c r="E75" s="86"/>
      <c r="F75" s="86"/>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125"/>
    </row>
    <row r="76" spans="1:39" x14ac:dyDescent="0.25">
      <c r="A76" s="129"/>
      <c r="B76" s="86"/>
      <c r="C76" s="86"/>
      <c r="D76" s="86"/>
      <c r="E76" s="86"/>
      <c r="F76" s="86"/>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125"/>
    </row>
    <row r="77" spans="1:39" x14ac:dyDescent="0.25">
      <c r="A77" s="129"/>
      <c r="B77" s="86"/>
      <c r="C77" s="86"/>
      <c r="D77" s="86"/>
      <c r="E77" s="86"/>
      <c r="F77" s="86"/>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125"/>
    </row>
    <row r="78" spans="1:39" x14ac:dyDescent="0.25">
      <c r="A78" s="129"/>
      <c r="B78" s="86"/>
      <c r="C78" s="86"/>
      <c r="D78" s="86"/>
      <c r="E78" s="86"/>
      <c r="F78" s="86"/>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125"/>
    </row>
    <row r="79" spans="1:39" x14ac:dyDescent="0.25">
      <c r="A79" s="129"/>
      <c r="B79" s="86"/>
      <c r="C79" s="86"/>
      <c r="D79" s="86"/>
      <c r="E79" s="86"/>
      <c r="F79" s="86"/>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125"/>
    </row>
    <row r="80" spans="1:39" x14ac:dyDescent="0.25">
      <c r="A80" s="129"/>
      <c r="B80" s="86"/>
      <c r="C80" s="86"/>
      <c r="D80" s="86"/>
      <c r="E80" s="86"/>
      <c r="F80" s="86"/>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125"/>
    </row>
    <row r="81" spans="1:40" x14ac:dyDescent="0.25">
      <c r="A81" s="129"/>
      <c r="B81" s="86"/>
      <c r="C81" s="86"/>
      <c r="D81" s="86"/>
      <c r="E81" s="86"/>
      <c r="F81" s="86"/>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125"/>
    </row>
    <row r="82" spans="1:40" x14ac:dyDescent="0.25">
      <c r="A82" s="129"/>
      <c r="B82" s="86"/>
      <c r="C82" s="86"/>
      <c r="D82" s="86"/>
      <c r="E82" s="86"/>
      <c r="F82" s="86"/>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c r="AM82" s="125"/>
    </row>
    <row r="83" spans="1:40" x14ac:dyDescent="0.25">
      <c r="A83" s="129"/>
      <c r="B83" s="86"/>
      <c r="C83" s="86"/>
      <c r="D83" s="86"/>
      <c r="E83" s="86"/>
      <c r="F83" s="86"/>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c r="AM83" s="125"/>
    </row>
    <row r="84" spans="1:40" x14ac:dyDescent="0.25">
      <c r="A84" s="129"/>
      <c r="B84" s="86"/>
      <c r="C84" s="86"/>
      <c r="D84" s="86"/>
      <c r="E84" s="86"/>
      <c r="F84" s="86"/>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125"/>
    </row>
    <row r="85" spans="1:40" x14ac:dyDescent="0.25">
      <c r="A85" s="129"/>
      <c r="B85" s="86"/>
      <c r="C85" s="86"/>
      <c r="D85" s="86"/>
      <c r="E85" s="86"/>
      <c r="F85" s="86"/>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125"/>
    </row>
    <row r="86" spans="1:40" x14ac:dyDescent="0.25">
      <c r="A86" s="129"/>
      <c r="B86" s="86"/>
      <c r="C86" s="86"/>
      <c r="D86" s="86"/>
      <c r="E86" s="86"/>
      <c r="F86" s="86"/>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125"/>
    </row>
    <row r="87" spans="1:40" ht="15.75" thickBot="1" x14ac:dyDescent="0.3">
      <c r="A87" s="141" t="s">
        <v>239</v>
      </c>
      <c r="B87" s="142"/>
      <c r="C87" s="142"/>
      <c r="D87" s="142"/>
      <c r="E87" s="142"/>
      <c r="F87" s="142"/>
      <c r="G87" s="142"/>
      <c r="H87" s="142"/>
      <c r="I87" s="134"/>
      <c r="J87" s="134"/>
      <c r="K87" s="134"/>
      <c r="L87" s="134"/>
      <c r="M87" s="134"/>
      <c r="N87" s="134"/>
      <c r="O87" s="134"/>
      <c r="P87" s="134"/>
      <c r="Q87" s="134"/>
      <c r="R87" s="134"/>
      <c r="S87" s="134"/>
      <c r="T87" s="134"/>
      <c r="U87" s="134"/>
      <c r="V87" s="134"/>
      <c r="W87" s="134"/>
      <c r="X87" s="134"/>
      <c r="Y87" s="134"/>
      <c r="Z87" s="134"/>
      <c r="AA87" s="134"/>
      <c r="AB87" s="134"/>
      <c r="AC87" s="134"/>
      <c r="AD87" s="134"/>
      <c r="AE87" s="134"/>
      <c r="AF87" s="134"/>
      <c r="AG87" s="134"/>
      <c r="AH87" s="134"/>
      <c r="AI87" s="134"/>
      <c r="AJ87" s="134"/>
      <c r="AK87" s="134"/>
      <c r="AL87" s="134"/>
      <c r="AM87" s="135"/>
    </row>
    <row r="89" spans="1:40" x14ac:dyDescent="0.25">
      <c r="A89" t="s">
        <v>240</v>
      </c>
      <c r="B89">
        <f>B37</f>
        <v>2013</v>
      </c>
      <c r="C89">
        <f t="shared" ref="C89:AK89" si="17">C37</f>
        <v>2014</v>
      </c>
      <c r="D89">
        <f t="shared" si="17"/>
        <v>2015</v>
      </c>
      <c r="E89">
        <f t="shared" si="17"/>
        <v>2016</v>
      </c>
      <c r="F89">
        <f t="shared" si="17"/>
        <v>2017</v>
      </c>
      <c r="G89">
        <f t="shared" si="17"/>
        <v>2018</v>
      </c>
      <c r="H89">
        <f t="shared" si="17"/>
        <v>2019</v>
      </c>
      <c r="I89">
        <f t="shared" si="17"/>
        <v>2020</v>
      </c>
      <c r="J89">
        <f t="shared" si="17"/>
        <v>2021</v>
      </c>
      <c r="K89">
        <f t="shared" si="17"/>
        <v>2022</v>
      </c>
      <c r="L89">
        <f t="shared" si="17"/>
        <v>2023</v>
      </c>
      <c r="M89">
        <f t="shared" si="17"/>
        <v>2024</v>
      </c>
      <c r="N89">
        <f t="shared" si="17"/>
        <v>2025</v>
      </c>
      <c r="O89">
        <f t="shared" si="17"/>
        <v>2026</v>
      </c>
      <c r="P89">
        <f t="shared" si="17"/>
        <v>2027</v>
      </c>
      <c r="Q89">
        <f t="shared" si="17"/>
        <v>2028</v>
      </c>
      <c r="R89">
        <f t="shared" si="17"/>
        <v>2029</v>
      </c>
      <c r="S89">
        <f t="shared" si="17"/>
        <v>2030</v>
      </c>
      <c r="T89">
        <f t="shared" si="17"/>
        <v>2031</v>
      </c>
      <c r="U89">
        <f t="shared" si="17"/>
        <v>2032</v>
      </c>
      <c r="V89">
        <f t="shared" si="17"/>
        <v>2033</v>
      </c>
      <c r="W89">
        <f t="shared" si="17"/>
        <v>2034</v>
      </c>
      <c r="X89">
        <f t="shared" si="17"/>
        <v>2035</v>
      </c>
      <c r="Y89">
        <f t="shared" si="17"/>
        <v>2036</v>
      </c>
      <c r="Z89">
        <f t="shared" si="17"/>
        <v>2037</v>
      </c>
      <c r="AA89">
        <f t="shared" si="17"/>
        <v>2038</v>
      </c>
      <c r="AB89">
        <f t="shared" si="17"/>
        <v>2039</v>
      </c>
      <c r="AC89">
        <f t="shared" si="17"/>
        <v>2040</v>
      </c>
      <c r="AD89">
        <f t="shared" si="17"/>
        <v>2041</v>
      </c>
      <c r="AE89">
        <f t="shared" si="17"/>
        <v>2042</v>
      </c>
      <c r="AF89">
        <f t="shared" si="17"/>
        <v>2043</v>
      </c>
      <c r="AG89">
        <f t="shared" si="17"/>
        <v>2044</v>
      </c>
      <c r="AH89">
        <f t="shared" si="17"/>
        <v>2045</v>
      </c>
      <c r="AI89">
        <f t="shared" si="17"/>
        <v>2046</v>
      </c>
      <c r="AJ89">
        <f t="shared" si="17"/>
        <v>2047</v>
      </c>
      <c r="AK89">
        <f t="shared" si="17"/>
        <v>2048</v>
      </c>
      <c r="AL89">
        <f>AL37</f>
        <v>2049</v>
      </c>
      <c r="AM89">
        <f t="shared" ref="AM89" si="18">AM37</f>
        <v>2050</v>
      </c>
    </row>
    <row r="90" spans="1:40" x14ac:dyDescent="0.25">
      <c r="A90" t="s">
        <v>211</v>
      </c>
      <c r="B90">
        <f>'Données capacités de stockage'!B56/1000000</f>
        <v>0</v>
      </c>
      <c r="C90">
        <f>'Données capacités de stockage'!C56/1000000</f>
        <v>0</v>
      </c>
      <c r="D90">
        <f>'Données capacités de stockage'!D56/1000000</f>
        <v>0</v>
      </c>
      <c r="E90">
        <f>'Données capacités de stockage'!E56/1000000</f>
        <v>0</v>
      </c>
      <c r="F90">
        <f>'Données capacités de stockage'!F56/1000000</f>
        <v>0</v>
      </c>
      <c r="G90">
        <f>'Données capacités de stockage'!G56/1000000</f>
        <v>0</v>
      </c>
      <c r="H90">
        <f>'Données capacités de stockage'!H56/1000000</f>
        <v>0</v>
      </c>
      <c r="I90">
        <f>'Données capacités de stockage'!I56/1000000</f>
        <v>0</v>
      </c>
      <c r="J90">
        <f>'Données capacités de stockage'!J56/1000000</f>
        <v>0</v>
      </c>
      <c r="K90">
        <f>'Données capacités de stockage'!K56/1000000</f>
        <v>0</v>
      </c>
      <c r="L90">
        <f>'Données capacités de stockage'!L56/1000000</f>
        <v>0</v>
      </c>
      <c r="M90">
        <f>'Données capacités de stockage'!M56/1000000</f>
        <v>0</v>
      </c>
      <c r="N90">
        <f>'Données capacités de stockage'!N56/1000000</f>
        <v>0</v>
      </c>
      <c r="O90">
        <f>'Données capacités de stockage'!O56/1000000</f>
        <v>0</v>
      </c>
      <c r="P90">
        <f>'Données capacités de stockage'!P56/1000000</f>
        <v>0</v>
      </c>
      <c r="Q90">
        <f>'Données capacités de stockage'!Q56/1000000</f>
        <v>0</v>
      </c>
      <c r="R90">
        <f>'Données capacités de stockage'!R56/1000000</f>
        <v>0</v>
      </c>
      <c r="S90">
        <f>'Données capacités de stockage'!S56/1000000</f>
        <v>0</v>
      </c>
      <c r="T90">
        <f>'Données capacités de stockage'!T56/1000000</f>
        <v>0</v>
      </c>
      <c r="U90">
        <f>'Données capacités de stockage'!U56/1000000</f>
        <v>0</v>
      </c>
      <c r="V90">
        <f>'Données capacités de stockage'!V56/1000000</f>
        <v>0</v>
      </c>
      <c r="W90">
        <f>'Données capacités de stockage'!W56/1000000</f>
        <v>0</v>
      </c>
      <c r="X90">
        <f>'Données capacités de stockage'!X56/1000000</f>
        <v>0</v>
      </c>
      <c r="Y90">
        <f>'Données capacités de stockage'!Y56/1000000</f>
        <v>0</v>
      </c>
      <c r="Z90">
        <f>'Données capacités de stockage'!Z56/1000000</f>
        <v>0</v>
      </c>
      <c r="AA90">
        <f>'Données capacités de stockage'!AA56/1000000</f>
        <v>0</v>
      </c>
      <c r="AB90">
        <f>'Données capacités de stockage'!AB56/1000000</f>
        <v>0</v>
      </c>
      <c r="AC90">
        <f>'Données capacités de stockage'!AC56/1000000</f>
        <v>0</v>
      </c>
      <c r="AD90">
        <f>'Données capacités de stockage'!AD56/1000000</f>
        <v>0</v>
      </c>
      <c r="AE90">
        <f>'Données capacités de stockage'!AE56/1000000</f>
        <v>1.790954936588889</v>
      </c>
      <c r="AF90">
        <f>'Données capacités de stockage'!AF56/1000000</f>
        <v>3.5819098731777781</v>
      </c>
      <c r="AG90">
        <f>'Données capacités de stockage'!AG56/1000000</f>
        <v>5.3728648097666669</v>
      </c>
      <c r="AH90">
        <f>'Données capacités de stockage'!AH56/1000000</f>
        <v>7.1638197463555562</v>
      </c>
      <c r="AI90">
        <f>'Données capacités de stockage'!AI56/1000000</f>
        <v>8.9547746829444446</v>
      </c>
      <c r="AJ90">
        <f>'Données capacités de stockage'!AJ56/1000000</f>
        <v>10.745729619533334</v>
      </c>
      <c r="AK90">
        <f>'Données capacités de stockage'!AK56/1000000</f>
        <v>12.536684556122223</v>
      </c>
      <c r="AL90">
        <f>'Données capacités de stockage'!AL56/1000000</f>
        <v>14.327639492711112</v>
      </c>
      <c r="AM90">
        <f>'Données capacités de stockage'!AM56/1000000</f>
        <v>16.1185944293</v>
      </c>
    </row>
    <row r="91" spans="1:40" x14ac:dyDescent="0.25">
      <c r="A91" t="s">
        <v>212</v>
      </c>
      <c r="B91" s="42">
        <f>('Données capacités de production'!B4+'Données capacités de production'!B15)/1000000</f>
        <v>15.899999999999977</v>
      </c>
      <c r="C91" s="42">
        <f>('Données capacités de production'!C4+'Données capacités de production'!C15)/1000000</f>
        <v>21.725477315656576</v>
      </c>
      <c r="D91" s="42">
        <f>('Données capacités de production'!D4+'Données capacités de production'!D15)/1000000</f>
        <v>27.550955057252281</v>
      </c>
      <c r="E91" s="42">
        <f>('Données capacités de production'!E4+'Données capacités de production'!E15)/1000000</f>
        <v>33.376433431630289</v>
      </c>
      <c r="F91" s="42">
        <f>('Données capacités de production'!F4+'Données capacités de production'!F15)/1000000</f>
        <v>39.201912639595093</v>
      </c>
      <c r="G91" s="42">
        <f>('Données capacités de production'!G4+'Données capacités de production'!G15)/1000000</f>
        <v>45.027392874511158</v>
      </c>
      <c r="H91" s="42">
        <f>('Données capacités de production'!H4+'Données capacités de production'!H15)/1000000</f>
        <v>50.85287432096699</v>
      </c>
      <c r="I91" s="42">
        <f>('Données capacités de production'!I4+'Données capacités de production'!I15)/1000000</f>
        <v>56.678357153510078</v>
      </c>
      <c r="J91" s="42">
        <f>('Données capacités de production'!J4+'Données capacités de production'!J15)/1000000</f>
        <v>62.503841535463408</v>
      </c>
      <c r="K91" s="42">
        <f>('Données capacités de production'!K4+'Données capacités de production'!K15)/1000000</f>
        <v>68.329327617832121</v>
      </c>
      <c r="L91" s="42">
        <f>('Données capacités de production'!L4+'Données capacités de production'!L15)/1000000</f>
        <v>74.154815538305783</v>
      </c>
      <c r="M91" s="42">
        <f>('Données capacités de production'!M4+'Données capacités de production'!M15)/1000000</f>
        <v>79.980305420364232</v>
      </c>
      <c r="N91" s="42">
        <f>('Données capacités de production'!N4+'Données capacités de production'!N15)/1000000</f>
        <v>85.805797372490957</v>
      </c>
      <c r="O91" s="42">
        <f>('Données capacités de production'!O4+'Données capacités de production'!O15)/1000000</f>
        <v>91.631291487501585</v>
      </c>
      <c r="P91" s="42">
        <f>('Données capacités de production'!P4+'Données capacités de production'!P15)/1000000</f>
        <v>97.456787841988501</v>
      </c>
      <c r="Q91" s="42">
        <f>('Données capacités de production'!Q4+'Données capacités de production'!Q15)/1000000</f>
        <v>103.28228649588685</v>
      </c>
      <c r="R91" s="42">
        <f>('Données capacités de production'!R4+'Données capacités de production'!R15)/1000000</f>
        <v>109.10778749216321</v>
      </c>
      <c r="S91" s="42">
        <f>('Données capacités de production'!S4+'Données capacités de production'!S15)/1000000</f>
        <v>114.93329085662853</v>
      </c>
      <c r="T91" s="42">
        <f>('Données capacités de production'!T4+'Données capacités de production'!T15)/1000000</f>
        <v>120.75879659787637</v>
      </c>
      <c r="U91" s="42">
        <f>('Données capacités de production'!U4+'Données capacités de production'!U15)/1000000</f>
        <v>126.5843047073444</v>
      </c>
      <c r="V91" s="42">
        <f>('Données capacités de production'!V4+'Données capacités de production'!V15)/1000000</f>
        <v>132.40981515949917</v>
      </c>
      <c r="W91" s="42">
        <f>('Données capacités de production'!W4+'Données capacités de production'!W15)/1000000</f>
        <v>138.23532791214276</v>
      </c>
      <c r="X91" s="42">
        <f>('Données capacités de production'!X4+'Données capacités de production'!X15)/1000000</f>
        <v>144.06084290683501</v>
      </c>
      <c r="Y91" s="42">
        <f>('Données capacités de production'!Y4+'Données capacités de production'!Y15)/1000000</f>
        <v>149.88636006943148</v>
      </c>
      <c r="Z91" s="42">
        <f>('Données capacités de production'!Z4+'Données capacités de production'!Z15)/1000000</f>
        <v>155.71187931072916</v>
      </c>
      <c r="AA91" s="42">
        <f>('Données capacités de production'!AA4+'Données capacités de production'!AA15)/1000000</f>
        <v>161.53740052721656</v>
      </c>
      <c r="AB91" s="42">
        <f>('Données capacités de production'!AB4+'Données capacités de production'!AB15)/1000000</f>
        <v>167.36292360192073</v>
      </c>
      <c r="AC91" s="42">
        <f>('Données capacités de production'!AC4+'Données capacités de production'!AC15)/1000000</f>
        <v>173.18844840534615</v>
      </c>
      <c r="AD91" s="42">
        <f>('Données capacités de production'!AD4+'Données capacités de production'!AD15)/1000000</f>
        <v>179.01397479649521</v>
      </c>
      <c r="AE91" s="42">
        <f>('Données capacités de production'!AE4+'Données capacités de production'!AE15)/1000000</f>
        <v>184.8395026239651</v>
      </c>
      <c r="AF91" s="42">
        <f>('Données capacités de production'!AF4+'Données capacités de production'!AF15)/1000000</f>
        <v>190.66503172711273</v>
      </c>
      <c r="AG91" s="42">
        <f>('Données capacités de production'!AG4+'Données capacités de production'!AG15)/1000000</f>
        <v>196.4905619372748</v>
      </c>
      <c r="AH91" s="42">
        <f>('Données capacités de production'!AH4+'Données capacités de production'!AH15)/1000000</f>
        <v>202.3160930790394</v>
      </c>
      <c r="AI91" s="42">
        <f>('Données capacités de production'!AI4+'Données capacités de production'!AI15)/1000000</f>
        <v>208.14162497155678</v>
      </c>
      <c r="AJ91" s="42">
        <f>('Données capacités de production'!AJ4+'Données capacités de production'!AJ15)/1000000</f>
        <v>213.96715742987763</v>
      </c>
      <c r="AK91" s="42">
        <f>('Données capacités de production'!AK4+'Données capacités de production'!AK15)/1000000</f>
        <v>219.79269026631377</v>
      </c>
      <c r="AL91" s="42">
        <f>('Données capacités de production'!AL4+'Données capacités de production'!AL15)/1000000</f>
        <v>225.61822329180765</v>
      </c>
      <c r="AM91" s="42">
        <f>('Données capacités de production'!AM4+'Données capacités de production'!AM15)/1000000</f>
        <v>231.44375631730151</v>
      </c>
    </row>
    <row r="92" spans="1:40" x14ac:dyDescent="0.25">
      <c r="A92" t="s">
        <v>213</v>
      </c>
      <c r="B92">
        <f>'Chronique de production'!B4</f>
        <v>4.5999999999999996</v>
      </c>
      <c r="C92">
        <f>'Chronique de production'!C4</f>
        <v>7.7403448680053524</v>
      </c>
      <c r="D92">
        <f>'Chronique de production'!D4</f>
        <v>10.880690608390349</v>
      </c>
      <c r="E92">
        <f>'Chronique de production'!E4</f>
        <v>14.021037644796424</v>
      </c>
      <c r="F92">
        <f>'Chronique de production'!F4</f>
        <v>17.161386388497121</v>
      </c>
      <c r="G92">
        <f>'Chronique de production'!G4</f>
        <v>20.301737235529149</v>
      </c>
      <c r="H92">
        <f>'Chronique de production'!H4</f>
        <v>23.442090563953649</v>
      </c>
      <c r="I92">
        <f>'Chronique de production'!I4</f>
        <v>26.582446731266437</v>
      </c>
      <c r="J92">
        <f>'Chronique de production'!J4</f>
        <v>29.722806071974805</v>
      </c>
      <c r="K92">
        <f>'Chronique de production'!K4</f>
        <v>32.863168895357042</v>
      </c>
      <c r="L92">
        <f>'Chronique de production'!L4</f>
        <v>36.00353548341954</v>
      </c>
      <c r="M92">
        <f>'Chronique de production'!M4</f>
        <v>39.143906089064757</v>
      </c>
      <c r="N92">
        <f>'Chronique de production'!N4</f>
        <v>42.284280934481615</v>
      </c>
      <c r="O92">
        <f>'Chronique de production'!O4</f>
        <v>45.424660209768419</v>
      </c>
      <c r="P92">
        <f>'Chronique de production'!P4</f>
        <v>48.565044071796464</v>
      </c>
      <c r="Q92">
        <f>'Chronique de production'!Q4</f>
        <v>51.705432643320755</v>
      </c>
      <c r="R92">
        <f>'Chronique de production'!R4</f>
        <v>54.845826012342542</v>
      </c>
      <c r="S92">
        <f>'Chronique de production'!S4</f>
        <v>57.986224231726347</v>
      </c>
      <c r="T92">
        <f>'Chronique de production'!T4</f>
        <v>61.126627319072455</v>
      </c>
      <c r="U92">
        <f>'Chronique de production'!U4</f>
        <v>64.267035256843997</v>
      </c>
      <c r="V92">
        <f>'Chronique de production'!V4</f>
        <v>67.407447992745716</v>
      </c>
      <c r="W92">
        <f>'Chronique de production'!W4</f>
        <v>70.547865440350108</v>
      </c>
      <c r="X92">
        <f>'Chronique de production'!X4</f>
        <v>73.688287479964501</v>
      </c>
      <c r="Y92">
        <f>'Chronique de production'!Y4</f>
        <v>76.82871395973109</v>
      </c>
      <c r="Z92">
        <f>'Chronique de production'!Z4</f>
        <v>79.969144696950508</v>
      </c>
      <c r="AA92">
        <f>'Chronique de production'!AA4</f>
        <v>83.109579479617508</v>
      </c>
      <c r="AB92">
        <f>'Chronique de production'!AB4</f>
        <v>86.250018068156621</v>
      </c>
      <c r="AC92">
        <f>'Chronique de production'!AC4</f>
        <v>89.390460197343373</v>
      </c>
      <c r="AD92">
        <f>'Chronique de production'!AD4</f>
        <v>92.530905578396329</v>
      </c>
      <c r="AE92">
        <f>'Chronique de production'!AE4</f>
        <v>95.671353901223384</v>
      </c>
      <c r="AF92">
        <f>'Chronique de production'!AF4</f>
        <v>98.81180483680528</v>
      </c>
      <c r="AG92">
        <f>'Chronique de production'!AG4</f>
        <v>101.95225803969802</v>
      </c>
      <c r="AH92">
        <f>'Chronique de production'!AH4</f>
        <v>105.09271315063546</v>
      </c>
      <c r="AI92">
        <f>'Chronique de production'!AI4</f>
        <v>108.23316979921256</v>
      </c>
      <c r="AJ92">
        <f>'Chronique de production'!AJ4</f>
        <v>111.3736276066295</v>
      </c>
      <c r="AK92">
        <f>'Chronique de production'!AK4</f>
        <v>114.51408618847636</v>
      </c>
      <c r="AL92">
        <f>'Chronique de production'!AL4</f>
        <v>117.65454515753817</v>
      </c>
      <c r="AM92">
        <f>'Chronique de production'!AM4</f>
        <v>120.79500412659999</v>
      </c>
    </row>
    <row r="93" spans="1:40" x14ac:dyDescent="0.25">
      <c r="A93" t="s">
        <v>214</v>
      </c>
      <c r="B93">
        <f>'Chronique de production'!B8+'Chronique de production'!B10</f>
        <v>68.93968000000001</v>
      </c>
      <c r="C93">
        <f>'Chronique de production'!C8+'Chronique de production'!C10</f>
        <v>69.385175464038795</v>
      </c>
      <c r="D93">
        <f>'Chronique de production'!D8+'Chronique de production'!D10</f>
        <v>69.830671236553641</v>
      </c>
      <c r="E93">
        <f>'Chronique de production'!E8+'Chronique de production'!E10</f>
        <v>70.276167467345459</v>
      </c>
      <c r="F93">
        <f>'Chronique de production'!F8+'Chronique de production'!F10</f>
        <v>70.721664301841813</v>
      </c>
      <c r="G93">
        <f>'Chronique de production'!G8+'Chronique de production'!G10</f>
        <v>71.167161880082489</v>
      </c>
      <c r="H93">
        <f>'Chronique de production'!H8+'Chronique de production'!H10</f>
        <v>71.612660335751045</v>
      </c>
      <c r="I93">
        <f>'Chronique de production'!I8+'Chronique de production'!I10</f>
        <v>72.058159795259073</v>
      </c>
      <c r="J93">
        <f>'Chronique de production'!J8+'Chronique de production'!J10</f>
        <v>72.503660376889414</v>
      </c>
      <c r="K93">
        <f>'Chronique de production'!K8+'Chronique de production'!K10</f>
        <v>72.949162190003761</v>
      </c>
      <c r="L93">
        <f>'Chronique de production'!L8+'Chronique de production'!L10</f>
        <v>73.394665334320436</v>
      </c>
      <c r="M93">
        <f>'Chronique de production'!M8+'Chronique de production'!M10</f>
        <v>73.840169899266527</v>
      </c>
      <c r="N93">
        <f>'Chronique de production'!N8+'Chronique de production'!N10</f>
        <v>74.285675963408664</v>
      </c>
      <c r="O93">
        <f>'Chronique de production'!O8+'Chronique de production'!O10</f>
        <v>74.73118359396625</v>
      </c>
      <c r="P93">
        <f>'Chronique de production'!P8+'Chronique de production'!P10</f>
        <v>75.176692846409409</v>
      </c>
      <c r="Q93">
        <f>'Chronique de production'!Q8+'Chronique de production'!Q10</f>
        <v>75.622203764144686</v>
      </c>
      <c r="R93">
        <f>'Chronique de production'!R8+'Chronique de production'!R10</f>
        <v>76.067716378289589</v>
      </c>
      <c r="S93">
        <f>'Chronique de production'!S8+'Chronique de production'!S10</f>
        <v>76.51323070753719</v>
      </c>
      <c r="T93">
        <f>'Chronique de production'!T8+'Chronique de production'!T10</f>
        <v>76.958746758110962</v>
      </c>
      <c r="U93">
        <f>'Chronique de production'!U8+'Chronique de production'!U10</f>
        <v>77.404264523809843</v>
      </c>
      <c r="V93">
        <f>'Chronique de production'!V8+'Chronique de production'!V10</f>
        <v>77.849783986142086</v>
      </c>
      <c r="W93">
        <f>'Chronique de production'!W8+'Chronique de production'!W10</f>
        <v>78.29530511454665</v>
      </c>
      <c r="X93">
        <f>'Chronique de production'!X8+'Chronique de production'!X10</f>
        <v>78.740827866699846</v>
      </c>
      <c r="Y93">
        <f>'Chronique de production'!Y8+'Chronique de production'!Y10</f>
        <v>79.186352188904308</v>
      </c>
      <c r="Z93">
        <f>'Chronique de production'!Z8+'Chronique de production'!Z10</f>
        <v>79.631878016556954</v>
      </c>
      <c r="AA93">
        <f>'Chronique de production'!AA8+'Chronique de production'!AA10</f>
        <v>80.077405274692097</v>
      </c>
      <c r="AB93">
        <f>'Chronique de production'!AB8+'Chronique de production'!AB10</f>
        <v>80.522933878595154</v>
      </c>
      <c r="AC93">
        <f>'Chronique de production'!AC8+'Chronique de production'!AC10</f>
        <v>80.968463734481901</v>
      </c>
      <c r="AD93">
        <f>'Chronique de production'!AD8+'Chronique de production'!AD10</f>
        <v>81.413994740238394</v>
      </c>
      <c r="AE93">
        <f>'Chronique de production'!AE8+'Chronique de production'!AE10</f>
        <v>81.859526786215099</v>
      </c>
      <c r="AF93">
        <f>'Chronique de production'!AF8+'Chronique de production'!AF10</f>
        <v>82.305059756069824</v>
      </c>
      <c r="AG93">
        <f>'Chronique de production'!AG8+'Chronique de production'!AG10</f>
        <v>82.750593527652512</v>
      </c>
      <c r="AH93">
        <f>'Chronique de production'!AH8+'Chronique de production'!AH10</f>
        <v>83.196127973925584</v>
      </c>
      <c r="AI93">
        <f>'Chronique de production'!AI8+'Chronique de production'!AI10</f>
        <v>83.641662963912708</v>
      </c>
      <c r="AJ93">
        <f>'Chronique de production'!AJ8+'Chronique de production'!AJ10</f>
        <v>84.087198363669103</v>
      </c>
      <c r="AK93">
        <f>'Chronique de production'!AK8+'Chronique de production'!AK10</f>
        <v>84.532734037266252</v>
      </c>
      <c r="AL93">
        <f>'Chronique de production'!AL8+'Chronique de production'!AL10</f>
        <v>84.978269847783778</v>
      </c>
      <c r="AM93">
        <f>'Chronique de production'!AM8+'Chronique de production'!AM10</f>
        <v>85.423805658301305</v>
      </c>
    </row>
    <row r="94" spans="1:40" x14ac:dyDescent="0.25">
      <c r="A94" t="s">
        <v>215</v>
      </c>
      <c r="B94">
        <f>'Chronique de production'!B9+'Chronique de production'!B5+'Chronique de production'!B6+'Chronique de production'!B7+'Chronique de production'!B11</f>
        <v>5.3525247250000012</v>
      </c>
      <c r="C94">
        <f>'Chronique de production'!C9+'Chronique de production'!C5+'Chronique de production'!C6+'Chronique de production'!C7+'Chronique de production'!C11</f>
        <v>6.188236536669061</v>
      </c>
      <c r="D94">
        <f>'Chronique de production'!D9+'Chronique de production'!D5+'Chronique de production'!D6+'Chronique de production'!D7+'Chronique de production'!D11</f>
        <v>7.02394836081241</v>
      </c>
      <c r="E94">
        <f>'Chronique de production'!E9+'Chronique de production'!E5+'Chronique de production'!E6+'Chronique de production'!E7+'Chronique de production'!E11</f>
        <v>7.8596602034877607</v>
      </c>
      <c r="F94">
        <f>'Chronique de production'!F9+'Chronique de production'!F5+'Chronique de production'!F6+'Chronique de production'!F7+'Chronique de production'!F11</f>
        <v>8.6953720705759761</v>
      </c>
      <c r="G94">
        <f>'Chronique de production'!G9+'Chronique de production'!G5+'Chronique de production'!G6+'Chronique de production'!G7+'Chronique de production'!G11</f>
        <v>9.5310839677400452</v>
      </c>
      <c r="H94">
        <f>'Chronique de production'!H9+'Chronique de production'!H5+'Chronique de production'!H6+'Chronique de production'!H7+'Chronique de production'!H11</f>
        <v>10.366795900385922</v>
      </c>
      <c r="I94">
        <f>'Chronique de production'!I9+'Chronique de production'!I5+'Chronique de production'!I6+'Chronique de production'!I7+'Chronique de production'!I11</f>
        <v>11.202507873625493</v>
      </c>
      <c r="J94">
        <f>'Chronique de production'!J9+'Chronique de production'!J5+'Chronique de production'!J6+'Chronique de production'!J7+'Chronique de production'!J11</f>
        <v>12.038219892241926</v>
      </c>
      <c r="K94">
        <f>'Chronique de production'!K9+'Chronique de production'!K5+'Chronique de production'!K6+'Chronique de production'!K7+'Chronique de production'!K11</f>
        <v>12.873931960657643</v>
      </c>
      <c r="L94">
        <f>'Chronique de production'!L9+'Chronique de production'!L5+'Chronique de production'!L6+'Chronique de production'!L7+'Chronique de production'!L11</f>
        <v>13.709644082905095</v>
      </c>
      <c r="M94">
        <f>'Chronique de production'!M9+'Chronique de production'!M5+'Chronique de production'!M6+'Chronique de production'!M7+'Chronique de production'!M11</f>
        <v>14.545356262600567</v>
      </c>
      <c r="N94">
        <f>'Chronique de production'!N9+'Chronique de production'!N5+'Chronique de production'!N6+'Chronique de production'!N7+'Chronique de production'!N11</f>
        <v>15.381068502921181</v>
      </c>
      <c r="O94">
        <f>'Chronique de production'!O9+'Chronique de production'!O5+'Chronique de production'!O6+'Chronique de production'!O7+'Chronique de production'!O11</f>
        <v>16.216780806585174</v>
      </c>
      <c r="P94">
        <f>'Chronique de production'!P9+'Chronique de production'!P5+'Chronique de production'!P6+'Chronique de production'!P7+'Chronique de production'!P11</f>
        <v>17.052493175835675</v>
      </c>
      <c r="Q94">
        <f>'Chronique de production'!Q9+'Chronique de production'!Q5+'Chronique de production'!Q6+'Chronique de production'!Q7+'Chronique de production'!Q11</f>
        <v>17.888205612427978</v>
      </c>
      <c r="R94">
        <f>'Chronique de production'!R9+'Chronique de production'!R5+'Chronique de production'!R6+'Chronique de production'!R7+'Chronique de production'!R11</f>
        <v>18.723918117620428</v>
      </c>
      <c r="S94">
        <f>'Chronique de production'!S9+'Chronique de production'!S5+'Chronique de production'!S6+'Chronique de production'!S7+'Chronique de production'!S11</f>
        <v>19.559630692168938</v>
      </c>
      <c r="T94">
        <f>'Chronique de production'!T9+'Chronique de production'!T5+'Chronique de production'!T6+'Chronique de production'!T7+'Chronique de production'!T11</f>
        <v>20.395343336325176</v>
      </c>
      <c r="U94">
        <f>'Chronique de production'!U9+'Chronique de production'!U5+'Chronique de production'!U6+'Chronique de production'!U7+'Chronique de production'!U11</f>
        <v>21.231056049838383</v>
      </c>
      <c r="V94">
        <f>'Chronique de production'!V9+'Chronique de production'!V5+'Chronique de production'!V6+'Chronique de production'!V7+'Chronique de production'!V11</f>
        <v>22.066768831960783</v>
      </c>
      <c r="W94">
        <f>'Chronique de production'!W9+'Chronique de production'!W5+'Chronique de production'!W6+'Chronique de production'!W7+'Chronique de production'!W11</f>
        <v>22.902481681456532</v>
      </c>
      <c r="X94">
        <f>'Chronique de production'!X9+'Chronique de production'!X5+'Chronique de production'!X6+'Chronique de production'!X7+'Chronique de production'!X11</f>
        <v>23.738194596614129</v>
      </c>
      <c r="Y94">
        <f>'Chronique de production'!Y9+'Chronique de production'!Y5+'Chronique de production'!Y6+'Chronique de production'!Y7+'Chronique de production'!Y11</f>
        <v>24.573907575262137</v>
      </c>
      <c r="Z94">
        <f>'Chronique de production'!Z9+'Chronique de production'!Z5+'Chronique de production'!Z6+'Chronique de production'!Z7+'Chronique de production'!Z11</f>
        <v>25.409620614788107</v>
      </c>
      <c r="AA94">
        <f>'Chronique de production'!AA9+'Chronique de production'!AA5+'Chronique de production'!AA6+'Chronique de production'!AA7+'Chronique de production'!AA11</f>
        <v>26.245333712160544</v>
      </c>
      <c r="AB94">
        <f>'Chronique de production'!AB9+'Chronique de production'!AB5+'Chronique de production'!AB6+'Chronique de production'!AB7+'Chronique de production'!AB11</f>
        <v>27.081046863953723</v>
      </c>
      <c r="AC94">
        <f>'Chronique de production'!AC9+'Chronique de production'!AC5+'Chronique de production'!AC6+'Chronique de production'!AC7+'Chronique de production'!AC11</f>
        <v>27.916760066375165</v>
      </c>
      <c r="AD94">
        <f>'Chronique de production'!AD9+'Chronique de production'!AD5+'Chronique de production'!AD6+'Chronique de production'!AD7+'Chronique de production'!AD11</f>
        <v>28.752473315295532</v>
      </c>
      <c r="AE94">
        <f>'Chronique de production'!AE9+'Chronique de production'!AE5+'Chronique de production'!AE6+'Chronique de production'!AE7+'Chronique de production'!AE11</f>
        <v>29.588186606280768</v>
      </c>
      <c r="AF94">
        <f>'Chronique de production'!AF9+'Chronique de production'!AF5+'Chronique de production'!AF6+'Chronique de production'!AF7+'Chronique de production'!AF11</f>
        <v>30.423899934626185</v>
      </c>
      <c r="AG94">
        <f>'Chronique de production'!AG9+'Chronique de production'!AG5+'Chronique de production'!AG6+'Chronique de production'!AG7+'Chronique de production'!AG11</f>
        <v>31.259613295392221</v>
      </c>
      <c r="AH94">
        <f>'Chronique de production'!AH9+'Chronique de production'!AH5+'Chronique de production'!AH6+'Chronique de production'!AH7+'Chronique de production'!AH11</f>
        <v>32.095326683441677</v>
      </c>
      <c r="AI94">
        <f>'Chronique de production'!AI9+'Chronique de production'!AI5+'Chronique de production'!AI6+'Chronique de production'!AI7+'Chronique de production'!AI11</f>
        <v>32.931040093478074</v>
      </c>
      <c r="AJ94">
        <f>'Chronique de production'!AJ9+'Chronique de production'!AJ5+'Chronique de production'!AJ6+'Chronique de production'!AJ7+'Chronique de production'!AJ11</f>
        <v>33.766753520084904</v>
      </c>
      <c r="AK94">
        <f>'Chronique de production'!AK9+'Chronique de production'!AK5+'Chronique de production'!AK6+'Chronique de production'!AK7+'Chronique de production'!AK11</f>
        <v>34.602466957765415</v>
      </c>
      <c r="AL94">
        <f>'Chronique de production'!AL9+'Chronique de production'!AL5+'Chronique de production'!AL6+'Chronique de production'!AL7+'Chronique de production'!AL11</f>
        <v>35.438180400982787</v>
      </c>
      <c r="AM94">
        <f>'Chronique de production'!AM9+'Chronique de production'!AM5+'Chronique de production'!AM6+'Chronique de production'!AM7+'Chronique de production'!AM11</f>
        <v>36.273893844200146</v>
      </c>
    </row>
    <row r="95" spans="1:40" x14ac:dyDescent="0.25">
      <c r="A95" s="136" t="s">
        <v>241</v>
      </c>
      <c r="B95">
        <f>'Chronique de production'!B12+'Chronique de production'!B13+'Chronique de production'!B14+'Chronique de production'!B15</f>
        <v>448.4</v>
      </c>
      <c r="C95">
        <f>'Chronique de production'!C12+'Chronique de production'!C13+'Chronique de production'!C14+'Chronique de production'!C15</f>
        <v>436.28116026100349</v>
      </c>
      <c r="D95">
        <f>'Chronique de production'!D12+'Chronique de production'!D13+'Chronique de production'!D14+'Chronique de production'!D15</f>
        <v>424.1623193830759</v>
      </c>
      <c r="E95">
        <f>'Chronique de production'!E12+'Chronique de production'!E13+'Chronique de production'!E14+'Chronique de production'!E15</f>
        <v>412.04347681313408</v>
      </c>
      <c r="F95">
        <f>'Chronique de production'!F12+'Chronique de production'!F13+'Chronique de production'!F14+'Chronique de production'!F15</f>
        <v>399.92463201424187</v>
      </c>
      <c r="G95">
        <f>'Chronique de production'!G12+'Chronique de production'!G13+'Chronique de production'!G14+'Chronique de production'!G15</f>
        <v>387.8057844693555</v>
      </c>
      <c r="H95">
        <f>'Chronique de production'!H12+'Chronique de production'!H13+'Chronique de production'!H14+'Chronique de production'!H15</f>
        <v>375.68693368489897</v>
      </c>
      <c r="I95">
        <f>'Chronique de production'!I12+'Chronique de production'!I13+'Chronique de production'!I14+'Chronique de production'!I15</f>
        <v>363.56807919414518</v>
      </c>
      <c r="J95">
        <f>'Chronique de production'!J12+'Chronique de production'!J13+'Chronique de production'!J14+'Chronique de production'!J15</f>
        <v>351.4492205603799</v>
      </c>
      <c r="K95">
        <f>'Chronique de production'!K12+'Chronique de production'!K13+'Chronique de production'!K14+'Chronique de production'!K15</f>
        <v>339.33035737982635</v>
      </c>
      <c r="L95">
        <f>'Chronique de production'!L12+'Chronique de production'!L13+'Chronique de production'!L14+'Chronique de production'!L15</f>
        <v>327.21148928431239</v>
      </c>
      <c r="M95">
        <f>'Chronique de production'!M12+'Chronique de production'!M13+'Chronique de production'!M14+'Chronique de production'!M15</f>
        <v>315.09261594366228</v>
      </c>
      <c r="N95">
        <f>'Chronique de production'!N12+'Chronique de production'!N13+'Chronique de production'!N14+'Chronique de production'!N15</f>
        <v>302.97373706779848</v>
      </c>
      <c r="O95">
        <f>'Chronique de production'!O12+'Chronique de production'!O13+'Chronique de production'!O14+'Chronique de production'!O15</f>
        <v>290.85485240853899</v>
      </c>
      <c r="P95">
        <f>'Chronique de production'!P12+'Chronique de production'!P13+'Chronique de production'!P14+'Chronique de production'!P15</f>
        <v>278.73596176108117</v>
      </c>
      <c r="Q95">
        <f>'Chronique de production'!Q12+'Chronique de production'!Q13+'Chronique de production'!Q14+'Chronique de production'!Q15</f>
        <v>266.61706496516297</v>
      </c>
      <c r="R95">
        <f>'Chronique de production'!R12+'Chronique de production'!R13+'Chronique de production'!R14+'Chronique de production'!R15</f>
        <v>254.49816190589465</v>
      </c>
      <c r="S95">
        <f>'Chronique de production'!S12+'Chronique de production'!S13+'Chronique de production'!S14+'Chronique de production'!S15</f>
        <v>242.37925251425918</v>
      </c>
      <c r="T95">
        <f>'Chronique de production'!T12+'Chronique de production'!T13+'Chronique de production'!T14+'Chronique de production'!T15</f>
        <v>230.26033676727866</v>
      </c>
      <c r="U95">
        <f>'Chronique de production'!U12+'Chronique de production'!U13+'Chronique de production'!U14+'Chronique de production'!U15</f>
        <v>218.14141468784831</v>
      </c>
      <c r="V95">
        <f>'Chronique de production'!V12+'Chronique de production'!V13+'Chronique de production'!V14+'Chronique de production'!V15</f>
        <v>206.02248634424183</v>
      </c>
      <c r="W95">
        <f>'Chronique de production'!W12+'Chronique de production'!W13+'Chronique de production'!W14+'Chronique de production'!W15</f>
        <v>193.90355184929427</v>
      </c>
      <c r="X95">
        <f>'Chronique de production'!X12+'Chronique de production'!X13+'Chronique de production'!X14+'Chronique de production'!X15</f>
        <v>181.78461135926983</v>
      </c>
      <c r="Y95">
        <f>'Chronique de production'!Y12+'Chronique de production'!Y13+'Chronique de production'!Y14+'Chronique de production'!Y15</f>
        <v>169.66566507242584</v>
      </c>
      <c r="Z95">
        <f>'Chronique de production'!Z12+'Chronique de production'!Z13+'Chronique de production'!Z14+'Chronique de production'!Z15</f>
        <v>157.5467132272845</v>
      </c>
      <c r="AA95">
        <f>'Chronique de production'!AA12+'Chronique de production'!AA13+'Chronique de production'!AA14+'Chronique de production'!AA15</f>
        <v>145.42775610062824</v>
      </c>
      <c r="AB95">
        <f>'Chronique de production'!AB12+'Chronique de production'!AB13+'Chronique de production'!AB14+'Chronique de production'!AB15</f>
        <v>133.30879400523372</v>
      </c>
      <c r="AC95">
        <f>'Chronique de production'!AC12+'Chronique de production'!AC13+'Chronique de production'!AC14+'Chronique de production'!AC15</f>
        <v>121.1898272873635</v>
      </c>
      <c r="AD95">
        <f>'Chronique de production'!AD12+'Chronique de production'!AD13+'Chronique de production'!AD14+'Chronique de production'!AD15</f>
        <v>109.07085632403479</v>
      </c>
      <c r="AE95">
        <f>'Chronique de production'!AE12+'Chronique de production'!AE13+'Chronique de production'!AE14+'Chronique de production'!AE15</f>
        <v>96.951881520086872</v>
      </c>
      <c r="AF95">
        <f>'Chronique de production'!AF12+'Chronique de production'!AF13+'Chronique de production'!AF14+'Chronique de production'!AF15</f>
        <v>84.832903305069266</v>
      </c>
      <c r="AG95">
        <f>'Chronique de production'!AG12+'Chronique de production'!AG13+'Chronique de production'!AG14+'Chronique de production'!AG15</f>
        <v>72.713922129974748</v>
      </c>
      <c r="AH95">
        <f>'Chronique de production'!AH12+'Chronique de production'!AH13+'Chronique de production'!AH14+'Chronique de production'!AH15</f>
        <v>60.59493846384153</v>
      </c>
      <c r="AI95">
        <f>'Chronique de production'!AI12+'Chronique de production'!AI13+'Chronique de production'!AI14+'Chronique de production'!AI15</f>
        <v>48.47595279025014</v>
      </c>
      <c r="AJ95">
        <f>'Chronique de production'!AJ12+'Chronique de production'!AJ13+'Chronique de production'!AJ14+'Chronique de production'!AJ15</f>
        <v>36.35696560374091</v>
      </c>
      <c r="AK95">
        <f>'Chronique de production'!AK12+'Chronique de production'!AK13+'Chronique de production'!AK14+'Chronique de production'!AK15</f>
        <v>24.237977406178377</v>
      </c>
      <c r="AL95">
        <f>'Chronique de production'!AL12+'Chronique de production'!AL13+'Chronique de production'!AL14+'Chronique de production'!AL15</f>
        <v>12.118988703089189</v>
      </c>
      <c r="AM95">
        <f>'Chronique de production'!AM12+'Chronique de production'!AM13+'Chronique de production'!AM14+'Chronique de production'!AM15</f>
        <v>0</v>
      </c>
    </row>
    <row r="96" spans="1:40" x14ac:dyDescent="0.25">
      <c r="A96" t="s">
        <v>242</v>
      </c>
      <c r="B96">
        <f>SUM(B90:B95)</f>
        <v>543.19220472500001</v>
      </c>
      <c r="C96">
        <f t="shared" ref="C96:AK96" si="19">SUM(C90:C95)</f>
        <v>541.32039444537327</v>
      </c>
      <c r="D96">
        <f t="shared" si="19"/>
        <v>539.44858464608456</v>
      </c>
      <c r="E96">
        <f t="shared" si="19"/>
        <v>537.57677556039403</v>
      </c>
      <c r="F96">
        <f t="shared" si="19"/>
        <v>535.70496741475188</v>
      </c>
      <c r="G96">
        <f t="shared" si="19"/>
        <v>533.83316042721833</v>
      </c>
      <c r="H96">
        <f t="shared" si="19"/>
        <v>531.96135480595649</v>
      </c>
      <c r="I96">
        <f t="shared" si="19"/>
        <v>530.08955074780624</v>
      </c>
      <c r="J96">
        <f t="shared" si="19"/>
        <v>528.21774843694948</v>
      </c>
      <c r="K96">
        <f t="shared" si="19"/>
        <v>526.34594804367691</v>
      </c>
      <c r="L96">
        <f t="shared" si="19"/>
        <v>524.47414972326328</v>
      </c>
      <c r="M96">
        <f t="shared" si="19"/>
        <v>522.60235361495836</v>
      </c>
      <c r="N96">
        <f t="shared" si="19"/>
        <v>520.7305598411009</v>
      </c>
      <c r="O96">
        <f t="shared" si="19"/>
        <v>518.85876850636043</v>
      </c>
      <c r="P96">
        <f t="shared" si="19"/>
        <v>516.98697969711122</v>
      </c>
      <c r="Q96">
        <f t="shared" si="19"/>
        <v>515.11519348094328</v>
      </c>
      <c r="R96">
        <f t="shared" si="19"/>
        <v>513.24340990631049</v>
      </c>
      <c r="S96">
        <f t="shared" si="19"/>
        <v>511.37162900232016</v>
      </c>
      <c r="T96">
        <f t="shared" si="19"/>
        <v>509.49985077866364</v>
      </c>
      <c r="U96">
        <f t="shared" si="19"/>
        <v>507.62807522568494</v>
      </c>
      <c r="V96">
        <f t="shared" si="19"/>
        <v>505.75630231458956</v>
      </c>
      <c r="W96">
        <f t="shared" si="19"/>
        <v>503.88453199779036</v>
      </c>
      <c r="X96">
        <f t="shared" si="19"/>
        <v>502.01276420938331</v>
      </c>
      <c r="Y96">
        <f t="shared" si="19"/>
        <v>500.14099886575485</v>
      </c>
      <c r="Z96">
        <f t="shared" si="19"/>
        <v>498.2692358663092</v>
      </c>
      <c r="AA96">
        <f t="shared" si="19"/>
        <v>496.39747509431493</v>
      </c>
      <c r="AB96">
        <f t="shared" si="19"/>
        <v>494.52571641785994</v>
      </c>
      <c r="AC96">
        <f t="shared" si="19"/>
        <v>492.65395969091003</v>
      </c>
      <c r="AD96">
        <f t="shared" si="19"/>
        <v>490.78220475446028</v>
      </c>
      <c r="AE96">
        <f t="shared" si="19"/>
        <v>490.70140637436015</v>
      </c>
      <c r="AF96">
        <f t="shared" si="19"/>
        <v>490.6206094328611</v>
      </c>
      <c r="AG96">
        <f t="shared" si="19"/>
        <v>490.53981373975898</v>
      </c>
      <c r="AH96">
        <f t="shared" si="19"/>
        <v>490.45901909723915</v>
      </c>
      <c r="AI96">
        <f t="shared" si="19"/>
        <v>490.37822530135475</v>
      </c>
      <c r="AJ96">
        <f t="shared" si="19"/>
        <v>490.29743214353533</v>
      </c>
      <c r="AK96">
        <f t="shared" si="19"/>
        <v>490.21663941212239</v>
      </c>
      <c r="AL96">
        <f>SUM(AL90:AL95)</f>
        <v>490.13584689391269</v>
      </c>
      <c r="AM96">
        <f t="shared" ref="AM96" si="20">SUM(AM90:AM95)</f>
        <v>490.05505437570298</v>
      </c>
      <c r="AN96">
        <f>AM96*0.086</f>
        <v>42.144734676310456</v>
      </c>
    </row>
    <row r="99" spans="1:39" x14ac:dyDescent="0.25">
      <c r="A99" t="s">
        <v>243</v>
      </c>
      <c r="B99">
        <f>B89</f>
        <v>2013</v>
      </c>
      <c r="C99">
        <f t="shared" ref="C99:AM99" si="21">C89</f>
        <v>2014</v>
      </c>
      <c r="D99">
        <f t="shared" si="21"/>
        <v>2015</v>
      </c>
      <c r="E99">
        <f t="shared" si="21"/>
        <v>2016</v>
      </c>
      <c r="F99">
        <f t="shared" si="21"/>
        <v>2017</v>
      </c>
      <c r="G99">
        <f t="shared" si="21"/>
        <v>2018</v>
      </c>
      <c r="H99">
        <f t="shared" si="21"/>
        <v>2019</v>
      </c>
      <c r="I99">
        <f t="shared" si="21"/>
        <v>2020</v>
      </c>
      <c r="J99">
        <f t="shared" si="21"/>
        <v>2021</v>
      </c>
      <c r="K99">
        <f t="shared" si="21"/>
        <v>2022</v>
      </c>
      <c r="L99">
        <f t="shared" si="21"/>
        <v>2023</v>
      </c>
      <c r="M99">
        <f t="shared" si="21"/>
        <v>2024</v>
      </c>
      <c r="N99">
        <f t="shared" si="21"/>
        <v>2025</v>
      </c>
      <c r="O99">
        <f t="shared" si="21"/>
        <v>2026</v>
      </c>
      <c r="P99">
        <f t="shared" si="21"/>
        <v>2027</v>
      </c>
      <c r="Q99">
        <f t="shared" si="21"/>
        <v>2028</v>
      </c>
      <c r="R99">
        <f t="shared" si="21"/>
        <v>2029</v>
      </c>
      <c r="S99">
        <f t="shared" si="21"/>
        <v>2030</v>
      </c>
      <c r="T99">
        <f t="shared" si="21"/>
        <v>2031</v>
      </c>
      <c r="U99">
        <f t="shared" si="21"/>
        <v>2032</v>
      </c>
      <c r="V99">
        <f t="shared" si="21"/>
        <v>2033</v>
      </c>
      <c r="W99">
        <f t="shared" si="21"/>
        <v>2034</v>
      </c>
      <c r="X99">
        <f t="shared" si="21"/>
        <v>2035</v>
      </c>
      <c r="Y99">
        <f t="shared" si="21"/>
        <v>2036</v>
      </c>
      <c r="Z99">
        <f t="shared" si="21"/>
        <v>2037</v>
      </c>
      <c r="AA99">
        <f t="shared" si="21"/>
        <v>2038</v>
      </c>
      <c r="AB99">
        <f t="shared" si="21"/>
        <v>2039</v>
      </c>
      <c r="AC99">
        <f t="shared" si="21"/>
        <v>2040</v>
      </c>
      <c r="AD99">
        <f t="shared" si="21"/>
        <v>2041</v>
      </c>
      <c r="AE99">
        <f t="shared" si="21"/>
        <v>2042</v>
      </c>
      <c r="AF99">
        <f t="shared" si="21"/>
        <v>2043</v>
      </c>
      <c r="AG99">
        <f t="shared" si="21"/>
        <v>2044</v>
      </c>
      <c r="AH99">
        <f t="shared" si="21"/>
        <v>2045</v>
      </c>
      <c r="AI99">
        <f t="shared" si="21"/>
        <v>2046</v>
      </c>
      <c r="AJ99">
        <f t="shared" si="21"/>
        <v>2047</v>
      </c>
      <c r="AK99">
        <f t="shared" si="21"/>
        <v>2048</v>
      </c>
      <c r="AL99">
        <f t="shared" si="21"/>
        <v>2049</v>
      </c>
      <c r="AM99">
        <f t="shared" si="21"/>
        <v>2050</v>
      </c>
    </row>
    <row r="100" spans="1:39" x14ac:dyDescent="0.25">
      <c r="A100" t="s">
        <v>211</v>
      </c>
      <c r="B100" s="69">
        <f t="shared" ref="B100:AM105" si="22">B90/B$96</f>
        <v>0</v>
      </c>
      <c r="C100" s="69">
        <f t="shared" si="22"/>
        <v>0</v>
      </c>
      <c r="D100" s="69">
        <f t="shared" si="22"/>
        <v>0</v>
      </c>
      <c r="E100" s="69">
        <f t="shared" si="22"/>
        <v>0</v>
      </c>
      <c r="F100" s="69">
        <f t="shared" si="22"/>
        <v>0</v>
      </c>
      <c r="G100" s="69">
        <f t="shared" si="22"/>
        <v>0</v>
      </c>
      <c r="H100" s="69">
        <f t="shared" si="22"/>
        <v>0</v>
      </c>
      <c r="I100" s="69">
        <f t="shared" si="22"/>
        <v>0</v>
      </c>
      <c r="J100" s="69">
        <f t="shared" si="22"/>
        <v>0</v>
      </c>
      <c r="K100" s="69">
        <f t="shared" si="22"/>
        <v>0</v>
      </c>
      <c r="L100" s="69">
        <f t="shared" si="22"/>
        <v>0</v>
      </c>
      <c r="M100" s="69">
        <f t="shared" si="22"/>
        <v>0</v>
      </c>
      <c r="N100" s="69">
        <f t="shared" si="22"/>
        <v>0</v>
      </c>
      <c r="O100" s="69">
        <f t="shared" si="22"/>
        <v>0</v>
      </c>
      <c r="P100" s="69">
        <f t="shared" si="22"/>
        <v>0</v>
      </c>
      <c r="Q100" s="69">
        <f t="shared" si="22"/>
        <v>0</v>
      </c>
      <c r="R100" s="69">
        <f t="shared" si="22"/>
        <v>0</v>
      </c>
      <c r="S100" s="69">
        <f t="shared" si="22"/>
        <v>0</v>
      </c>
      <c r="T100" s="69">
        <f t="shared" si="22"/>
        <v>0</v>
      </c>
      <c r="U100" s="69">
        <f t="shared" si="22"/>
        <v>0</v>
      </c>
      <c r="V100" s="69">
        <f t="shared" si="22"/>
        <v>0</v>
      </c>
      <c r="W100" s="69">
        <f t="shared" si="22"/>
        <v>0</v>
      </c>
      <c r="X100" s="69">
        <f t="shared" si="22"/>
        <v>0</v>
      </c>
      <c r="Y100" s="69">
        <f t="shared" si="22"/>
        <v>0</v>
      </c>
      <c r="Z100" s="69">
        <f t="shared" si="22"/>
        <v>0</v>
      </c>
      <c r="AA100" s="69">
        <f t="shared" si="22"/>
        <v>0</v>
      </c>
      <c r="AB100" s="69">
        <f t="shared" si="22"/>
        <v>0</v>
      </c>
      <c r="AC100" s="69">
        <f t="shared" si="22"/>
        <v>0</v>
      </c>
      <c r="AD100" s="69">
        <f t="shared" si="22"/>
        <v>0</v>
      </c>
      <c r="AE100" s="69">
        <f t="shared" si="22"/>
        <v>3.6497856197757763E-3</v>
      </c>
      <c r="AF100" s="69">
        <f t="shared" si="22"/>
        <v>7.300773355848892E-3</v>
      </c>
      <c r="AG100" s="69">
        <f t="shared" si="22"/>
        <v>1.0952963774347331E-2</v>
      </c>
      <c r="AH100" s="69">
        <f t="shared" si="22"/>
        <v>1.4606357447644869E-2</v>
      </c>
      <c r="AI100" s="69">
        <f t="shared" si="22"/>
        <v>1.826095495459942E-2</v>
      </c>
      <c r="AJ100" s="69">
        <f t="shared" si="22"/>
        <v>2.1916756880724402E-2</v>
      </c>
      <c r="AK100" s="69">
        <f t="shared" si="22"/>
        <v>2.5573763818291576E-2</v>
      </c>
      <c r="AL100" s="69">
        <f t="shared" si="22"/>
        <v>2.9231976366364924E-2</v>
      </c>
      <c r="AM100" s="69">
        <f t="shared" si="22"/>
        <v>3.2891395130765458E-2</v>
      </c>
    </row>
    <row r="101" spans="1:39" x14ac:dyDescent="0.25">
      <c r="A101" t="s">
        <v>212</v>
      </c>
      <c r="B101" s="69">
        <f>B91/B$96</f>
        <v>2.9271406809031095E-2</v>
      </c>
      <c r="C101" s="69">
        <f t="shared" si="22"/>
        <v>4.0134230187126224E-2</v>
      </c>
      <c r="D101" s="69">
        <f t="shared" si="22"/>
        <v>5.1072439230381163E-2</v>
      </c>
      <c r="E101" s="69">
        <f t="shared" si="22"/>
        <v>6.208682173227667E-2</v>
      </c>
      <c r="F101" s="69">
        <f t="shared" si="22"/>
        <v>7.3178176466757131E-2</v>
      </c>
      <c r="G101" s="69">
        <f t="shared" si="22"/>
        <v>8.4347313378727612E-2</v>
      </c>
      <c r="H101" s="69">
        <f t="shared" si="22"/>
        <v>9.5595053778890743E-2</v>
      </c>
      <c r="I101" s="69">
        <f t="shared" si="22"/>
        <v>0.10692223054303365</v>
      </c>
      <c r="J101" s="69">
        <f t="shared" si="22"/>
        <v>0.11832968831588618</v>
      </c>
      <c r="K101" s="69">
        <f t="shared" si="22"/>
        <v>0.12981828371966883</v>
      </c>
      <c r="L101" s="69">
        <f t="shared" si="22"/>
        <v>0.14138888556744555</v>
      </c>
      <c r="M101" s="69">
        <f t="shared" si="22"/>
        <v>0.15304237508140256</v>
      </c>
      <c r="N101" s="69">
        <f t="shared" si="22"/>
        <v>0.16477964611616858</v>
      </c>
      <c r="O101" s="69">
        <f t="shared" si="22"/>
        <v>0.17660160538730169</v>
      </c>
      <c r="P101" s="69">
        <f t="shared" si="22"/>
        <v>0.18850917270505693</v>
      </c>
      <c r="Q101" s="69">
        <f t="shared" si="22"/>
        <v>0.20050328121355984</v>
      </c>
      <c r="R101" s="69">
        <f t="shared" si="22"/>
        <v>0.21258487763550668</v>
      </c>
      <c r="S101" s="69">
        <f t="shared" si="22"/>
        <v>0.22475492252251456</v>
      </c>
      <c r="T101" s="69">
        <f t="shared" si="22"/>
        <v>0.23701439051124723</v>
      </c>
      <c r="U101" s="69">
        <f t="shared" si="22"/>
        <v>0.24936427058544119</v>
      </c>
      <c r="V101" s="69">
        <f t="shared" si="22"/>
        <v>0.26180556634396202</v>
      </c>
      <c r="W101" s="69">
        <f t="shared" si="22"/>
        <v>0.27433929627502229</v>
      </c>
      <c r="X101" s="69">
        <f t="shared" si="22"/>
        <v>0.2869664940366915</v>
      </c>
      <c r="Y101" s="69">
        <f t="shared" si="22"/>
        <v>0.299688208743837</v>
      </c>
      <c r="Z101" s="69">
        <f t="shared" si="22"/>
        <v>0.31250550526163384</v>
      </c>
      <c r="AA101" s="69">
        <f t="shared" si="22"/>
        <v>0.32541946450578674</v>
      </c>
      <c r="AB101" s="69">
        <f t="shared" si="22"/>
        <v>0.3384311837496109</v>
      </c>
      <c r="AC101" s="69">
        <f t="shared" si="22"/>
        <v>0.35154177693812549</v>
      </c>
      <c r="AD101" s="69">
        <f t="shared" si="22"/>
        <v>0.36475237500931068</v>
      </c>
      <c r="AE101" s="69">
        <f t="shared" si="22"/>
        <v>0.37668427321145587</v>
      </c>
      <c r="AF101" s="69">
        <f t="shared" si="22"/>
        <v>0.38862010290907734</v>
      </c>
      <c r="AG101" s="69">
        <f t="shared" si="22"/>
        <v>0.40055986575131886</v>
      </c>
      <c r="AH101" s="69">
        <f t="shared" si="22"/>
        <v>0.41250356339950983</v>
      </c>
      <c r="AI101" s="69">
        <f t="shared" si="22"/>
        <v>0.42445119752951183</v>
      </c>
      <c r="AJ101" s="69">
        <f t="shared" si="22"/>
        <v>0.43640276983387999</v>
      </c>
      <c r="AK101" s="69">
        <f t="shared" si="22"/>
        <v>0.44835828202382844</v>
      </c>
      <c r="AL101" s="69">
        <f t="shared" si="22"/>
        <v>0.46031773583098384</v>
      </c>
      <c r="AM101" s="69">
        <f t="shared" si="22"/>
        <v>0.47228113300891306</v>
      </c>
    </row>
    <row r="102" spans="1:39" x14ac:dyDescent="0.25">
      <c r="A102" t="s">
        <v>213</v>
      </c>
      <c r="B102" s="69">
        <f>B92/B$96</f>
        <v>8.4684573158203286E-3</v>
      </c>
      <c r="C102" s="69">
        <f t="shared" si="22"/>
        <v>1.4299008401366374E-2</v>
      </c>
      <c r="D102" s="69">
        <f t="shared" si="22"/>
        <v>2.0170023461140104E-2</v>
      </c>
      <c r="E102" s="69">
        <f t="shared" si="22"/>
        <v>2.6081925935472695E-2</v>
      </c>
      <c r="F102" s="69">
        <f t="shared" si="22"/>
        <v>3.2035145149607105E-2</v>
      </c>
      <c r="G102" s="69">
        <f t="shared" si="22"/>
        <v>3.8030116411805488E-2</v>
      </c>
      <c r="H102" s="69">
        <f t="shared" si="22"/>
        <v>4.4067281113878316E-2</v>
      </c>
      <c r="I102" s="69">
        <f t="shared" si="22"/>
        <v>5.0147086834226653E-2</v>
      </c>
      <c r="J102" s="69">
        <f t="shared" si="22"/>
        <v>5.6269987443488295E-2</v>
      </c>
      <c r="K102" s="69">
        <f t="shared" si="22"/>
        <v>6.2436443212877189E-2</v>
      </c>
      <c r="L102" s="69">
        <f t="shared" si="22"/>
        <v>6.8646920925305208E-2</v>
      </c>
      <c r="M102" s="69">
        <f t="shared" si="22"/>
        <v>7.4901893989373622E-2</v>
      </c>
      <c r="N102" s="69">
        <f t="shared" si="22"/>
        <v>8.1201842556320319E-2</v>
      </c>
      <c r="O102" s="69">
        <f t="shared" si="22"/>
        <v>8.7547253640007788E-2</v>
      </c>
      <c r="P102" s="69">
        <f t="shared" si="22"/>
        <v>9.3938621240034742E-2</v>
      </c>
      <c r="Q102" s="69">
        <f t="shared" si="22"/>
        <v>0.10037644646805317</v>
      </c>
      <c r="R102" s="69">
        <f t="shared" si="22"/>
        <v>0.10686123767737089</v>
      </c>
      <c r="S102" s="69">
        <f t="shared" si="22"/>
        <v>0.11339351059591782</v>
      </c>
      <c r="T102" s="69">
        <f t="shared" si="22"/>
        <v>0.11997378846265259</v>
      </c>
      <c r="U102" s="69">
        <f t="shared" si="22"/>
        <v>0.12660260216748589</v>
      </c>
      <c r="V102" s="69">
        <f t="shared" si="22"/>
        <v>0.13328049039479306</v>
      </c>
      <c r="W102" s="69">
        <f t="shared" si="22"/>
        <v>0.14000799977058925</v>
      </c>
      <c r="X102" s="69">
        <f t="shared" si="22"/>
        <v>0.14678568501343928</v>
      </c>
      <c r="Y102" s="69">
        <f t="shared" si="22"/>
        <v>0.15361410908917114</v>
      </c>
      <c r="Z102" s="69">
        <f t="shared" si="22"/>
        <v>0.16049384336946512</v>
      </c>
      <c r="AA102" s="69">
        <f t="shared" si="22"/>
        <v>0.16742546779438552</v>
      </c>
      <c r="AB102" s="69">
        <f t="shared" si="22"/>
        <v>0.17440957103892621</v>
      </c>
      <c r="AC102" s="69">
        <f t="shared" si="22"/>
        <v>0.18144675068363755</v>
      </c>
      <c r="AD102" s="69">
        <f t="shared" si="22"/>
        <v>0.1885376133894052</v>
      </c>
      <c r="AE102" s="69">
        <f t="shared" si="22"/>
        <v>0.1949685748979389</v>
      </c>
      <c r="AF102" s="69">
        <f t="shared" si="22"/>
        <v>0.20140165932089155</v>
      </c>
      <c r="AG102" s="69">
        <f t="shared" si="22"/>
        <v>0.20783686702703749</v>
      </c>
      <c r="AH102" s="69">
        <f t="shared" si="22"/>
        <v>0.21427419837048531</v>
      </c>
      <c r="AI102" s="69">
        <f t="shared" si="22"/>
        <v>0.2207136536959802</v>
      </c>
      <c r="AJ102" s="69">
        <f t="shared" si="22"/>
        <v>0.22715523334420543</v>
      </c>
      <c r="AK102" s="69">
        <f t="shared" si="22"/>
        <v>0.23359893765704065</v>
      </c>
      <c r="AL102" s="69">
        <f t="shared" si="22"/>
        <v>0.24004476698274196</v>
      </c>
      <c r="AM102" s="69">
        <f t="shared" si="22"/>
        <v>0.24649272168100514</v>
      </c>
    </row>
    <row r="103" spans="1:39" x14ac:dyDescent="0.25">
      <c r="A103" t="s">
        <v>214</v>
      </c>
      <c r="B103" s="69">
        <f>B93/B$96</f>
        <v>0.12691581248832881</v>
      </c>
      <c r="C103" s="69">
        <f t="shared" si="22"/>
        <v>0.12817764890445249</v>
      </c>
      <c r="D103" s="69">
        <f t="shared" si="22"/>
        <v>0.12944824256489129</v>
      </c>
      <c r="E103" s="69">
        <f t="shared" si="22"/>
        <v>0.13072768516475891</v>
      </c>
      <c r="F103" s="69">
        <f t="shared" si="22"/>
        <v>0.13201606967196161</v>
      </c>
      <c r="G103" s="69">
        <f t="shared" si="22"/>
        <v>0.13331349034804904</v>
      </c>
      <c r="H103" s="69">
        <f t="shared" si="22"/>
        <v>0.1346200427695978</v>
      </c>
      <c r="I103" s="69">
        <f t="shared" si="22"/>
        <v>0.13593582385015024</v>
      </c>
      <c r="J103" s="69">
        <f t="shared" si="22"/>
        <v>0.13726093186273119</v>
      </c>
      <c r="K103" s="69">
        <f t="shared" si="22"/>
        <v>0.13859546646296275</v>
      </c>
      <c r="L103" s="69">
        <f t="shared" si="22"/>
        <v>0.13993952871280088</v>
      </c>
      <c r="M103" s="69">
        <f t="shared" si="22"/>
        <v>0.14129322110491355</v>
      </c>
      <c r="N103" s="69">
        <f t="shared" si="22"/>
        <v>0.14265664758772115</v>
      </c>
      <c r="O103" s="69">
        <f t="shared" si="22"/>
        <v>0.14402991359112044</v>
      </c>
      <c r="P103" s="69">
        <f t="shared" si="22"/>
        <v>0.14541312605291029</v>
      </c>
      <c r="Q103" s="69">
        <f t="shared" si="22"/>
        <v>0.14680639344593965</v>
      </c>
      <c r="R103" s="69">
        <f t="shared" si="22"/>
        <v>0.14820982580599582</v>
      </c>
      <c r="S103" s="69">
        <f t="shared" si="22"/>
        <v>0.14962353476045118</v>
      </c>
      <c r="T103" s="69">
        <f t="shared" si="22"/>
        <v>0.15104763355768536</v>
      </c>
      <c r="U103" s="69">
        <f t="shared" si="22"/>
        <v>0.1524822370973018</v>
      </c>
      <c r="V103" s="69">
        <f t="shared" si="22"/>
        <v>0.15392746196115242</v>
      </c>
      <c r="W103" s="69">
        <f t="shared" si="22"/>
        <v>0.15538342644518802</v>
      </c>
      <c r="X103" s="69">
        <f t="shared" si="22"/>
        <v>0.15685025059215033</v>
      </c>
      <c r="Y103" s="69">
        <f t="shared" si="22"/>
        <v>0.15832805622511878</v>
      </c>
      <c r="Z103" s="69">
        <f t="shared" si="22"/>
        <v>0.15981696698192904</v>
      </c>
      <c r="AA103" s="69">
        <f t="shared" si="22"/>
        <v>0.16131710835047555</v>
      </c>
      <c r="AB103" s="69">
        <f t="shared" si="22"/>
        <v>0.16282860770491378</v>
      </c>
      <c r="AC103" s="69">
        <f t="shared" si="22"/>
        <v>0.16435159434277424</v>
      </c>
      <c r="AD103" s="69">
        <f t="shared" si="22"/>
        <v>0.1658861995230044</v>
      </c>
      <c r="AE103" s="69">
        <f t="shared" si="22"/>
        <v>0.16682146356793565</v>
      </c>
      <c r="AF103" s="69">
        <f t="shared" si="22"/>
        <v>0.16775703705396999</v>
      </c>
      <c r="AG103" s="69">
        <f t="shared" si="22"/>
        <v>0.16869291994217891</v>
      </c>
      <c r="AH103" s="69">
        <f t="shared" si="22"/>
        <v>0.16962911218772184</v>
      </c>
      <c r="AI103" s="69">
        <f t="shared" si="22"/>
        <v>0.170565613741336</v>
      </c>
      <c r="AJ103" s="69">
        <f t="shared" si="22"/>
        <v>0.17150242455084375</v>
      </c>
      <c r="AK103" s="69">
        <f t="shared" si="22"/>
        <v>0.17243954456266439</v>
      </c>
      <c r="AL103" s="69">
        <f t="shared" si="22"/>
        <v>0.17337697372332139</v>
      </c>
      <c r="AM103" s="69">
        <f t="shared" si="22"/>
        <v>0.17431471198093337</v>
      </c>
    </row>
    <row r="104" spans="1:39" x14ac:dyDescent="0.25">
      <c r="A104" t="s">
        <v>215</v>
      </c>
      <c r="B104" s="69">
        <f>B94/B$96</f>
        <v>9.8538319925077066E-3</v>
      </c>
      <c r="C104" s="69">
        <f t="shared" si="22"/>
        <v>1.1431744674998643E-2</v>
      </c>
      <c r="D104" s="69">
        <f t="shared" si="22"/>
        <v>1.3020607636630661E-2</v>
      </c>
      <c r="E104" s="69">
        <f t="shared" si="22"/>
        <v>1.4620535262697128E-2</v>
      </c>
      <c r="F104" s="69">
        <f t="shared" si="22"/>
        <v>1.623164353419906E-2</v>
      </c>
      <c r="G104" s="69">
        <f t="shared" si="22"/>
        <v>1.7854050055849786E-2</v>
      </c>
      <c r="H104" s="69">
        <f t="shared" si="22"/>
        <v>1.9487874084701918E-2</v>
      </c>
      <c r="I104" s="69">
        <f t="shared" si="22"/>
        <v>2.1133236559411378E-2</v>
      </c>
      <c r="J104" s="69">
        <f t="shared" si="22"/>
        <v>2.2790260130153246E-2</v>
      </c>
      <c r="K104" s="69">
        <f t="shared" si="22"/>
        <v>2.4459069189204333E-2</v>
      </c>
      <c r="L104" s="69">
        <f t="shared" si="22"/>
        <v>2.6139789902207639E-2</v>
      </c>
      <c r="M104" s="69">
        <f t="shared" si="22"/>
        <v>2.7832550240133931E-2</v>
      </c>
      <c r="N104" s="69">
        <f t="shared" si="22"/>
        <v>2.953748001195601E-2</v>
      </c>
      <c r="O104" s="69">
        <f t="shared" si="22"/>
        <v>3.1254710898051208E-2</v>
      </c>
      <c r="P104" s="69">
        <f t="shared" si="22"/>
        <v>3.2984376484348356E-2</v>
      </c>
      <c r="Q104" s="69">
        <f t="shared" si="22"/>
        <v>3.4726612297235129E-2</v>
      </c>
      <c r="R104" s="69">
        <f t="shared" si="22"/>
        <v>3.6481555839242764E-2</v>
      </c>
      <c r="S104" s="69">
        <f t="shared" si="22"/>
        <v>3.8249346625524649E-2</v>
      </c>
      <c r="T104" s="69">
        <f t="shared" si="22"/>
        <v>4.0030126221146427E-2</v>
      </c>
      <c r="U104" s="69">
        <f t="shared" si="22"/>
        <v>4.1824038279205354E-2</v>
      </c>
      <c r="V104" s="69">
        <f t="shared" si="22"/>
        <v>4.3631228579797024E-2</v>
      </c>
      <c r="W104" s="69">
        <f t="shared" si="22"/>
        <v>4.5451845069848194E-2</v>
      </c>
      <c r="X104" s="69">
        <f t="shared" si="22"/>
        <v>4.7286037903835496E-2</v>
      </c>
      <c r="Y104" s="69">
        <f t="shared" si="22"/>
        <v>4.9133959485409301E-2</v>
      </c>
      <c r="Z104" s="69">
        <f t="shared" si="22"/>
        <v>5.0995764509944121E-2</v>
      </c>
      <c r="AA104" s="69">
        <f t="shared" si="22"/>
        <v>5.2871610008036328E-2</v>
      </c>
      <c r="AB104" s="69">
        <f t="shared" si="22"/>
        <v>5.4761655389971714E-2</v>
      </c>
      <c r="AC104" s="69">
        <f t="shared" si="22"/>
        <v>5.6666062491185651E-2</v>
      </c>
      <c r="AD104" s="69">
        <f t="shared" si="22"/>
        <v>5.8584995618739838E-2</v>
      </c>
      <c r="AE104" s="69">
        <f t="shared" si="22"/>
        <v>6.0297741604000414E-2</v>
      </c>
      <c r="AF104" s="69">
        <f t="shared" si="22"/>
        <v>6.2011051614393173E-2</v>
      </c>
      <c r="AG104" s="69">
        <f t="shared" si="22"/>
        <v>6.3724925928185835E-2</v>
      </c>
      <c r="AH104" s="69">
        <f t="shared" si="22"/>
        <v>6.543936482709152E-2</v>
      </c>
      <c r="AI104" s="69">
        <f t="shared" si="22"/>
        <v>6.7154368596282571E-2</v>
      </c>
      <c r="AJ104" s="69">
        <f t="shared" si="22"/>
        <v>6.8869937524371191E-2</v>
      </c>
      <c r="AK104" s="69">
        <f t="shared" si="22"/>
        <v>7.0586071903355599E-2</v>
      </c>
      <c r="AL104" s="69">
        <f t="shared" si="22"/>
        <v>7.2302772028533538E-2</v>
      </c>
      <c r="AM104" s="69">
        <f t="shared" si="22"/>
        <v>7.4020038198382904E-2</v>
      </c>
    </row>
    <row r="105" spans="1:39" x14ac:dyDescent="0.25">
      <c r="A105" s="136" t="s">
        <v>241</v>
      </c>
      <c r="B105" s="69">
        <f>B95/B$96</f>
        <v>0.82549049139431196</v>
      </c>
      <c r="C105" s="69">
        <f t="shared" si="22"/>
        <v>0.80595736783205629</v>
      </c>
      <c r="D105" s="69">
        <f t="shared" si="22"/>
        <v>0.78628868710695687</v>
      </c>
      <c r="E105" s="69">
        <f t="shared" si="22"/>
        <v>0.76648303190479461</v>
      </c>
      <c r="F105" s="69">
        <f t="shared" si="22"/>
        <v>0.74653896517747509</v>
      </c>
      <c r="G105" s="69">
        <f t="shared" si="22"/>
        <v>0.72645502980556809</v>
      </c>
      <c r="H105" s="69">
        <f t="shared" si="22"/>
        <v>0.70622974825293139</v>
      </c>
      <c r="I105" s="69">
        <f t="shared" si="22"/>
        <v>0.68586162221317815</v>
      </c>
      <c r="J105" s="69">
        <f t="shared" si="22"/>
        <v>0.66534913224774106</v>
      </c>
      <c r="K105" s="69">
        <f t="shared" si="22"/>
        <v>0.64469073741528693</v>
      </c>
      <c r="L105" s="69">
        <f t="shared" si="22"/>
        <v>0.62388487489224065</v>
      </c>
      <c r="M105" s="69">
        <f t="shared" si="22"/>
        <v>0.60292995958417639</v>
      </c>
      <c r="N105" s="69">
        <f t="shared" si="22"/>
        <v>0.58182438372783396</v>
      </c>
      <c r="O105" s="69">
        <f t="shared" si="22"/>
        <v>0.56056651648351885</v>
      </c>
      <c r="P105" s="69">
        <f t="shared" si="22"/>
        <v>0.53915470351764971</v>
      </c>
      <c r="Q105" s="69">
        <f t="shared" si="22"/>
        <v>0.51758726657521215</v>
      </c>
      <c r="R105" s="69">
        <f t="shared" si="22"/>
        <v>0.49586250304188367</v>
      </c>
      <c r="S105" s="69">
        <f t="shared" si="22"/>
        <v>0.47397868549559186</v>
      </c>
      <c r="T105" s="69">
        <f t="shared" si="22"/>
        <v>0.45193406124726837</v>
      </c>
      <c r="U105" s="69">
        <f t="shared" si="22"/>
        <v>0.42972685187056575</v>
      </c>
      <c r="V105" s="69">
        <f t="shared" si="22"/>
        <v>0.40735525272029555</v>
      </c>
      <c r="W105" s="69">
        <f t="shared" si="22"/>
        <v>0.38481743243935218</v>
      </c>
      <c r="X105" s="69">
        <f t="shared" si="22"/>
        <v>0.36211153245388344</v>
      </c>
      <c r="Y105" s="69">
        <f t="shared" si="22"/>
        <v>0.33923566645646375</v>
      </c>
      <c r="Z105" s="69">
        <f t="shared" si="22"/>
        <v>0.31618791987702793</v>
      </c>
      <c r="AA105" s="69">
        <f t="shared" si="22"/>
        <v>0.29296634934131593</v>
      </c>
      <c r="AB105" s="69">
        <f t="shared" si="22"/>
        <v>0.26956898211657743</v>
      </c>
      <c r="AC105" s="69">
        <f t="shared" si="22"/>
        <v>0.24599381554427721</v>
      </c>
      <c r="AD105" s="69">
        <f t="shared" si="22"/>
        <v>0.22223881645953983</v>
      </c>
      <c r="AE105" s="69">
        <f t="shared" si="22"/>
        <v>0.19757816109889337</v>
      </c>
      <c r="AF105" s="69">
        <f t="shared" si="22"/>
        <v>0.17290937574581894</v>
      </c>
      <c r="AG105" s="69">
        <f t="shared" si="22"/>
        <v>0.1482324575769316</v>
      </c>
      <c r="AH105" s="69">
        <f t="shared" si="22"/>
        <v>0.12354740376754675</v>
      </c>
      <c r="AI105" s="69">
        <f t="shared" si="22"/>
        <v>9.8854211482289928E-2</v>
      </c>
      <c r="AJ105" s="69">
        <f t="shared" si="22"/>
        <v>7.4152877865975353E-2</v>
      </c>
      <c r="AK105" s="69">
        <f t="shared" si="22"/>
        <v>4.9443400034819389E-2</v>
      </c>
      <c r="AL105" s="69">
        <f t="shared" si="22"/>
        <v>2.4725775068054304E-2</v>
      </c>
      <c r="AM105" s="69">
        <f t="shared" si="22"/>
        <v>0</v>
      </c>
    </row>
    <row r="106" spans="1:39" x14ac:dyDescent="0.25">
      <c r="A106" t="s">
        <v>100</v>
      </c>
      <c r="B106" s="137">
        <f>SUM(B100:B105)</f>
        <v>0.99999999999999989</v>
      </c>
      <c r="C106" s="137">
        <f t="shared" ref="C106:AM106" si="23">SUM(C100:C105)</f>
        <v>1</v>
      </c>
      <c r="D106" s="137">
        <f t="shared" si="23"/>
        <v>1</v>
      </c>
      <c r="E106" s="137">
        <f t="shared" si="23"/>
        <v>1</v>
      </c>
      <c r="F106" s="137">
        <f t="shared" si="23"/>
        <v>1</v>
      </c>
      <c r="G106" s="137">
        <f t="shared" si="23"/>
        <v>1</v>
      </c>
      <c r="H106" s="137">
        <f t="shared" si="23"/>
        <v>1.0000000000000002</v>
      </c>
      <c r="I106" s="137">
        <f t="shared" si="23"/>
        <v>1</v>
      </c>
      <c r="J106" s="137">
        <f t="shared" si="23"/>
        <v>1</v>
      </c>
      <c r="K106" s="137">
        <f t="shared" si="23"/>
        <v>1</v>
      </c>
      <c r="L106" s="137">
        <f t="shared" si="23"/>
        <v>1</v>
      </c>
      <c r="M106" s="137">
        <f t="shared" si="23"/>
        <v>1</v>
      </c>
      <c r="N106" s="137">
        <f t="shared" si="23"/>
        <v>1</v>
      </c>
      <c r="O106" s="137">
        <f t="shared" si="23"/>
        <v>1</v>
      </c>
      <c r="P106" s="137">
        <f t="shared" si="23"/>
        <v>1</v>
      </c>
      <c r="Q106" s="137">
        <f t="shared" si="23"/>
        <v>1</v>
      </c>
      <c r="R106" s="137">
        <f t="shared" si="23"/>
        <v>0.99999999999999978</v>
      </c>
      <c r="S106" s="137">
        <f t="shared" si="23"/>
        <v>1</v>
      </c>
      <c r="T106" s="137">
        <f t="shared" si="23"/>
        <v>1</v>
      </c>
      <c r="U106" s="137">
        <f t="shared" si="23"/>
        <v>1</v>
      </c>
      <c r="V106" s="137">
        <f t="shared" si="23"/>
        <v>1</v>
      </c>
      <c r="W106" s="137">
        <f t="shared" si="23"/>
        <v>1</v>
      </c>
      <c r="X106" s="137">
        <f t="shared" si="23"/>
        <v>1</v>
      </c>
      <c r="Y106" s="137">
        <f t="shared" si="23"/>
        <v>1</v>
      </c>
      <c r="Z106" s="137">
        <f t="shared" si="23"/>
        <v>1</v>
      </c>
      <c r="AA106" s="137">
        <f t="shared" si="23"/>
        <v>1</v>
      </c>
      <c r="AB106" s="137">
        <f t="shared" si="23"/>
        <v>1</v>
      </c>
      <c r="AC106" s="137">
        <f t="shared" si="23"/>
        <v>1.0000000000000002</v>
      </c>
      <c r="AD106" s="137">
        <f t="shared" si="23"/>
        <v>1</v>
      </c>
      <c r="AE106" s="137">
        <f t="shared" si="23"/>
        <v>0.99999999999999989</v>
      </c>
      <c r="AF106" s="137">
        <f t="shared" si="23"/>
        <v>1</v>
      </c>
      <c r="AG106" s="137">
        <f t="shared" si="23"/>
        <v>1</v>
      </c>
      <c r="AH106" s="137">
        <f t="shared" si="23"/>
        <v>1.0000000000000002</v>
      </c>
      <c r="AI106" s="137">
        <f t="shared" si="23"/>
        <v>0.99999999999999978</v>
      </c>
      <c r="AJ106" s="137">
        <f t="shared" si="23"/>
        <v>1</v>
      </c>
      <c r="AK106" s="137">
        <f t="shared" si="23"/>
        <v>1</v>
      </c>
      <c r="AL106" s="137">
        <f t="shared" si="23"/>
        <v>1</v>
      </c>
      <c r="AM106" s="137">
        <f t="shared" si="23"/>
        <v>0.99999999999999989</v>
      </c>
    </row>
    <row r="108" spans="1:39" x14ac:dyDescent="0.25">
      <c r="A108" t="s">
        <v>244</v>
      </c>
      <c r="B108">
        <f>0.07</f>
        <v>7.0000000000000007E-2</v>
      </c>
      <c r="C108">
        <f t="shared" ref="C108:AM108" si="24">0.07</f>
        <v>7.0000000000000007E-2</v>
      </c>
      <c r="D108">
        <f t="shared" si="24"/>
        <v>7.0000000000000007E-2</v>
      </c>
      <c r="E108">
        <f t="shared" si="24"/>
        <v>7.0000000000000007E-2</v>
      </c>
      <c r="F108">
        <f t="shared" si="24"/>
        <v>7.0000000000000007E-2</v>
      </c>
      <c r="G108">
        <f t="shared" si="24"/>
        <v>7.0000000000000007E-2</v>
      </c>
      <c r="H108">
        <f t="shared" si="24"/>
        <v>7.0000000000000007E-2</v>
      </c>
      <c r="I108">
        <f t="shared" si="24"/>
        <v>7.0000000000000007E-2</v>
      </c>
      <c r="J108">
        <f t="shared" si="24"/>
        <v>7.0000000000000007E-2</v>
      </c>
      <c r="K108">
        <f t="shared" si="24"/>
        <v>7.0000000000000007E-2</v>
      </c>
      <c r="L108">
        <f t="shared" si="24"/>
        <v>7.0000000000000007E-2</v>
      </c>
      <c r="M108">
        <f t="shared" si="24"/>
        <v>7.0000000000000007E-2</v>
      </c>
      <c r="N108">
        <f t="shared" si="24"/>
        <v>7.0000000000000007E-2</v>
      </c>
      <c r="O108">
        <f t="shared" si="24"/>
        <v>7.0000000000000007E-2</v>
      </c>
      <c r="P108">
        <f t="shared" si="24"/>
        <v>7.0000000000000007E-2</v>
      </c>
      <c r="Q108">
        <f t="shared" si="24"/>
        <v>7.0000000000000007E-2</v>
      </c>
      <c r="R108">
        <f t="shared" si="24"/>
        <v>7.0000000000000007E-2</v>
      </c>
      <c r="S108">
        <f t="shared" si="24"/>
        <v>7.0000000000000007E-2</v>
      </c>
      <c r="T108">
        <f t="shared" si="24"/>
        <v>7.0000000000000007E-2</v>
      </c>
      <c r="U108">
        <f t="shared" si="24"/>
        <v>7.0000000000000007E-2</v>
      </c>
      <c r="V108">
        <f t="shared" si="24"/>
        <v>7.0000000000000007E-2</v>
      </c>
      <c r="W108">
        <f t="shared" si="24"/>
        <v>7.0000000000000007E-2</v>
      </c>
      <c r="X108">
        <f t="shared" si="24"/>
        <v>7.0000000000000007E-2</v>
      </c>
      <c r="Y108">
        <f t="shared" si="24"/>
        <v>7.0000000000000007E-2</v>
      </c>
      <c r="Z108">
        <f t="shared" si="24"/>
        <v>7.0000000000000007E-2</v>
      </c>
      <c r="AA108">
        <f t="shared" si="24"/>
        <v>7.0000000000000007E-2</v>
      </c>
      <c r="AB108">
        <f t="shared" si="24"/>
        <v>7.0000000000000007E-2</v>
      </c>
      <c r="AC108">
        <f t="shared" si="24"/>
        <v>7.0000000000000007E-2</v>
      </c>
      <c r="AD108">
        <f t="shared" si="24"/>
        <v>7.0000000000000007E-2</v>
      </c>
      <c r="AE108">
        <f t="shared" si="24"/>
        <v>7.0000000000000007E-2</v>
      </c>
      <c r="AF108">
        <f t="shared" si="24"/>
        <v>7.0000000000000007E-2</v>
      </c>
      <c r="AG108">
        <f t="shared" si="24"/>
        <v>7.0000000000000007E-2</v>
      </c>
      <c r="AH108">
        <f t="shared" si="24"/>
        <v>7.0000000000000007E-2</v>
      </c>
      <c r="AI108">
        <f t="shared" si="24"/>
        <v>7.0000000000000007E-2</v>
      </c>
      <c r="AJ108">
        <f t="shared" si="24"/>
        <v>7.0000000000000007E-2</v>
      </c>
      <c r="AK108">
        <f t="shared" si="24"/>
        <v>7.0000000000000007E-2</v>
      </c>
      <c r="AL108">
        <f t="shared" si="24"/>
        <v>7.0000000000000007E-2</v>
      </c>
      <c r="AM108">
        <f t="shared" si="24"/>
        <v>7.0000000000000007E-2</v>
      </c>
    </row>
    <row r="110" spans="1:39" x14ac:dyDescent="0.25">
      <c r="A110" t="s">
        <v>245</v>
      </c>
      <c r="B110">
        <f>B99</f>
        <v>2013</v>
      </c>
      <c r="C110">
        <f t="shared" ref="C110:AM110" si="25">C99</f>
        <v>2014</v>
      </c>
      <c r="D110">
        <f t="shared" si="25"/>
        <v>2015</v>
      </c>
      <c r="E110">
        <f t="shared" si="25"/>
        <v>2016</v>
      </c>
      <c r="F110">
        <f t="shared" si="25"/>
        <v>2017</v>
      </c>
      <c r="G110">
        <f t="shared" si="25"/>
        <v>2018</v>
      </c>
      <c r="H110">
        <f t="shared" si="25"/>
        <v>2019</v>
      </c>
      <c r="I110">
        <f t="shared" si="25"/>
        <v>2020</v>
      </c>
      <c r="J110">
        <f t="shared" si="25"/>
        <v>2021</v>
      </c>
      <c r="K110">
        <f t="shared" si="25"/>
        <v>2022</v>
      </c>
      <c r="L110">
        <f t="shared" si="25"/>
        <v>2023</v>
      </c>
      <c r="M110">
        <f t="shared" si="25"/>
        <v>2024</v>
      </c>
      <c r="N110">
        <f t="shared" si="25"/>
        <v>2025</v>
      </c>
      <c r="O110">
        <f t="shared" si="25"/>
        <v>2026</v>
      </c>
      <c r="P110">
        <f t="shared" si="25"/>
        <v>2027</v>
      </c>
      <c r="Q110">
        <f t="shared" si="25"/>
        <v>2028</v>
      </c>
      <c r="R110">
        <f t="shared" si="25"/>
        <v>2029</v>
      </c>
      <c r="S110">
        <f t="shared" si="25"/>
        <v>2030</v>
      </c>
      <c r="T110">
        <f t="shared" si="25"/>
        <v>2031</v>
      </c>
      <c r="U110">
        <f t="shared" si="25"/>
        <v>2032</v>
      </c>
      <c r="V110">
        <f t="shared" si="25"/>
        <v>2033</v>
      </c>
      <c r="W110">
        <f t="shared" si="25"/>
        <v>2034</v>
      </c>
      <c r="X110">
        <f t="shared" si="25"/>
        <v>2035</v>
      </c>
      <c r="Y110">
        <f t="shared" si="25"/>
        <v>2036</v>
      </c>
      <c r="Z110">
        <f t="shared" si="25"/>
        <v>2037</v>
      </c>
      <c r="AA110">
        <f t="shared" si="25"/>
        <v>2038</v>
      </c>
      <c r="AB110">
        <f t="shared" si="25"/>
        <v>2039</v>
      </c>
      <c r="AC110">
        <f t="shared" si="25"/>
        <v>2040</v>
      </c>
      <c r="AD110">
        <f t="shared" si="25"/>
        <v>2041</v>
      </c>
      <c r="AE110">
        <f t="shared" si="25"/>
        <v>2042</v>
      </c>
      <c r="AF110">
        <f t="shared" si="25"/>
        <v>2043</v>
      </c>
      <c r="AG110">
        <f t="shared" si="25"/>
        <v>2044</v>
      </c>
      <c r="AH110">
        <f t="shared" si="25"/>
        <v>2045</v>
      </c>
      <c r="AI110">
        <f t="shared" si="25"/>
        <v>2046</v>
      </c>
      <c r="AJ110">
        <f t="shared" si="25"/>
        <v>2047</v>
      </c>
      <c r="AK110">
        <f t="shared" si="25"/>
        <v>2048</v>
      </c>
      <c r="AL110">
        <f t="shared" si="25"/>
        <v>2049</v>
      </c>
      <c r="AM110">
        <f t="shared" si="25"/>
        <v>2050</v>
      </c>
    </row>
    <row r="111" spans="1:39" x14ac:dyDescent="0.25">
      <c r="A111" t="s">
        <v>211</v>
      </c>
      <c r="B111">
        <f>B90*(1-B$108)</f>
        <v>0</v>
      </c>
      <c r="C111">
        <f t="shared" ref="C111:AM116" si="26">C90*(1-C$108)</f>
        <v>0</v>
      </c>
      <c r="D111">
        <f t="shared" si="26"/>
        <v>0</v>
      </c>
      <c r="E111">
        <f t="shared" si="26"/>
        <v>0</v>
      </c>
      <c r="F111">
        <f t="shared" si="26"/>
        <v>0</v>
      </c>
      <c r="G111">
        <f t="shared" si="26"/>
        <v>0</v>
      </c>
      <c r="H111">
        <f t="shared" si="26"/>
        <v>0</v>
      </c>
      <c r="I111">
        <f t="shared" si="26"/>
        <v>0</v>
      </c>
      <c r="J111">
        <f t="shared" si="26"/>
        <v>0</v>
      </c>
      <c r="K111">
        <f t="shared" si="26"/>
        <v>0</v>
      </c>
      <c r="L111">
        <f t="shared" si="26"/>
        <v>0</v>
      </c>
      <c r="M111">
        <f t="shared" si="26"/>
        <v>0</v>
      </c>
      <c r="N111">
        <f t="shared" si="26"/>
        <v>0</v>
      </c>
      <c r="O111">
        <f t="shared" si="26"/>
        <v>0</v>
      </c>
      <c r="P111">
        <f t="shared" si="26"/>
        <v>0</v>
      </c>
      <c r="Q111">
        <f t="shared" si="26"/>
        <v>0</v>
      </c>
      <c r="R111">
        <f t="shared" si="26"/>
        <v>0</v>
      </c>
      <c r="S111">
        <f t="shared" si="26"/>
        <v>0</v>
      </c>
      <c r="T111">
        <f t="shared" si="26"/>
        <v>0</v>
      </c>
      <c r="U111">
        <f t="shared" si="26"/>
        <v>0</v>
      </c>
      <c r="V111">
        <f t="shared" si="26"/>
        <v>0</v>
      </c>
      <c r="W111">
        <f t="shared" si="26"/>
        <v>0</v>
      </c>
      <c r="X111">
        <f t="shared" si="26"/>
        <v>0</v>
      </c>
      <c r="Y111">
        <f t="shared" si="26"/>
        <v>0</v>
      </c>
      <c r="Z111">
        <f t="shared" si="26"/>
        <v>0</v>
      </c>
      <c r="AA111">
        <f t="shared" si="26"/>
        <v>0</v>
      </c>
      <c r="AB111">
        <f t="shared" si="26"/>
        <v>0</v>
      </c>
      <c r="AC111">
        <f t="shared" si="26"/>
        <v>0</v>
      </c>
      <c r="AD111">
        <f t="shared" si="26"/>
        <v>0</v>
      </c>
      <c r="AE111">
        <f t="shared" si="26"/>
        <v>1.6655880910276668</v>
      </c>
      <c r="AF111">
        <f t="shared" si="26"/>
        <v>3.3311761820553336</v>
      </c>
      <c r="AG111">
        <f t="shared" si="26"/>
        <v>4.9967642730829995</v>
      </c>
      <c r="AH111">
        <f t="shared" si="26"/>
        <v>6.6623523641106672</v>
      </c>
      <c r="AI111">
        <f t="shared" si="26"/>
        <v>8.3279404551383323</v>
      </c>
      <c r="AJ111">
        <f t="shared" si="26"/>
        <v>9.9935285461659991</v>
      </c>
      <c r="AK111">
        <f t="shared" si="26"/>
        <v>11.659116637193666</v>
      </c>
      <c r="AL111">
        <f t="shared" si="26"/>
        <v>13.324704728221334</v>
      </c>
      <c r="AM111">
        <f t="shared" si="26"/>
        <v>14.990292819248999</v>
      </c>
    </row>
    <row r="112" spans="1:39" x14ac:dyDescent="0.25">
      <c r="A112" t="s">
        <v>212</v>
      </c>
      <c r="B112">
        <f t="shared" ref="B112:Q116" si="27">B91*(1-B$108)</f>
        <v>14.786999999999978</v>
      </c>
      <c r="C112">
        <f t="shared" si="27"/>
        <v>20.204693903560614</v>
      </c>
      <c r="D112">
        <f t="shared" si="27"/>
        <v>25.622388203244618</v>
      </c>
      <c r="E112">
        <f t="shared" si="27"/>
        <v>31.040083091416168</v>
      </c>
      <c r="F112">
        <f t="shared" si="27"/>
        <v>36.457778754823437</v>
      </c>
      <c r="G112">
        <f t="shared" si="27"/>
        <v>41.875475373295373</v>
      </c>
      <c r="H112">
        <f t="shared" si="27"/>
        <v>47.293173118499297</v>
      </c>
      <c r="I112">
        <f t="shared" si="27"/>
        <v>52.710872152764367</v>
      </c>
      <c r="J112">
        <f t="shared" si="27"/>
        <v>58.128572627980965</v>
      </c>
      <c r="K112">
        <f t="shared" si="27"/>
        <v>63.546274684583871</v>
      </c>
      <c r="L112">
        <f t="shared" si="27"/>
        <v>68.963978450624367</v>
      </c>
      <c r="M112">
        <f t="shared" si="27"/>
        <v>74.381684040938737</v>
      </c>
      <c r="N112">
        <f t="shared" si="27"/>
        <v>79.79939155641658</v>
      </c>
      <c r="O112">
        <f t="shared" si="27"/>
        <v>85.217101083376463</v>
      </c>
      <c r="P112">
        <f t="shared" si="27"/>
        <v>90.634812693049298</v>
      </c>
      <c r="Q112">
        <f t="shared" si="27"/>
        <v>96.052526441174763</v>
      </c>
      <c r="R112">
        <f t="shared" si="26"/>
        <v>101.47024236771178</v>
      </c>
      <c r="S112">
        <f t="shared" si="26"/>
        <v>106.88796049666453</v>
      </c>
      <c r="T112">
        <f t="shared" si="26"/>
        <v>112.30568083602502</v>
      </c>
      <c r="U112">
        <f t="shared" si="26"/>
        <v>117.72340337783028</v>
      </c>
      <c r="V112">
        <f t="shared" si="26"/>
        <v>123.14112809833422</v>
      </c>
      <c r="W112">
        <f t="shared" si="26"/>
        <v>128.55885495829276</v>
      </c>
      <c r="X112">
        <f t="shared" si="26"/>
        <v>133.97658390335656</v>
      </c>
      <c r="Y112">
        <f t="shared" si="26"/>
        <v>139.39431486457127</v>
      </c>
      <c r="Z112">
        <f t="shared" si="26"/>
        <v>144.81204775897811</v>
      </c>
      <c r="AA112">
        <f t="shared" si="26"/>
        <v>150.22978249031138</v>
      </c>
      <c r="AB112">
        <f t="shared" si="26"/>
        <v>155.64751894978627</v>
      </c>
      <c r="AC112">
        <f t="shared" si="26"/>
        <v>161.06525701697191</v>
      </c>
      <c r="AD112">
        <f t="shared" si="26"/>
        <v>166.48299656074053</v>
      </c>
      <c r="AE112">
        <f t="shared" si="26"/>
        <v>171.90073744028754</v>
      </c>
      <c r="AF112">
        <f t="shared" si="26"/>
        <v>177.31847950621483</v>
      </c>
      <c r="AG112">
        <f t="shared" si="26"/>
        <v>182.73622260166556</v>
      </c>
      <c r="AH112">
        <f t="shared" si="26"/>
        <v>188.15396656350663</v>
      </c>
      <c r="AI112">
        <f t="shared" si="26"/>
        <v>193.57171122354779</v>
      </c>
      <c r="AJ112">
        <f t="shared" si="26"/>
        <v>198.98945640978619</v>
      </c>
      <c r="AK112">
        <f t="shared" si="26"/>
        <v>204.40720194767178</v>
      </c>
      <c r="AL112">
        <f t="shared" si="26"/>
        <v>209.82494766138109</v>
      </c>
      <c r="AM112">
        <f t="shared" si="26"/>
        <v>215.2426933750904</v>
      </c>
    </row>
    <row r="113" spans="1:39" x14ac:dyDescent="0.25">
      <c r="A113" t="s">
        <v>213</v>
      </c>
      <c r="B113">
        <f t="shared" si="27"/>
        <v>4.2779999999999996</v>
      </c>
      <c r="C113">
        <f t="shared" si="26"/>
        <v>7.1985207272449774</v>
      </c>
      <c r="D113">
        <f t="shared" si="26"/>
        <v>10.119042265803024</v>
      </c>
      <c r="E113">
        <f t="shared" si="26"/>
        <v>13.039565009660674</v>
      </c>
      <c r="F113">
        <f>F92*(1-F$108)</f>
        <v>15.960089341302321</v>
      </c>
      <c r="G113">
        <f t="shared" si="26"/>
        <v>18.880615629042108</v>
      </c>
      <c r="H113">
        <f t="shared" si="26"/>
        <v>21.801144224476893</v>
      </c>
      <c r="I113">
        <f t="shared" si="26"/>
        <v>24.721675460077783</v>
      </c>
      <c r="J113">
        <f t="shared" si="26"/>
        <v>27.642209646936568</v>
      </c>
      <c r="K113">
        <f t="shared" si="26"/>
        <v>30.562747072682047</v>
      </c>
      <c r="L113">
        <f t="shared" si="26"/>
        <v>33.48328799958017</v>
      </c>
      <c r="M113">
        <f t="shared" si="26"/>
        <v>36.403832662830219</v>
      </c>
      <c r="N113">
        <f t="shared" si="26"/>
        <v>39.324381269067899</v>
      </c>
      <c r="O113">
        <f t="shared" si="26"/>
        <v>42.244933995084629</v>
      </c>
      <c r="P113">
        <f t="shared" si="26"/>
        <v>45.165490986770706</v>
      </c>
      <c r="Q113">
        <f t="shared" si="26"/>
        <v>48.086052358288299</v>
      </c>
      <c r="R113">
        <f t="shared" si="26"/>
        <v>51.006618191478559</v>
      </c>
      <c r="S113">
        <f t="shared" si="26"/>
        <v>53.927188535505501</v>
      </c>
      <c r="T113">
        <f t="shared" si="26"/>
        <v>56.847763406737378</v>
      </c>
      <c r="U113">
        <f t="shared" si="26"/>
        <v>59.768342788864913</v>
      </c>
      <c r="V113">
        <f t="shared" si="26"/>
        <v>62.688926633253509</v>
      </c>
      <c r="W113">
        <f t="shared" si="26"/>
        <v>65.609514859525589</v>
      </c>
      <c r="X113">
        <f t="shared" si="26"/>
        <v>68.530107356366983</v>
      </c>
      <c r="Y113">
        <f t="shared" si="26"/>
        <v>71.450703982549911</v>
      </c>
      <c r="Z113">
        <f t="shared" si="26"/>
        <v>74.371304568163964</v>
      </c>
      <c r="AA113">
        <f t="shared" si="26"/>
        <v>77.291908916044278</v>
      </c>
      <c r="AB113">
        <f t="shared" si="26"/>
        <v>80.212516803385654</v>
      </c>
      <c r="AC113">
        <f t="shared" si="26"/>
        <v>83.133127983529334</v>
      </c>
      <c r="AD113">
        <f t="shared" si="26"/>
        <v>86.053742187908583</v>
      </c>
      <c r="AE113">
        <f t="shared" si="26"/>
        <v>88.974359128137735</v>
      </c>
      <c r="AF113">
        <f t="shared" si="26"/>
        <v>91.894978498228909</v>
      </c>
      <c r="AG113">
        <f t="shared" si="26"/>
        <v>94.81559997691916</v>
      </c>
      <c r="AH113">
        <f t="shared" si="26"/>
        <v>97.736223230090971</v>
      </c>
      <c r="AI113">
        <f t="shared" si="26"/>
        <v>100.65684791326767</v>
      </c>
      <c r="AJ113">
        <f t="shared" si="26"/>
        <v>103.57747367416543</v>
      </c>
      <c r="AK113">
        <f t="shared" si="26"/>
        <v>106.498100155283</v>
      </c>
      <c r="AL113">
        <f t="shared" si="26"/>
        <v>109.41872699651049</v>
      </c>
      <c r="AM113">
        <f t="shared" si="26"/>
        <v>112.33935383773799</v>
      </c>
    </row>
    <row r="114" spans="1:39" x14ac:dyDescent="0.25">
      <c r="A114" t="s">
        <v>214</v>
      </c>
      <c r="B114">
        <f t="shared" si="27"/>
        <v>64.113902400000001</v>
      </c>
      <c r="C114">
        <f t="shared" si="26"/>
        <v>64.528213181556069</v>
      </c>
      <c r="D114">
        <f t="shared" si="26"/>
        <v>64.942524249994875</v>
      </c>
      <c r="E114">
        <f t="shared" si="26"/>
        <v>65.356835744631269</v>
      </c>
      <c r="F114">
        <f t="shared" si="26"/>
        <v>65.771147800712882</v>
      </c>
      <c r="G114">
        <f t="shared" si="26"/>
        <v>66.185460548476712</v>
      </c>
      <c r="H114">
        <f t="shared" si="26"/>
        <v>66.599774112248468</v>
      </c>
      <c r="I114">
        <f t="shared" si="26"/>
        <v>67.014088609590928</v>
      </c>
      <c r="J114">
        <f t="shared" si="26"/>
        <v>67.428404150507149</v>
      </c>
      <c r="K114">
        <f t="shared" si="26"/>
        <v>67.842720836703492</v>
      </c>
      <c r="L114">
        <f t="shared" si="26"/>
        <v>68.257038760918007</v>
      </c>
      <c r="M114">
        <f t="shared" si="26"/>
        <v>68.67135800631786</v>
      </c>
      <c r="N114">
        <f t="shared" si="26"/>
        <v>69.085678645970049</v>
      </c>
      <c r="O114">
        <f t="shared" si="26"/>
        <v>69.500000742388607</v>
      </c>
      <c r="P114">
        <f t="shared" si="26"/>
        <v>69.914324347160743</v>
      </c>
      <c r="Q114">
        <f t="shared" si="26"/>
        <v>70.328649500654549</v>
      </c>
      <c r="R114">
        <f t="shared" si="26"/>
        <v>70.742976231809308</v>
      </c>
      <c r="S114">
        <f t="shared" si="26"/>
        <v>71.157304558009585</v>
      </c>
      <c r="T114">
        <f t="shared" si="26"/>
        <v>71.571634485043191</v>
      </c>
      <c r="U114">
        <f t="shared" si="26"/>
        <v>71.985966007143148</v>
      </c>
      <c r="V114">
        <f t="shared" si="26"/>
        <v>72.400299107112133</v>
      </c>
      <c r="W114">
        <f t="shared" si="26"/>
        <v>72.81463375652838</v>
      </c>
      <c r="X114">
        <f t="shared" si="26"/>
        <v>73.228969916030849</v>
      </c>
      <c r="Y114">
        <f t="shared" si="26"/>
        <v>73.643307535681004</v>
      </c>
      <c r="Z114">
        <f t="shared" si="26"/>
        <v>74.057646555397966</v>
      </c>
      <c r="AA114">
        <f t="shared" si="26"/>
        <v>74.471986905463652</v>
      </c>
      <c r="AB114">
        <f t="shared" si="26"/>
        <v>74.886328507093495</v>
      </c>
      <c r="AC114">
        <f t="shared" si="26"/>
        <v>75.300671273068161</v>
      </c>
      <c r="AD114">
        <f t="shared" si="26"/>
        <v>75.715015108421696</v>
      </c>
      <c r="AE114">
        <f t="shared" si="26"/>
        <v>76.129359911180032</v>
      </c>
      <c r="AF114">
        <f t="shared" si="26"/>
        <v>76.543705573144933</v>
      </c>
      <c r="AG114">
        <f t="shared" si="26"/>
        <v>76.958051980716832</v>
      </c>
      <c r="AH114">
        <f t="shared" si="26"/>
        <v>77.372399015750787</v>
      </c>
      <c r="AI114">
        <f t="shared" si="26"/>
        <v>77.786746556438814</v>
      </c>
      <c r="AJ114">
        <f t="shared" si="26"/>
        <v>78.201094478212255</v>
      </c>
      <c r="AK114">
        <f t="shared" si="26"/>
        <v>78.615442654657613</v>
      </c>
      <c r="AL114">
        <f t="shared" si="26"/>
        <v>79.029790958438909</v>
      </c>
      <c r="AM114">
        <f t="shared" si="26"/>
        <v>79.444139262220205</v>
      </c>
    </row>
    <row r="115" spans="1:39" x14ac:dyDescent="0.25">
      <c r="A115" t="s">
        <v>215</v>
      </c>
      <c r="B115">
        <f t="shared" si="27"/>
        <v>4.9778479942500011</v>
      </c>
      <c r="C115">
        <f t="shared" si="26"/>
        <v>5.7550599791022261</v>
      </c>
      <c r="D115">
        <f t="shared" si="26"/>
        <v>6.532271975555541</v>
      </c>
      <c r="E115">
        <f t="shared" si="26"/>
        <v>7.309483989243617</v>
      </c>
      <c r="F115">
        <f t="shared" si="26"/>
        <v>8.086696025635657</v>
      </c>
      <c r="G115">
        <f t="shared" si="26"/>
        <v>8.8639080899982421</v>
      </c>
      <c r="H115">
        <f t="shared" si="26"/>
        <v>9.6411201873589061</v>
      </c>
      <c r="I115">
        <f t="shared" si="26"/>
        <v>10.418332322471707</v>
      </c>
      <c r="J115">
        <f t="shared" si="26"/>
        <v>11.19554449978499</v>
      </c>
      <c r="K115">
        <f t="shared" si="26"/>
        <v>11.972756723411607</v>
      </c>
      <c r="L115">
        <f t="shared" si="26"/>
        <v>12.749968997101737</v>
      </c>
      <c r="M115">
        <f t="shared" si="26"/>
        <v>13.527181324218526</v>
      </c>
      <c r="N115">
        <f t="shared" si="26"/>
        <v>14.304393707716697</v>
      </c>
      <c r="O115">
        <f t="shared" si="26"/>
        <v>15.081606150124211</v>
      </c>
      <c r="P115">
        <f t="shared" si="26"/>
        <v>15.858818653527177</v>
      </c>
      <c r="Q115">
        <f t="shared" si="26"/>
        <v>16.636031219558017</v>
      </c>
      <c r="R115">
        <f t="shared" si="26"/>
        <v>17.413243849386998</v>
      </c>
      <c r="S115">
        <f t="shared" si="26"/>
        <v>18.190456543717112</v>
      </c>
      <c r="T115">
        <f t="shared" si="26"/>
        <v>18.967669302782411</v>
      </c>
      <c r="U115">
        <f t="shared" si="26"/>
        <v>19.744882126349694</v>
      </c>
      <c r="V115">
        <f t="shared" si="26"/>
        <v>20.522095013723526</v>
      </c>
      <c r="W115">
        <f t="shared" si="26"/>
        <v>21.299307963754572</v>
      </c>
      <c r="X115">
        <f t="shared" si="26"/>
        <v>22.076520974851139</v>
      </c>
      <c r="Y115">
        <f t="shared" si="26"/>
        <v>22.853734044993786</v>
      </c>
      <c r="Z115">
        <f t="shared" si="26"/>
        <v>23.630947171752936</v>
      </c>
      <c r="AA115">
        <f t="shared" si="26"/>
        <v>24.408160352309306</v>
      </c>
      <c r="AB115">
        <f t="shared" si="26"/>
        <v>25.185373583476959</v>
      </c>
      <c r="AC115">
        <f t="shared" si="26"/>
        <v>25.962586861728902</v>
      </c>
      <c r="AD115">
        <f t="shared" si="26"/>
        <v>26.739800183224844</v>
      </c>
      <c r="AE115">
        <f t="shared" si="26"/>
        <v>27.517013543841113</v>
      </c>
      <c r="AF115">
        <f t="shared" si="26"/>
        <v>28.29422693920235</v>
      </c>
      <c r="AG115">
        <f t="shared" si="26"/>
        <v>29.071440364714764</v>
      </c>
      <c r="AH115">
        <f t="shared" si="26"/>
        <v>29.848653815600755</v>
      </c>
      <c r="AI115">
        <f t="shared" si="26"/>
        <v>30.625867286934607</v>
      </c>
      <c r="AJ115">
        <f t="shared" si="26"/>
        <v>31.403080773678958</v>
      </c>
      <c r="AK115">
        <f t="shared" si="26"/>
        <v>32.180294270721831</v>
      </c>
      <c r="AL115">
        <f t="shared" si="26"/>
        <v>32.957507772913992</v>
      </c>
      <c r="AM115">
        <f t="shared" si="26"/>
        <v>33.734721275106132</v>
      </c>
    </row>
    <row r="116" spans="1:39" x14ac:dyDescent="0.25">
      <c r="A116" s="136" t="s">
        <v>241</v>
      </c>
      <c r="B116">
        <f t="shared" si="27"/>
        <v>417.01199999999994</v>
      </c>
      <c r="C116">
        <f t="shared" si="26"/>
        <v>405.7414790427332</v>
      </c>
      <c r="D116">
        <f t="shared" si="26"/>
        <v>394.47095702626058</v>
      </c>
      <c r="E116">
        <f t="shared" si="26"/>
        <v>383.20043343621467</v>
      </c>
      <c r="F116">
        <f t="shared" si="26"/>
        <v>371.92990777324491</v>
      </c>
      <c r="G116">
        <f t="shared" si="26"/>
        <v>360.6593795565006</v>
      </c>
      <c r="H116">
        <f t="shared" si="26"/>
        <v>349.38884832695601</v>
      </c>
      <c r="I116">
        <f t="shared" si="26"/>
        <v>338.11831365055502</v>
      </c>
      <c r="J116">
        <f t="shared" si="26"/>
        <v>326.84777512115329</v>
      </c>
      <c r="K116">
        <f t="shared" si="26"/>
        <v>315.57723236323847</v>
      </c>
      <c r="L116">
        <f t="shared" si="26"/>
        <v>304.30668503441052</v>
      </c>
      <c r="M116">
        <f t="shared" si="26"/>
        <v>293.03613282760591</v>
      </c>
      <c r="N116">
        <f t="shared" si="26"/>
        <v>281.76557547305259</v>
      </c>
      <c r="O116">
        <f t="shared" si="26"/>
        <v>270.49501273994122</v>
      </c>
      <c r="P116">
        <f t="shared" si="26"/>
        <v>259.22444443780546</v>
      </c>
      <c r="Q116">
        <f t="shared" si="26"/>
        <v>247.95387041760154</v>
      </c>
      <c r="R116">
        <f t="shared" si="26"/>
        <v>236.68329057248201</v>
      </c>
      <c r="S116">
        <f t="shared" si="26"/>
        <v>225.41270483826102</v>
      </c>
      <c r="T116">
        <f t="shared" si="26"/>
        <v>214.14211319356914</v>
      </c>
      <c r="U116">
        <f t="shared" si="26"/>
        <v>202.87151565969893</v>
      </c>
      <c r="V116">
        <f t="shared" si="26"/>
        <v>191.6009123001449</v>
      </c>
      <c r="W116">
        <f t="shared" si="26"/>
        <v>180.33030321984367</v>
      </c>
      <c r="X116">
        <f t="shared" si="26"/>
        <v>169.05968856412093</v>
      </c>
      <c r="Y116">
        <f t="shared" si="26"/>
        <v>157.78906851735601</v>
      </c>
      <c r="Z116">
        <f t="shared" si="26"/>
        <v>146.51844330137456</v>
      </c>
      <c r="AA116">
        <f t="shared" si="26"/>
        <v>135.24781317358426</v>
      </c>
      <c r="AB116">
        <f t="shared" si="26"/>
        <v>123.97717842486735</v>
      </c>
      <c r="AC116">
        <f t="shared" si="26"/>
        <v>112.70653937724805</v>
      </c>
      <c r="AD116">
        <f t="shared" si="26"/>
        <v>101.43589638135235</v>
      </c>
      <c r="AE116">
        <f t="shared" si="26"/>
        <v>90.165249813680788</v>
      </c>
      <c r="AF116">
        <f t="shared" si="26"/>
        <v>78.894600073714415</v>
      </c>
      <c r="AG116">
        <f t="shared" si="26"/>
        <v>67.623947580876518</v>
      </c>
      <c r="AH116">
        <f t="shared" si="26"/>
        <v>56.353292771372615</v>
      </c>
      <c r="AI116">
        <f t="shared" si="26"/>
        <v>45.082636094932624</v>
      </c>
      <c r="AJ116">
        <f t="shared" si="26"/>
        <v>33.811978011479042</v>
      </c>
      <c r="AK116">
        <f t="shared" si="26"/>
        <v>22.541318987745889</v>
      </c>
      <c r="AL116">
        <f t="shared" si="26"/>
        <v>11.270659493872945</v>
      </c>
      <c r="AM116">
        <f t="shared" si="26"/>
        <v>0</v>
      </c>
    </row>
    <row r="117" spans="1:39" x14ac:dyDescent="0.25">
      <c r="A117" t="s">
        <v>242</v>
      </c>
      <c r="B117">
        <f>SUM(B111:B116)</f>
        <v>505.16875039424991</v>
      </c>
      <c r="C117">
        <f t="shared" ref="C117:AK117" si="28">SUM(C111:C116)</f>
        <v>503.42796683419709</v>
      </c>
      <c r="D117">
        <f t="shared" si="28"/>
        <v>501.68718372085863</v>
      </c>
      <c r="E117">
        <f t="shared" si="28"/>
        <v>499.94640127116639</v>
      </c>
      <c r="F117">
        <f t="shared" si="28"/>
        <v>498.20561969571918</v>
      </c>
      <c r="G117">
        <f t="shared" si="28"/>
        <v>496.46483919731304</v>
      </c>
      <c r="H117">
        <f t="shared" si="28"/>
        <v>494.72405996953955</v>
      </c>
      <c r="I117">
        <f t="shared" si="28"/>
        <v>492.98328219545982</v>
      </c>
      <c r="J117">
        <f t="shared" si="28"/>
        <v>491.24250604636296</v>
      </c>
      <c r="K117">
        <f t="shared" si="28"/>
        <v>489.50173168061951</v>
      </c>
      <c r="L117">
        <f t="shared" si="28"/>
        <v>487.76095924263484</v>
      </c>
      <c r="M117">
        <f t="shared" si="28"/>
        <v>486.02018886191127</v>
      </c>
      <c r="N117">
        <f t="shared" si="28"/>
        <v>484.27942065222385</v>
      </c>
      <c r="O117">
        <f t="shared" si="28"/>
        <v>482.53865471091513</v>
      </c>
      <c r="P117">
        <f t="shared" si="28"/>
        <v>480.79789111831337</v>
      </c>
      <c r="Q117">
        <f t="shared" si="28"/>
        <v>479.05712993727718</v>
      </c>
      <c r="R117">
        <f t="shared" si="28"/>
        <v>477.3163712128686</v>
      </c>
      <c r="S117">
        <f t="shared" si="28"/>
        <v>475.57561497215772</v>
      </c>
      <c r="T117">
        <f t="shared" si="28"/>
        <v>473.83486122415707</v>
      </c>
      <c r="U117">
        <f t="shared" si="28"/>
        <v>472.09410995988696</v>
      </c>
      <c r="V117">
        <f t="shared" si="28"/>
        <v>470.35336115256825</v>
      </c>
      <c r="W117">
        <f t="shared" si="28"/>
        <v>468.61261475794504</v>
      </c>
      <c r="X117">
        <f t="shared" si="28"/>
        <v>466.87187071472647</v>
      </c>
      <c r="Y117">
        <f t="shared" si="28"/>
        <v>465.131128945152</v>
      </c>
      <c r="Z117">
        <f t="shared" si="28"/>
        <v>463.39038935566759</v>
      </c>
      <c r="AA117">
        <f t="shared" si="28"/>
        <v>461.6496518377129</v>
      </c>
      <c r="AB117">
        <f t="shared" si="28"/>
        <v>459.90891626860974</v>
      </c>
      <c r="AC117">
        <f t="shared" si="28"/>
        <v>458.16818251254631</v>
      </c>
      <c r="AD117">
        <f t="shared" si="28"/>
        <v>456.42745042164802</v>
      </c>
      <c r="AE117">
        <f t="shared" si="28"/>
        <v>456.35230792815491</v>
      </c>
      <c r="AF117">
        <f t="shared" si="28"/>
        <v>456.27716677256075</v>
      </c>
      <c r="AG117">
        <f t="shared" si="28"/>
        <v>456.20202677797585</v>
      </c>
      <c r="AH117">
        <f t="shared" si="28"/>
        <v>456.1268877604324</v>
      </c>
      <c r="AI117">
        <f t="shared" si="28"/>
        <v>456.05174953025988</v>
      </c>
      <c r="AJ117">
        <f t="shared" si="28"/>
        <v>455.97661189348787</v>
      </c>
      <c r="AK117">
        <f t="shared" si="28"/>
        <v>455.90147465327379</v>
      </c>
      <c r="AL117">
        <f>SUM(AL111:AL116)</f>
        <v>455.82633761133872</v>
      </c>
      <c r="AM117">
        <f t="shared" ref="AM117" si="29">SUM(AM111:AM116)</f>
        <v>455.75120056940375</v>
      </c>
    </row>
    <row r="120" spans="1:39" x14ac:dyDescent="0.25">
      <c r="B120" s="69"/>
      <c r="C120" s="69"/>
      <c r="D120" s="69"/>
      <c r="E120" s="69"/>
      <c r="F120" s="69"/>
      <c r="G120" s="69"/>
      <c r="H120" s="69"/>
      <c r="I120" s="69"/>
      <c r="J120" s="69"/>
      <c r="K120" s="69"/>
      <c r="L120" s="69"/>
      <c r="M120" s="69"/>
    </row>
    <row r="121" spans="1:39" x14ac:dyDescent="0.25">
      <c r="B121" s="69"/>
      <c r="C121" s="69"/>
      <c r="D121" s="69"/>
      <c r="E121" s="69"/>
      <c r="F121" s="69"/>
      <c r="G121" s="69"/>
      <c r="H121" s="69"/>
      <c r="I121" s="69"/>
      <c r="J121" s="69"/>
      <c r="K121" s="69"/>
      <c r="L121" s="69"/>
      <c r="M121" s="69"/>
    </row>
    <row r="122" spans="1:39" x14ac:dyDescent="0.25">
      <c r="B122" s="69"/>
      <c r="C122" s="69"/>
      <c r="D122" s="69"/>
      <c r="E122" s="69"/>
      <c r="F122" s="69"/>
      <c r="G122" s="69"/>
      <c r="H122" s="69"/>
      <c r="I122" s="69"/>
      <c r="J122" s="69"/>
      <c r="K122" s="69"/>
      <c r="L122" s="69"/>
      <c r="M122" s="69"/>
    </row>
  </sheetData>
  <mergeCells count="1">
    <mergeCell ref="A87:H87"/>
  </mergeCells>
  <conditionalFormatting sqref="B21:AM21">
    <cfRule type="cellIs" dxfId="1" priority="2" operator="equal">
      <formula>0</formula>
    </cfRule>
  </conditionalFormatting>
  <conditionalFormatting sqref="B48:AM48">
    <cfRule type="cellIs" dxfId="0" priority="1" operator="equal">
      <formula>0</formula>
    </cfRule>
  </conditionalFormatting>
  <pageMargins left="0.7" right="0.7" top="0.75" bottom="0.75" header="0.3" footer="0.3"/>
  <pageSetup paperSize="9" orientation="portrait" verticalDpi="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M19"/>
  <sheetViews>
    <sheetView topLeftCell="Q1" workbookViewId="0">
      <selection activeCell="T21" sqref="T21"/>
    </sheetView>
  </sheetViews>
  <sheetFormatPr baseColWidth="10" defaultColWidth="9.140625" defaultRowHeight="15" x14ac:dyDescent="0.25"/>
  <cols>
    <col min="1" max="1" width="30.140625" bestFit="1" customWidth="1"/>
    <col min="35" max="35" width="12" bestFit="1" customWidth="1"/>
  </cols>
  <sheetData>
    <row r="1" spans="1:39" ht="15.75" thickBot="1" x14ac:dyDescent="0.3"/>
    <row r="2" spans="1:39" x14ac:dyDescent="0.25">
      <c r="B2" s="93">
        <v>2013</v>
      </c>
      <c r="C2" s="93">
        <v>2014</v>
      </c>
      <c r="D2" s="93">
        <v>2015</v>
      </c>
      <c r="E2" s="93">
        <v>2016</v>
      </c>
      <c r="F2" s="93">
        <v>2017</v>
      </c>
      <c r="G2" s="93">
        <v>2018</v>
      </c>
      <c r="H2" s="93">
        <v>2019</v>
      </c>
      <c r="I2" s="93">
        <v>2020</v>
      </c>
      <c r="J2" s="93">
        <v>2021</v>
      </c>
      <c r="K2" s="93">
        <v>2022</v>
      </c>
      <c r="L2" s="93">
        <v>2023</v>
      </c>
      <c r="M2" s="93">
        <v>2024</v>
      </c>
      <c r="N2" s="93">
        <v>2025</v>
      </c>
      <c r="O2" s="93">
        <v>2026</v>
      </c>
      <c r="P2" s="93">
        <v>2027</v>
      </c>
      <c r="Q2" s="93">
        <v>2028</v>
      </c>
      <c r="R2" s="93">
        <v>2029</v>
      </c>
      <c r="S2" s="93">
        <v>2030</v>
      </c>
      <c r="T2" s="93">
        <v>2031</v>
      </c>
      <c r="U2" s="93">
        <v>2032</v>
      </c>
      <c r="V2" s="93">
        <v>2033</v>
      </c>
      <c r="W2" s="93">
        <v>2034</v>
      </c>
      <c r="X2" s="93">
        <v>2035</v>
      </c>
      <c r="Y2" s="93">
        <v>2036</v>
      </c>
      <c r="Z2" s="93">
        <v>2037</v>
      </c>
      <c r="AA2" s="93">
        <v>2038</v>
      </c>
      <c r="AB2" s="93">
        <v>2039</v>
      </c>
      <c r="AC2" s="93">
        <v>2040</v>
      </c>
      <c r="AD2" s="93">
        <v>2041</v>
      </c>
      <c r="AE2" s="93">
        <v>2042</v>
      </c>
      <c r="AF2" s="93">
        <v>2043</v>
      </c>
      <c r="AG2" s="93">
        <v>2044</v>
      </c>
      <c r="AH2" s="93">
        <v>2045</v>
      </c>
      <c r="AI2" s="93">
        <v>2046</v>
      </c>
      <c r="AJ2" s="93">
        <v>2047</v>
      </c>
      <c r="AK2" s="93">
        <v>2048</v>
      </c>
      <c r="AL2" s="93">
        <v>2049</v>
      </c>
      <c r="AM2" s="93">
        <v>2050</v>
      </c>
    </row>
    <row r="3" spans="1:39" x14ac:dyDescent="0.25">
      <c r="A3" s="3" t="s">
        <v>158</v>
      </c>
      <c r="B3" s="94" t="s">
        <v>159</v>
      </c>
      <c r="AM3" s="95" t="s">
        <v>160</v>
      </c>
    </row>
    <row r="4" spans="1:39" x14ac:dyDescent="0.25">
      <c r="A4" t="s">
        <v>161</v>
      </c>
      <c r="B4" s="96">
        <v>15.9</v>
      </c>
      <c r="C4" s="100">
        <v>18.900801939033851</v>
      </c>
      <c r="D4" s="100">
        <v>21.901601149389393</v>
      </c>
      <c r="E4" s="100">
        <v>24.902396305977021</v>
      </c>
      <c r="F4" s="100">
        <v>27.903186122392118</v>
      </c>
      <c r="G4" s="100">
        <v>30.903969359888706</v>
      </c>
      <c r="H4" s="100">
        <v>33.904744835945806</v>
      </c>
      <c r="I4" s="100">
        <v>36.905511432367788</v>
      </c>
      <c r="J4" s="100">
        <v>39.906268102863891</v>
      </c>
      <c r="K4" s="100">
        <v>42.907013880056006</v>
      </c>
      <c r="L4" s="100">
        <v>45.907747881868595</v>
      </c>
      <c r="M4" s="100">
        <v>48.908469317259105</v>
      </c>
      <c r="N4" s="100">
        <v>51.90917749125245</v>
      </c>
      <c r="O4" s="100">
        <v>54.909871809248429</v>
      </c>
      <c r="P4" s="100">
        <v>57.910551780576156</v>
      </c>
      <c r="Q4" s="100">
        <v>60.911217021275576</v>
      </c>
      <c r="R4" s="100">
        <v>63.911867256091419</v>
      </c>
      <c r="S4" s="100">
        <v>66.912502319671049</v>
      </c>
      <c r="T4" s="100">
        <v>69.913122156963283</v>
      </c>
      <c r="U4" s="100">
        <v>72.913726822820962</v>
      </c>
      <c r="V4" s="100">
        <v>75.914316480816126</v>
      </c>
      <c r="W4" s="100">
        <v>78.914891401281579</v>
      </c>
      <c r="X4" s="100">
        <v>81.915451958598851</v>
      </c>
      <c r="Y4" s="100">
        <v>84.915998627757332</v>
      </c>
      <c r="Z4" s="100">
        <v>87.916531980214501</v>
      </c>
      <c r="AA4" s="100">
        <v>90.917052679092222</v>
      </c>
      <c r="AB4" s="100">
        <v>93.91756147374825</v>
      </c>
      <c r="AC4" s="100">
        <v>96.918059193766652</v>
      </c>
      <c r="AD4" s="100">
        <v>99.918546742414321</v>
      </c>
      <c r="AE4" s="100">
        <v>102.91902508961485</v>
      </c>
      <c r="AF4" s="100">
        <v>105.91949526449325</v>
      </c>
      <c r="AG4" s="100">
        <v>108.91995834754874</v>
      </c>
      <c r="AH4" s="100">
        <v>111.92041546251428</v>
      </c>
      <c r="AI4" s="100">
        <v>114.92086776796364</v>
      </c>
      <c r="AJ4" s="100">
        <v>117.92131644872833</v>
      </c>
      <c r="AK4" s="100">
        <v>120.9217627071874</v>
      </c>
      <c r="AL4" s="100">
        <v>123.92220775449366</v>
      </c>
      <c r="AM4" s="101">
        <v>126.9226528017999</v>
      </c>
    </row>
    <row r="5" spans="1:39" x14ac:dyDescent="0.25">
      <c r="A5" t="s">
        <v>162</v>
      </c>
      <c r="B5" s="96">
        <v>0</v>
      </c>
      <c r="C5" s="100">
        <v>2.8245956292411187</v>
      </c>
      <c r="D5" s="100">
        <v>5.6491955601933679</v>
      </c>
      <c r="E5" s="100">
        <v>8.4738018818361169</v>
      </c>
      <c r="F5" s="100">
        <v>11.298416622162563</v>
      </c>
      <c r="G5" s="100">
        <v>14.12304173403294</v>
      </c>
      <c r="H5" s="100">
        <v>16.947679081669815</v>
      </c>
      <c r="I5" s="100">
        <v>19.772330427887997</v>
      </c>
      <c r="J5" s="100">
        <v>22.596997422145634</v>
      </c>
      <c r="K5" s="100">
        <v>25.421681589496487</v>
      </c>
      <c r="L5" s="100">
        <v>28.246384320516416</v>
      </c>
      <c r="M5" s="100">
        <v>31.071106862269453</v>
      </c>
      <c r="N5" s="100">
        <v>33.895850310371003</v>
      </c>
      <c r="O5" s="100">
        <v>36.72061560219737</v>
      </c>
      <c r="P5" s="100">
        <v>39.545403511282146</v>
      </c>
      <c r="Q5" s="100">
        <v>42.370214642931316</v>
      </c>
      <c r="R5" s="100">
        <v>45.195049431079738</v>
      </c>
      <c r="S5" s="100">
        <v>48.01990813640279</v>
      </c>
      <c r="T5" s="100">
        <v>50.844790845687669</v>
      </c>
      <c r="U5" s="100">
        <v>53.669697472459838</v>
      </c>
      <c r="V5" s="100">
        <v>56.494627758851024</v>
      </c>
      <c r="W5" s="100">
        <v>59.319581278686542</v>
      </c>
      <c r="X5" s="100">
        <v>62.144557441760782</v>
      </c>
      <c r="Y5" s="100">
        <v>64.96955549926173</v>
      </c>
      <c r="Z5" s="100">
        <v>67.79457455029717</v>
      </c>
      <c r="AA5" s="100">
        <v>70.619613549467701</v>
      </c>
      <c r="AB5" s="100">
        <v>73.444671315424614</v>
      </c>
      <c r="AC5" s="100">
        <v>76.269746540343903</v>
      </c>
      <c r="AD5" s="100">
        <v>79.094837800241891</v>
      </c>
      <c r="AE5" s="100">
        <v>81.919943566051955</v>
      </c>
      <c r="AF5" s="100">
        <v>84.74506221537743</v>
      </c>
      <c r="AG5" s="100">
        <v>87.57019204483116</v>
      </c>
      <c r="AH5" s="100">
        <v>90.395331282868852</v>
      </c>
      <c r="AI5" s="100">
        <v>93.220478103020284</v>
      </c>
      <c r="AJ5" s="100">
        <v>96.045630637420373</v>
      </c>
      <c r="AK5" s="100">
        <v>98.870786990540708</v>
      </c>
      <c r="AL5" s="100">
        <v>101.69594525302115</v>
      </c>
      <c r="AM5" s="101">
        <v>104.52110351550159</v>
      </c>
    </row>
    <row r="6" spans="1:39" x14ac:dyDescent="0.25">
      <c r="A6" t="s">
        <v>163</v>
      </c>
      <c r="B6" s="96">
        <v>4.5999999999999996</v>
      </c>
      <c r="C6" s="100">
        <v>7.740181534904556</v>
      </c>
      <c r="D6" s="100">
        <v>10.880366291586721</v>
      </c>
      <c r="E6" s="100">
        <v>14.02055583459296</v>
      </c>
      <c r="F6" s="100">
        <v>17.160751682793993</v>
      </c>
      <c r="G6" s="100">
        <v>20.300955298789514</v>
      </c>
      <c r="H6" s="100">
        <v>23.441168078793801</v>
      </c>
      <c r="I6" s="100">
        <v>26.581391343071544</v>
      </c>
      <c r="J6" s="100">
        <v>29.721626326988655</v>
      </c>
      <c r="K6" s="100">
        <v>32.861874172738069</v>
      </c>
      <c r="L6" s="100">
        <v>36.002135921795158</v>
      </c>
      <c r="M6" s="100">
        <v>39.142412508151722</v>
      </c>
      <c r="N6" s="100">
        <v>42.28270475237175</v>
      </c>
      <c r="O6" s="100">
        <v>45.423013356505621</v>
      </c>
      <c r="P6" s="100">
        <v>48.563338899893317</v>
      </c>
      <c r="Q6" s="100">
        <v>51.703681835880303</v>
      </c>
      <c r="R6" s="100">
        <v>54.844042489463206</v>
      </c>
      <c r="S6" s="100">
        <v>57.984421055875529</v>
      </c>
      <c r="T6" s="100">
        <v>61.124817600116756</v>
      </c>
      <c r="U6" s="100">
        <v>64.265232057421571</v>
      </c>
      <c r="V6" s="100">
        <v>67.405664234658857</v>
      </c>
      <c r="W6" s="100">
        <v>70.546113812643995</v>
      </c>
      <c r="X6" s="100">
        <v>73.686580349340971</v>
      </c>
      <c r="Y6" s="100">
        <v>76.827063283925099</v>
      </c>
      <c r="Z6" s="100">
        <v>79.967561941670851</v>
      </c>
      <c r="AA6" s="100">
        <v>83.108075539623655</v>
      </c>
      <c r="AB6" s="100">
        <v>86.248603193009345</v>
      </c>
      <c r="AC6" s="100">
        <v>89.389143922329794</v>
      </c>
      <c r="AD6" s="100">
        <v>92.529696661088764</v>
      </c>
      <c r="AE6" s="100">
        <v>95.670260264087858</v>
      </c>
      <c r="AF6" s="100">
        <v>98.810833516228939</v>
      </c>
      <c r="AG6" s="100">
        <v>101.9514151417558</v>
      </c>
      <c r="AH6" s="100">
        <v>105.09200381386582</v>
      </c>
      <c r="AI6" s="100">
        <v>108.2325981646194</v>
      </c>
      <c r="AJ6" s="100">
        <v>111.37319679507422</v>
      </c>
      <c r="AK6" s="100">
        <v>114.51379828556937</v>
      </c>
      <c r="AL6" s="100">
        <v>117.65440120608469</v>
      </c>
      <c r="AM6" s="101">
        <v>120.79500412659999</v>
      </c>
    </row>
    <row r="7" spans="1:39" x14ac:dyDescent="0.25">
      <c r="A7" t="s">
        <v>22</v>
      </c>
      <c r="B7" s="96">
        <v>1.5</v>
      </c>
      <c r="C7" s="100">
        <v>1.6764808556027413</v>
      </c>
      <c r="D7" s="100">
        <v>1.8529617112047823</v>
      </c>
      <c r="E7" s="100">
        <v>2.0294425668057832</v>
      </c>
      <c r="F7" s="100">
        <v>2.2059234224054132</v>
      </c>
      <c r="G7" s="100">
        <v>2.3824042780033547</v>
      </c>
      <c r="H7" s="100">
        <v>2.5588851335993046</v>
      </c>
      <c r="I7" s="100">
        <v>2.7353659891929754</v>
      </c>
      <c r="J7" s="100">
        <v>2.9118468447840993</v>
      </c>
      <c r="K7" s="100">
        <v>3.0883277003724277</v>
      </c>
      <c r="L7" s="100">
        <v>3.264808555957734</v>
      </c>
      <c r="M7" s="100">
        <v>3.4412894115398149</v>
      </c>
      <c r="N7" s="100">
        <v>3.6177702671184928</v>
      </c>
      <c r="O7" s="100">
        <v>3.7942511226936149</v>
      </c>
      <c r="P7" s="100">
        <v>3.9707319782650554</v>
      </c>
      <c r="Q7" s="100">
        <v>4.1472128338327154</v>
      </c>
      <c r="R7" s="100">
        <v>4.3236936893965243</v>
      </c>
      <c r="S7" s="100">
        <v>4.5001745449564394</v>
      </c>
      <c r="T7" s="100">
        <v>4.6766554005124465</v>
      </c>
      <c r="U7" s="100">
        <v>4.8531362560645608</v>
      </c>
      <c r="V7" s="100">
        <v>5.0296171116128239</v>
      </c>
      <c r="W7" s="100">
        <v>5.2060979671573051</v>
      </c>
      <c r="X7" s="100">
        <v>5.3825788226981004</v>
      </c>
      <c r="Y7" s="100">
        <v>5.5590596782353314</v>
      </c>
      <c r="Z7" s="100">
        <v>5.7355405337691447</v>
      </c>
      <c r="AA7" s="100">
        <v>5.9120213892997109</v>
      </c>
      <c r="AB7" s="100">
        <v>6.0885022448272217</v>
      </c>
      <c r="AC7" s="100">
        <v>6.2649831003518912</v>
      </c>
      <c r="AD7" s="100">
        <v>6.4414639558739495</v>
      </c>
      <c r="AE7" s="100">
        <v>6.617944811393647</v>
      </c>
      <c r="AF7" s="100">
        <v>6.7944256669112466</v>
      </c>
      <c r="AG7" s="100">
        <v>6.9709065224270272</v>
      </c>
      <c r="AH7" s="100">
        <v>7.1473873779412758</v>
      </c>
      <c r="AI7" s="100">
        <v>7.3238682334542897</v>
      </c>
      <c r="AJ7" s="100">
        <v>7.5003490889663738</v>
      </c>
      <c r="AK7" s="100">
        <v>7.676829944477837</v>
      </c>
      <c r="AL7" s="100">
        <v>7.8533107999889893</v>
      </c>
      <c r="AM7" s="101">
        <v>8.0297916555001407</v>
      </c>
    </row>
    <row r="8" spans="1:39" x14ac:dyDescent="0.25">
      <c r="A8" t="s">
        <v>21</v>
      </c>
      <c r="B8" s="96">
        <v>2.1363670350000006</v>
      </c>
      <c r="C8" s="100">
        <v>2.1801960340540596</v>
      </c>
      <c r="D8" s="100">
        <v>2.2240250331081182</v>
      </c>
      <c r="E8" s="100">
        <v>2.2678540321621767</v>
      </c>
      <c r="F8" s="100">
        <v>2.3116830312162349</v>
      </c>
      <c r="G8" s="100">
        <v>2.355512030270293</v>
      </c>
      <c r="H8" s="100">
        <v>2.3993410293243507</v>
      </c>
      <c r="I8" s="100">
        <v>2.4431700283784079</v>
      </c>
      <c r="J8" s="100">
        <v>2.4869990274324651</v>
      </c>
      <c r="K8" s="100">
        <v>2.5308280264865219</v>
      </c>
      <c r="L8" s="100">
        <v>2.5746570255405783</v>
      </c>
      <c r="M8" s="100">
        <v>2.6184860245946346</v>
      </c>
      <c r="N8" s="100">
        <v>2.6623150236486905</v>
      </c>
      <c r="O8" s="100">
        <v>2.7061440227027465</v>
      </c>
      <c r="P8" s="100">
        <v>2.7499730217568019</v>
      </c>
      <c r="Q8" s="100">
        <v>2.7938020208108574</v>
      </c>
      <c r="R8" s="100">
        <v>2.8376310198649124</v>
      </c>
      <c r="S8" s="100">
        <v>2.881460018918967</v>
      </c>
      <c r="T8" s="100">
        <v>2.9252890179730215</v>
      </c>
      <c r="U8" s="100">
        <v>2.9691180170270757</v>
      </c>
      <c r="V8" s="100">
        <v>3.0129470160811294</v>
      </c>
      <c r="W8" s="100">
        <v>3.056776015135183</v>
      </c>
      <c r="X8" s="100">
        <v>3.1006050141892363</v>
      </c>
      <c r="Y8" s="100">
        <v>3.1444340132432891</v>
      </c>
      <c r="Z8" s="100">
        <v>3.1882630122973419</v>
      </c>
      <c r="AA8" s="100">
        <v>3.2320920113513942</v>
      </c>
      <c r="AB8" s="100">
        <v>3.2759210104054461</v>
      </c>
      <c r="AC8" s="100">
        <v>3.3197500094594981</v>
      </c>
      <c r="AD8" s="100">
        <v>3.3635790085135495</v>
      </c>
      <c r="AE8" s="100">
        <v>3.4074080075676005</v>
      </c>
      <c r="AF8" s="100">
        <v>3.4512370066216516</v>
      </c>
      <c r="AG8" s="100">
        <v>3.4950660056757021</v>
      </c>
      <c r="AH8" s="100">
        <v>3.5388950047297523</v>
      </c>
      <c r="AI8" s="100">
        <v>3.5827240037838024</v>
      </c>
      <c r="AJ8" s="100">
        <v>3.6265530028378521</v>
      </c>
      <c r="AK8" s="100">
        <v>3.6703820018919013</v>
      </c>
      <c r="AL8" s="100">
        <v>3.7142110009459506</v>
      </c>
      <c r="AM8" s="101">
        <v>3.7580399999999998</v>
      </c>
    </row>
    <row r="9" spans="1:39" x14ac:dyDescent="0.25">
      <c r="A9" t="s">
        <v>125</v>
      </c>
      <c r="B9" s="96">
        <v>1.7041322700000003</v>
      </c>
      <c r="C9" s="100">
        <v>2.2878947406766672</v>
      </c>
      <c r="D9" s="100">
        <v>2.8716572574227208</v>
      </c>
      <c r="E9" s="100">
        <v>3.4554198426101888</v>
      </c>
      <c r="F9" s="100">
        <v>4.039182517957963</v>
      </c>
      <c r="G9" s="100">
        <v>4.6229453043802975</v>
      </c>
      <c r="H9" s="100">
        <v>5.2067082218421756</v>
      </c>
      <c r="I9" s="100">
        <v>5.7904712892225483</v>
      </c>
      <c r="J9" s="100">
        <v>6.3742345241863694</v>
      </c>
      <c r="K9" s="100">
        <v>6.9579979430662764</v>
      </c>
      <c r="L9" s="100">
        <v>7.5417615607547113</v>
      </c>
      <c r="M9" s="100">
        <v>8.1255253906071676</v>
      </c>
      <c r="N9" s="100">
        <v>8.7092894443571911</v>
      </c>
      <c r="O9" s="100">
        <v>9.2930537320436599</v>
      </c>
      <c r="P9" s="100">
        <v>9.8768182619507705</v>
      </c>
      <c r="Q9" s="100">
        <v>10.460583040561076</v>
      </c>
      <c r="R9" s="100">
        <v>11.044348072521824</v>
      </c>
      <c r="S9" s="100">
        <v>11.628113360624731</v>
      </c>
      <c r="T9" s="100">
        <v>12.211878905799248</v>
      </c>
      <c r="U9" s="100">
        <v>12.795644707119271</v>
      </c>
      <c r="V9" s="100">
        <v>13.379410761823149</v>
      </c>
      <c r="W9" s="100">
        <v>13.96317706534674</v>
      </c>
      <c r="X9" s="100">
        <v>14.54694361136921</v>
      </c>
      <c r="Y9" s="100">
        <v>15.130710391871123</v>
      </c>
      <c r="Z9" s="100">
        <v>15.714477397204325</v>
      </c>
      <c r="AA9" s="100">
        <v>16.298244616173061</v>
      </c>
      <c r="AB9" s="100">
        <v>16.882012036125616</v>
      </c>
      <c r="AC9" s="100">
        <v>17.465779643055789</v>
      </c>
      <c r="AD9" s="100">
        <v>18.049547421713356</v>
      </c>
      <c r="AE9" s="100">
        <v>18.633315355722701</v>
      </c>
      <c r="AF9" s="100">
        <v>19.21708342770869</v>
      </c>
      <c r="AG9" s="100">
        <v>19.800851619428812</v>
      </c>
      <c r="AH9" s="100">
        <v>20.384619911910629</v>
      </c>
      <c r="AI9" s="100">
        <v>20.968388285593463</v>
      </c>
      <c r="AJ9" s="100">
        <v>21.552156720473327</v>
      </c>
      <c r="AK9" s="100">
        <v>22.135925196249961</v>
      </c>
      <c r="AL9" s="100">
        <v>22.719693692474983</v>
      </c>
      <c r="AM9" s="101">
        <v>23.303462188700003</v>
      </c>
    </row>
    <row r="10" spans="1:39" x14ac:dyDescent="0.25">
      <c r="A10" t="s">
        <v>164</v>
      </c>
      <c r="B10" s="96">
        <v>68.521000000000015</v>
      </c>
      <c r="C10" s="100">
        <v>68.324867814224035</v>
      </c>
      <c r="D10" s="100">
        <v>68.128735628447629</v>
      </c>
      <c r="E10" s="100">
        <v>67.932603442670597</v>
      </c>
      <c r="F10" s="100">
        <v>67.736471256892742</v>
      </c>
      <c r="G10" s="100">
        <v>67.540339071113863</v>
      </c>
      <c r="H10" s="100">
        <v>67.34420688533379</v>
      </c>
      <c r="I10" s="100">
        <v>67.148074699552339</v>
      </c>
      <c r="J10" s="100">
        <v>66.951942513769353</v>
      </c>
      <c r="K10" s="100">
        <v>66.755810327984676</v>
      </c>
      <c r="L10" s="100">
        <v>66.55967814219818</v>
      </c>
      <c r="M10" s="100">
        <v>66.363545956409723</v>
      </c>
      <c r="N10" s="100">
        <v>66.16741377061922</v>
      </c>
      <c r="O10" s="100">
        <v>65.971281584826571</v>
      </c>
      <c r="P10" s="100">
        <v>65.775149399031704</v>
      </c>
      <c r="Q10" s="100">
        <v>65.57901721323455</v>
      </c>
      <c r="R10" s="100">
        <v>65.38288502743508</v>
      </c>
      <c r="S10" s="100">
        <v>65.18675284163325</v>
      </c>
      <c r="T10" s="100">
        <v>64.990620655829076</v>
      </c>
      <c r="U10" s="100">
        <v>64.794488470022543</v>
      </c>
      <c r="V10" s="100">
        <v>64.598356284213693</v>
      </c>
      <c r="W10" s="100">
        <v>64.402224098402556</v>
      </c>
      <c r="X10" s="100">
        <v>64.206091912589187</v>
      </c>
      <c r="Y10" s="100">
        <v>64.009959726773673</v>
      </c>
      <c r="Z10" s="100">
        <v>63.813827540956098</v>
      </c>
      <c r="AA10" s="100">
        <v>63.617695355136561</v>
      </c>
      <c r="AB10" s="100">
        <v>63.421563169315178</v>
      </c>
      <c r="AC10" s="100">
        <v>63.225430983492075</v>
      </c>
      <c r="AD10" s="100">
        <v>63.029298797667401</v>
      </c>
      <c r="AE10" s="100">
        <v>62.833166611841307</v>
      </c>
      <c r="AF10" s="100">
        <v>62.63703442601394</v>
      </c>
      <c r="AG10" s="100">
        <v>62.44090224018548</v>
      </c>
      <c r="AH10" s="100">
        <v>62.244770054356096</v>
      </c>
      <c r="AI10" s="100">
        <v>62.048637868525965</v>
      </c>
      <c r="AJ10" s="100">
        <v>61.852505682695273</v>
      </c>
      <c r="AK10" s="100">
        <v>61.656373496864205</v>
      </c>
      <c r="AL10" s="100">
        <v>61.460241311032952</v>
      </c>
      <c r="AM10" s="101">
        <v>61.264109125201699</v>
      </c>
    </row>
    <row r="11" spans="1:39" x14ac:dyDescent="0.25">
      <c r="A11" t="s">
        <v>18</v>
      </c>
      <c r="B11" s="96">
        <v>1.2025420000000004E-2</v>
      </c>
      <c r="C11" s="100">
        <v>4.3662570810811589E-2</v>
      </c>
      <c r="D11" s="100">
        <v>7.529972162162317E-2</v>
      </c>
      <c r="E11" s="100">
        <v>0.10693687243243474</v>
      </c>
      <c r="F11" s="100">
        <v>0.1385740232432463</v>
      </c>
      <c r="G11" s="100">
        <v>0.17021117405405783</v>
      </c>
      <c r="H11" s="100">
        <v>0.20184832486486937</v>
      </c>
      <c r="I11" s="100">
        <v>0.23348547567568087</v>
      </c>
      <c r="J11" s="100">
        <v>0.26512262648649237</v>
      </c>
      <c r="K11" s="100">
        <v>0.29675977729730385</v>
      </c>
      <c r="L11" s="100">
        <v>0.32839692810811527</v>
      </c>
      <c r="M11" s="100">
        <v>0.36003407891892664</v>
      </c>
      <c r="N11" s="100">
        <v>0.391671229729738</v>
      </c>
      <c r="O11" s="100">
        <v>0.42330838054054931</v>
      </c>
      <c r="P11" s="100">
        <v>0.45494553135136057</v>
      </c>
      <c r="Q11" s="100">
        <v>0.48658268216217182</v>
      </c>
      <c r="R11" s="100">
        <v>0.51821983297298302</v>
      </c>
      <c r="S11" s="100">
        <v>0.54985698378379411</v>
      </c>
      <c r="T11" s="100">
        <v>0.58149413459460508</v>
      </c>
      <c r="U11" s="100">
        <v>0.61313128540541606</v>
      </c>
      <c r="V11" s="100">
        <v>0.64476843621622693</v>
      </c>
      <c r="W11" s="100">
        <v>0.67640558702703768</v>
      </c>
      <c r="X11" s="100">
        <v>0.70804273783784843</v>
      </c>
      <c r="Y11" s="100">
        <v>0.73967988864865908</v>
      </c>
      <c r="Z11" s="100">
        <v>0.77131703945946961</v>
      </c>
      <c r="AA11" s="100">
        <v>0.80295419027028014</v>
      </c>
      <c r="AB11" s="100">
        <v>0.83459134108109057</v>
      </c>
      <c r="AC11" s="100">
        <v>0.86622849189190088</v>
      </c>
      <c r="AD11" s="100">
        <v>0.89786564270271119</v>
      </c>
      <c r="AE11" s="100">
        <v>0.92950279351352139</v>
      </c>
      <c r="AF11" s="100">
        <v>0.96113994432433159</v>
      </c>
      <c r="AG11" s="100">
        <v>0.99277709513514167</v>
      </c>
      <c r="AH11" s="100">
        <v>1.0244142459459518</v>
      </c>
      <c r="AI11" s="100">
        <v>1.0560513967567617</v>
      </c>
      <c r="AJ11" s="100">
        <v>1.0876885475675715</v>
      </c>
      <c r="AK11" s="100">
        <v>1.1193256983783813</v>
      </c>
      <c r="AL11" s="100">
        <v>1.1509628491891908</v>
      </c>
      <c r="AM11" s="101">
        <v>1.1826000000000001</v>
      </c>
    </row>
    <row r="12" spans="1:39" x14ac:dyDescent="0.25">
      <c r="A12" t="s">
        <v>165</v>
      </c>
      <c r="B12" s="96">
        <v>0.41868</v>
      </c>
      <c r="C12" s="100">
        <v>1.0602498947361327</v>
      </c>
      <c r="D12" s="100">
        <v>1.7018209287029977</v>
      </c>
      <c r="E12" s="100">
        <v>2.3433936551291641</v>
      </c>
      <c r="F12" s="100">
        <v>2.9849686110921136</v>
      </c>
      <c r="G12" s="100">
        <v>3.6265463137717138</v>
      </c>
      <c r="H12" s="100">
        <v>4.2681272568737416</v>
      </c>
      <c r="I12" s="100">
        <v>4.9097119072479565</v>
      </c>
      <c r="J12" s="100">
        <v>5.5513007017236484</v>
      </c>
      <c r="K12" s="100">
        <v>6.1928940441838449</v>
      </c>
      <c r="L12" s="100">
        <v>6.8344923028975195</v>
      </c>
      <c r="M12" s="100">
        <v>7.4760958081271269</v>
      </c>
      <c r="N12" s="100">
        <v>8.11770485002668</v>
      </c>
      <c r="O12" s="100">
        <v>8.7593196768434112</v>
      </c>
      <c r="P12" s="100">
        <v>9.4009404934337653</v>
      </c>
      <c r="Q12" s="100">
        <v>10.042567460102131</v>
      </c>
      <c r="R12" s="100">
        <v>10.684200691768341</v>
      </c>
      <c r="S12" s="100">
        <v>11.325840257467577</v>
      </c>
      <c r="T12" s="100">
        <v>11.967486180183867</v>
      </c>
      <c r="U12" s="100">
        <v>12.609138437015982</v>
      </c>
      <c r="V12" s="100">
        <v>13.25079695967216</v>
      </c>
      <c r="W12" s="100">
        <v>13.892461635287702</v>
      </c>
      <c r="X12" s="100">
        <v>14.534132307557286</v>
      </c>
      <c r="Y12" s="100">
        <v>15.175808778171533</v>
      </c>
      <c r="Z12" s="100">
        <v>15.81749080854536</v>
      </c>
      <c r="AA12" s="100">
        <v>16.459178121823562</v>
      </c>
      <c r="AB12" s="100">
        <v>17.100870405147202</v>
      </c>
      <c r="AC12" s="100">
        <v>17.742567312162649</v>
      </c>
      <c r="AD12" s="100">
        <v>18.384268465753458</v>
      </c>
      <c r="AE12" s="100">
        <v>19.025973460973876</v>
      </c>
      <c r="AF12" s="100">
        <v>19.66768186816136</v>
      </c>
      <c r="AG12" s="100">
        <v>20.309393236204489</v>
      </c>
      <c r="AH12" s="100">
        <v>20.951107095941662</v>
      </c>
      <c r="AI12" s="100">
        <v>21.592822963665128</v>
      </c>
      <c r="AJ12" s="100">
        <v>22.234540344704456</v>
      </c>
      <c r="AK12" s="100">
        <v>22.876258737063075</v>
      </c>
      <c r="AL12" s="100">
        <v>23.517977635081341</v>
      </c>
      <c r="AM12" s="101">
        <v>24.159696533099606</v>
      </c>
    </row>
    <row r="13" spans="1:39" x14ac:dyDescent="0.25">
      <c r="A13" t="s">
        <v>166</v>
      </c>
      <c r="B13" s="96">
        <v>0</v>
      </c>
      <c r="C13" s="100">
        <v>1.6841300647673164E-56</v>
      </c>
      <c r="D13" s="100">
        <v>3.3440354516969E-56</v>
      </c>
      <c r="E13" s="100">
        <v>4.9679522718077008E-56</v>
      </c>
      <c r="F13" s="100">
        <v>6.5444600739213384E-56</v>
      </c>
      <c r="G13" s="100">
        <v>8.0625615110388432E-56</v>
      </c>
      <c r="H13" s="100">
        <v>9.5117583907690145E-56</v>
      </c>
      <c r="I13" s="100">
        <v>1.0882123588856376E-55</v>
      </c>
      <c r="J13" s="100">
        <v>1.2164368338356189E-55</v>
      </c>
      <c r="K13" s="100">
        <v>1.3349904443768303E-55</v>
      </c>
      <c r="L13" s="100">
        <v>1.4430901009182938E-55</v>
      </c>
      <c r="M13" s="100">
        <v>1.5400335311902482E-55</v>
      </c>
      <c r="N13" s="100">
        <v>1.6252037497759986E-55</v>
      </c>
      <c r="O13" s="100">
        <v>1.6980728821118186E-55</v>
      </c>
      <c r="P13" s="100">
        <v>1.758205320095226E-55</v>
      </c>
      <c r="Q13" s="100">
        <v>1.8052601914134591E-55</v>
      </c>
      <c r="R13" s="100">
        <v>1.8389931297683805E-55</v>
      </c>
      <c r="S13" s="100">
        <v>1.8592573382942674E-55</v>
      </c>
      <c r="T13" s="100">
        <v>1.8660039436037171E-55</v>
      </c>
      <c r="U13" s="100">
        <v>1.8592816430171939E-55</v>
      </c>
      <c r="V13" s="100">
        <v>1.8392356525968141E-55</v>
      </c>
      <c r="W13" s="100">
        <v>1.8061059685788006E-55</v>
      </c>
      <c r="X13" s="100">
        <v>1.7602249596465328E-55</v>
      </c>
      <c r="Y13" s="100">
        <v>1.7020143121732957E-55</v>
      </c>
      <c r="Z13" s="100">
        <v>1.6319813550581532E-55</v>
      </c>
      <c r="AA13" s="100">
        <v>1.5507147950488781E-55</v>
      </c>
      <c r="AB13" s="100">
        <v>1.4588798974634973E-55</v>
      </c>
      <c r="AC13" s="100">
        <v>1.3572131509596347E-55</v>
      </c>
      <c r="AD13" s="100">
        <v>1.24651645843362E-55</v>
      </c>
      <c r="AE13" s="100">
        <v>1.1276508992367756E-55</v>
      </c>
      <c r="AF13" s="100">
        <v>1.0015301106544052E-55</v>
      </c>
      <c r="AG13" s="100">
        <v>8.6911333898646664E-56</v>
      </c>
      <c r="AH13" s="100">
        <v>7.3139821258310573E-56</v>
      </c>
      <c r="AI13" s="100">
        <v>5.8941329081141552E-56</v>
      </c>
      <c r="AJ13" s="100">
        <v>4.4421044415310229E-56</v>
      </c>
      <c r="AK13" s="100">
        <v>2.9685712145024841E-56</v>
      </c>
      <c r="AL13" s="100">
        <v>1.4842856072512421E-56</v>
      </c>
      <c r="AM13" s="101">
        <v>0</v>
      </c>
    </row>
    <row r="14" spans="1:39" x14ac:dyDescent="0.25">
      <c r="A14" t="s">
        <v>67</v>
      </c>
      <c r="B14" s="96">
        <v>403.7</v>
      </c>
      <c r="C14" s="100">
        <v>392.78933743807289</v>
      </c>
      <c r="D14" s="100">
        <v>381.87867274372059</v>
      </c>
      <c r="E14" s="100">
        <v>370.96800488140343</v>
      </c>
      <c r="F14" s="100">
        <v>360.05733284581356</v>
      </c>
      <c r="G14" s="100">
        <v>349.14665566888777</v>
      </c>
      <c r="H14" s="100">
        <v>338.23597242650186</v>
      </c>
      <c r="I14" s="100">
        <v>327.32528224480109</v>
      </c>
      <c r="J14" s="100">
        <v>316.41458430612329</v>
      </c>
      <c r="K14" s="100">
        <v>305.50387785447566</v>
      </c>
      <c r="L14" s="100">
        <v>294.59316220052801</v>
      </c>
      <c r="M14" s="100">
        <v>283.68243672609128</v>
      </c>
      <c r="N14" s="100">
        <v>272.77170088805184</v>
      </c>
      <c r="O14" s="100">
        <v>261.86095422173764</v>
      </c>
      <c r="P14" s="100">
        <v>250.95019634369606</v>
      </c>
      <c r="Q14" s="100">
        <v>240.03942695386746</v>
      </c>
      <c r="R14" s="100">
        <v>229.12864583714361</v>
      </c>
      <c r="S14" s="100">
        <v>218.21785286430361</v>
      </c>
      <c r="T14" s="100">
        <v>207.30704799232569</v>
      </c>
      <c r="U14" s="100">
        <v>196.39623126407668</v>
      </c>
      <c r="V14" s="100">
        <v>185.48540280738587</v>
      </c>
      <c r="W14" s="100">
        <v>174.5745628335147</v>
      </c>
      <c r="X14" s="100">
        <v>163.66371163503729</v>
      </c>
      <c r="Y14" s="100">
        <v>152.7528495831514</v>
      </c>
      <c r="Z14" s="100">
        <v>141.84197712444336</v>
      </c>
      <c r="AA14" s="100">
        <v>130.93109477713392</v>
      </c>
      <c r="AB14" s="100">
        <v>120.02020312683609</v>
      </c>
      <c r="AC14" s="100">
        <v>109.10930282185856</v>
      </c>
      <c r="AD14" s="100">
        <v>98.19839456809224</v>
      </c>
      <c r="AE14" s="100">
        <v>87.287479123519276</v>
      </c>
      <c r="AF14" s="100">
        <v>76.376557292386991</v>
      </c>
      <c r="AG14" s="100">
        <v>65.465629919090915</v>
      </c>
      <c r="AH14" s="100">
        <v>54.554697881813169</v>
      </c>
      <c r="AI14" s="100">
        <v>43.643762085963509</v>
      </c>
      <c r="AJ14" s="100">
        <v>32.732823457471753</v>
      </c>
      <c r="AK14" s="100">
        <v>21.821882935980874</v>
      </c>
      <c r="AL14" s="100">
        <v>10.910941467990437</v>
      </c>
      <c r="AM14" s="101">
        <v>0</v>
      </c>
    </row>
    <row r="15" spans="1:39" x14ac:dyDescent="0.25">
      <c r="A15" t="s">
        <v>167</v>
      </c>
      <c r="B15" s="96">
        <v>19.5</v>
      </c>
      <c r="C15" s="100">
        <v>18.973117142766036</v>
      </c>
      <c r="D15" s="100">
        <v>18.446232211780845</v>
      </c>
      <c r="E15" s="100">
        <v>17.919344199997834</v>
      </c>
      <c r="F15" s="100">
        <v>17.392452129770369</v>
      </c>
      <c r="G15" s="100">
        <v>16.865555059671621</v>
      </c>
      <c r="H15" s="100">
        <v>16.338652091004828</v>
      </c>
      <c r="I15" s="100">
        <v>15.811742373959472</v>
      </c>
      <c r="J15" s="100">
        <v>15.284825113371545</v>
      </c>
      <c r="K15" s="100">
        <v>14.757899574049393</v>
      </c>
      <c r="L15" s="100">
        <v>14.230965085629922</v>
      </c>
      <c r="M15" s="100">
        <v>13.704021046933626</v>
      </c>
      <c r="N15" s="100">
        <v>13.177066929790731</v>
      </c>
      <c r="O15" s="100">
        <v>12.650102282314723</v>
      </c>
      <c r="P15" s="100">
        <v>12.123126731603698</v>
      </c>
      <c r="Q15" s="100">
        <v>11.596139985854242</v>
      </c>
      <c r="R15" s="100">
        <v>11.06914183587682</v>
      </c>
      <c r="S15" s="100">
        <v>10.542132156006113</v>
      </c>
      <c r="T15" s="100">
        <v>10.015110904404107</v>
      </c>
      <c r="U15" s="100">
        <v>9.4880781227580933</v>
      </c>
      <c r="V15" s="100">
        <v>8.9610339353801471</v>
      </c>
      <c r="W15" s="100">
        <v>8.4339785477188141</v>
      </c>
      <c r="X15" s="100">
        <v>7.9069122442979873</v>
      </c>
      <c r="Y15" s="100">
        <v>7.3798353861018846</v>
      </c>
      <c r="Z15" s="100">
        <v>6.8527484074289244</v>
      </c>
      <c r="AA15" s="100">
        <v>6.3256518122409542</v>
      </c>
      <c r="AB15" s="100">
        <v>5.7985461700377137</v>
      </c>
      <c r="AC15" s="100">
        <v>5.271432111289613</v>
      </c>
      <c r="AD15" s="100">
        <v>4.7443103224648606</v>
      </c>
      <c r="AE15" s="100">
        <v>4.2171815406896096</v>
      </c>
      <c r="AF15" s="100">
        <v>3.6900465480821847</v>
      </c>
      <c r="AG15" s="100">
        <v>3.162906165804463</v>
      </c>
      <c r="AH15" s="100">
        <v>2.6357612478752395</v>
      </c>
      <c r="AI15" s="100">
        <v>2.1086126747917762</v>
      </c>
      <c r="AJ15" s="100">
        <v>1.5814613470067926</v>
      </c>
      <c r="AK15" s="100">
        <v>1.0543081783088486</v>
      </c>
      <c r="AL15" s="100">
        <v>0.5271540891544243</v>
      </c>
      <c r="AM15" s="101">
        <v>0</v>
      </c>
    </row>
    <row r="16" spans="1:39" x14ac:dyDescent="0.25">
      <c r="A16" t="s">
        <v>168</v>
      </c>
      <c r="B16" s="96">
        <v>5.4</v>
      </c>
      <c r="C16" s="100">
        <v>5.2540540540540608</v>
      </c>
      <c r="D16" s="100">
        <v>5.1081081081081212</v>
      </c>
      <c r="E16" s="100">
        <v>4.9621621621621808</v>
      </c>
      <c r="F16" s="100">
        <v>4.8162162162162403</v>
      </c>
      <c r="G16" s="100">
        <v>4.670270270270299</v>
      </c>
      <c r="H16" s="100">
        <v>4.5243243243243567</v>
      </c>
      <c r="I16" s="100">
        <v>4.3783783783784145</v>
      </c>
      <c r="J16" s="100">
        <v>4.2324324324324714</v>
      </c>
      <c r="K16" s="100">
        <v>4.0864864864865282</v>
      </c>
      <c r="L16" s="100">
        <v>3.9405405405405842</v>
      </c>
      <c r="M16" s="100">
        <v>3.7945945945946398</v>
      </c>
      <c r="N16" s="100">
        <v>3.6486486486486953</v>
      </c>
      <c r="O16" s="100">
        <v>3.5027027027027504</v>
      </c>
      <c r="P16" s="100">
        <v>3.3567567567568051</v>
      </c>
      <c r="Q16" s="100">
        <v>3.2108108108108597</v>
      </c>
      <c r="R16" s="100">
        <v>3.0648648648649139</v>
      </c>
      <c r="S16" s="100">
        <v>2.9189189189189677</v>
      </c>
      <c r="T16" s="100">
        <v>2.7729729729730215</v>
      </c>
      <c r="U16" s="100">
        <v>2.6270270270270748</v>
      </c>
      <c r="V16" s="100">
        <v>2.4810810810811277</v>
      </c>
      <c r="W16" s="100">
        <v>2.3351351351351806</v>
      </c>
      <c r="X16" s="100">
        <v>2.189189189189233</v>
      </c>
      <c r="Y16" s="100">
        <v>2.043243243243285</v>
      </c>
      <c r="Z16" s="100">
        <v>1.8972972972973368</v>
      </c>
      <c r="AA16" s="100">
        <v>1.7513513513513885</v>
      </c>
      <c r="AB16" s="100">
        <v>1.6054054054054401</v>
      </c>
      <c r="AC16" s="100">
        <v>1.4594594594594914</v>
      </c>
      <c r="AD16" s="100">
        <v>1.3135135135135427</v>
      </c>
      <c r="AE16" s="100">
        <v>1.1675675675675938</v>
      </c>
      <c r="AF16" s="100">
        <v>1.0216216216216449</v>
      </c>
      <c r="AG16" s="100">
        <v>0.87567567567569582</v>
      </c>
      <c r="AH16" s="100">
        <v>0.72972972972974659</v>
      </c>
      <c r="AI16" s="100">
        <v>0.58378378378379736</v>
      </c>
      <c r="AJ16" s="100">
        <v>0.43783783783784802</v>
      </c>
      <c r="AK16" s="100">
        <v>0.29189189189189868</v>
      </c>
      <c r="AL16" s="100">
        <v>0.14594594594594934</v>
      </c>
      <c r="AM16" s="101">
        <v>0</v>
      </c>
    </row>
    <row r="17" spans="1:39" x14ac:dyDescent="0.25">
      <c r="A17" t="s">
        <v>169</v>
      </c>
      <c r="B17" s="96">
        <v>19.8</v>
      </c>
      <c r="C17" s="100">
        <v>19.26486486486489</v>
      </c>
      <c r="D17" s="100">
        <v>18.729729729729776</v>
      </c>
      <c r="E17" s="100">
        <v>18.194594594594662</v>
      </c>
      <c r="F17" s="100">
        <v>17.659459459459544</v>
      </c>
      <c r="G17" s="100">
        <v>17.124324324324427</v>
      </c>
      <c r="H17" s="100">
        <v>16.589189189189305</v>
      </c>
      <c r="I17" s="100">
        <v>16.054054054054184</v>
      </c>
      <c r="J17" s="100">
        <v>15.518918918919059</v>
      </c>
      <c r="K17" s="100">
        <v>14.983783783783933</v>
      </c>
      <c r="L17" s="100">
        <v>14.448648648648806</v>
      </c>
      <c r="M17" s="100">
        <v>13.913513513513678</v>
      </c>
      <c r="N17" s="100">
        <v>13.378378378378548</v>
      </c>
      <c r="O17" s="100">
        <v>12.843243243243418</v>
      </c>
      <c r="P17" s="100">
        <v>12.308108108108286</v>
      </c>
      <c r="Q17" s="100">
        <v>11.772972972973152</v>
      </c>
      <c r="R17" s="100">
        <v>11.237837837838018</v>
      </c>
      <c r="S17" s="100">
        <v>10.702702702702883</v>
      </c>
      <c r="T17" s="100">
        <v>10.167567567567746</v>
      </c>
      <c r="U17" s="100">
        <v>9.6324324324326085</v>
      </c>
      <c r="V17" s="100">
        <v>9.0972972972974695</v>
      </c>
      <c r="W17" s="100">
        <v>8.5621621621623287</v>
      </c>
      <c r="X17" s="100">
        <v>8.027027027027188</v>
      </c>
      <c r="Y17" s="100">
        <v>7.4918918918920454</v>
      </c>
      <c r="Z17" s="100">
        <v>6.956756756756902</v>
      </c>
      <c r="AA17" s="100">
        <v>6.4216216216217585</v>
      </c>
      <c r="AB17" s="100">
        <v>5.8864864864866142</v>
      </c>
      <c r="AC17" s="100">
        <v>5.351351351351469</v>
      </c>
      <c r="AD17" s="100">
        <v>4.8162162162163238</v>
      </c>
      <c r="AE17" s="100">
        <v>4.2810810810811777</v>
      </c>
      <c r="AF17" s="100">
        <v>3.7459459459460311</v>
      </c>
      <c r="AG17" s="100">
        <v>3.2108108108108846</v>
      </c>
      <c r="AH17" s="100">
        <v>2.6756756756757376</v>
      </c>
      <c r="AI17" s="100">
        <v>2.1405405405405906</v>
      </c>
      <c r="AJ17" s="100">
        <v>1.6054054054054432</v>
      </c>
      <c r="AK17" s="100">
        <v>1.0702702702702955</v>
      </c>
      <c r="AL17" s="100">
        <v>0.53513513513514777</v>
      </c>
      <c r="AM17" s="101">
        <v>0</v>
      </c>
    </row>
    <row r="18" spans="1:39" ht="15.75" thickBot="1" x14ac:dyDescent="0.3">
      <c r="A18" s="85" t="s">
        <v>100</v>
      </c>
      <c r="B18" s="97">
        <v>543.1922047249999</v>
      </c>
      <c r="C18" s="102">
        <v>541.32030451304183</v>
      </c>
      <c r="D18" s="102">
        <v>539.44840607501669</v>
      </c>
      <c r="E18" s="102">
        <v>537.57651027237443</v>
      </c>
      <c r="F18" s="102">
        <v>535.70461794141613</v>
      </c>
      <c r="G18" s="102">
        <v>533.83272988745887</v>
      </c>
      <c r="H18" s="102">
        <v>531.96084687926793</v>
      </c>
      <c r="I18" s="102">
        <v>530.08896964379039</v>
      </c>
      <c r="J18" s="102">
        <v>528.21709886122699</v>
      </c>
      <c r="K18" s="102">
        <v>526.34523516047716</v>
      </c>
      <c r="L18" s="102">
        <v>524.47337911498437</v>
      </c>
      <c r="M18" s="102">
        <v>522.60153123901091</v>
      </c>
      <c r="N18" s="102">
        <v>520.72969198436499</v>
      </c>
      <c r="O18" s="102">
        <v>518.8578617376005</v>
      </c>
      <c r="P18" s="102">
        <v>516.986040817706</v>
      </c>
      <c r="Q18" s="102">
        <v>515.11422947429651</v>
      </c>
      <c r="R18" s="102">
        <v>513.24242788631739</v>
      </c>
      <c r="S18" s="102">
        <v>511.37063616126574</v>
      </c>
      <c r="T18" s="102">
        <v>509.49885433493057</v>
      </c>
      <c r="U18" s="102">
        <v>507.62708237165168</v>
      </c>
      <c r="V18" s="102">
        <v>505.75532016508987</v>
      </c>
      <c r="W18" s="102">
        <v>503.88356753949967</v>
      </c>
      <c r="X18" s="102">
        <v>502.01182425149318</v>
      </c>
      <c r="Y18" s="102">
        <v>500.14008999227644</v>
      </c>
      <c r="Z18" s="102">
        <v>498.26836439034071</v>
      </c>
      <c r="AA18" s="102">
        <v>496.39664701458616</v>
      </c>
      <c r="AB18" s="102">
        <v>494.52493737784982</v>
      </c>
      <c r="AC18" s="102">
        <v>492.65323494081326</v>
      </c>
      <c r="AD18" s="102">
        <v>490.78153911625634</v>
      </c>
      <c r="AE18" s="102">
        <v>488.90984927362501</v>
      </c>
      <c r="AF18" s="102">
        <v>487.03816474387764</v>
      </c>
      <c r="AG18" s="102">
        <v>485.16648482457441</v>
      </c>
      <c r="AH18" s="102">
        <v>483.29480878516819</v>
      </c>
      <c r="AI18" s="102">
        <v>481.42313587246241</v>
      </c>
      <c r="AJ18" s="102">
        <v>479.55146531618954</v>
      </c>
      <c r="AK18" s="102">
        <v>477.67979633467473</v>
      </c>
      <c r="AL18" s="102">
        <v>475.80812814053888</v>
      </c>
      <c r="AM18" s="102">
        <v>473.93645994640292</v>
      </c>
    </row>
    <row r="19" spans="1:39" ht="15.75" thickBot="1" x14ac:dyDescent="0.3">
      <c r="A19" s="98" t="s">
        <v>170</v>
      </c>
      <c r="B19" s="99">
        <v>0.17450950860568801</v>
      </c>
      <c r="C19" s="103">
        <v>0.19404210434665731</v>
      </c>
      <c r="D19" s="103">
        <v>0.21371026771677124</v>
      </c>
      <c r="E19" s="103">
        <v>0.23351541973181231</v>
      </c>
      <c r="F19" s="103">
        <v>0.25345900099185814</v>
      </c>
      <c r="G19" s="103">
        <v>0.27354247199322068</v>
      </c>
      <c r="H19" s="103">
        <v>0.29376731344988405</v>
      </c>
      <c r="I19" s="103">
        <v>0.31413502662486098</v>
      </c>
      <c r="J19" s="103">
        <v>0.33464713367187038</v>
      </c>
      <c r="K19" s="103">
        <v>0.35530517798771988</v>
      </c>
      <c r="L19" s="103">
        <v>0.37611072457576561</v>
      </c>
      <c r="M19" s="103">
        <v>0.39706536042079582</v>
      </c>
      <c r="N19" s="103">
        <v>0.41817069487566938</v>
      </c>
      <c r="O19" s="103">
        <v>0.43942836006001923</v>
      </c>
      <c r="P19" s="103">
        <v>0.46084001127130914</v>
      </c>
      <c r="Q19" s="103">
        <v>0.48240732740851272</v>
      </c>
      <c r="R19" s="103">
        <v>0.50413201140866137</v>
      </c>
      <c r="S19" s="103">
        <v>0.52601579069648774</v>
      </c>
      <c r="T19" s="103">
        <v>0.54806041764737279</v>
      </c>
      <c r="U19" s="103">
        <v>0.57026767006378176</v>
      </c>
      <c r="V19" s="103">
        <v>0.59263935166535964</v>
      </c>
      <c r="W19" s="103">
        <v>0.6151772925928356</v>
      </c>
      <c r="X19" s="103">
        <v>0.6378833499258737</v>
      </c>
      <c r="Y19" s="103">
        <v>0.66075940821498869</v>
      </c>
      <c r="Z19" s="103">
        <v>0.68380738002763586</v>
      </c>
      <c r="AA19" s="103">
        <v>0.70702920650857115</v>
      </c>
      <c r="AB19" s="103">
        <v>0.73042685795457118</v>
      </c>
      <c r="AC19" s="103">
        <v>0.75400233440359121</v>
      </c>
      <c r="AD19" s="103">
        <v>0.77775766623844034</v>
      </c>
      <c r="AE19" s="103">
        <v>0.80169491480504729</v>
      </c>
      <c r="AF19" s="103">
        <v>0.82581617304539323</v>
      </c>
      <c r="AG19" s="103">
        <v>0.85012356614518791</v>
      </c>
      <c r="AH19" s="103">
        <v>0.87461925219637593</v>
      </c>
      <c r="AI19" s="103">
        <v>0.89930542287456239</v>
      </c>
      <c r="AJ19" s="103">
        <v>0.92418430413146646</v>
      </c>
      <c r="AK19" s="103">
        <v>0.94925815690251658</v>
      </c>
      <c r="AL19" s="103">
        <v>0.97452927782972576</v>
      </c>
      <c r="AM19" s="103">
        <v>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A16" workbookViewId="0">
      <selection activeCell="A10" sqref="A10"/>
    </sheetView>
  </sheetViews>
  <sheetFormatPr baseColWidth="10" defaultRowHeight="15" x14ac:dyDescent="0.25"/>
  <cols>
    <col min="1" max="1" width="61.5703125" bestFit="1" customWidth="1"/>
    <col min="2" max="2" width="34.28515625" customWidth="1"/>
  </cols>
  <sheetData>
    <row r="1" spans="1:6" x14ac:dyDescent="0.25">
      <c r="A1" t="s">
        <v>47</v>
      </c>
    </row>
    <row r="2" spans="1:6" x14ac:dyDescent="0.25">
      <c r="A2" s="144" t="s">
        <v>48</v>
      </c>
      <c r="B2" s="144"/>
      <c r="C2" s="144"/>
      <c r="D2" s="144"/>
      <c r="E2" s="144"/>
      <c r="F2" s="144"/>
    </row>
    <row r="4" spans="1:6" x14ac:dyDescent="0.25">
      <c r="A4" t="s">
        <v>33</v>
      </c>
      <c r="B4">
        <v>648</v>
      </c>
    </row>
    <row r="5" spans="1:6" x14ac:dyDescent="0.25">
      <c r="A5" t="s">
        <v>34</v>
      </c>
      <c r="B5">
        <v>303</v>
      </c>
    </row>
    <row r="6" spans="1:6" x14ac:dyDescent="0.25">
      <c r="A6" t="s">
        <v>35</v>
      </c>
      <c r="B6">
        <v>766</v>
      </c>
    </row>
    <row r="7" spans="1:6" x14ac:dyDescent="0.25">
      <c r="A7" t="s">
        <v>36</v>
      </c>
      <c r="B7">
        <v>351</v>
      </c>
    </row>
    <row r="8" spans="1:6" x14ac:dyDescent="0.25">
      <c r="A8" t="s">
        <v>37</v>
      </c>
      <c r="B8">
        <v>652</v>
      </c>
    </row>
    <row r="9" spans="1:6" x14ac:dyDescent="0.25">
      <c r="A9" t="s">
        <v>38</v>
      </c>
      <c r="B9">
        <v>17</v>
      </c>
    </row>
    <row r="10" spans="1:6" x14ac:dyDescent="0.25">
      <c r="A10" t="s">
        <v>39</v>
      </c>
      <c r="B10">
        <v>670</v>
      </c>
    </row>
    <row r="11" spans="1:6" x14ac:dyDescent="0.25">
      <c r="A11" t="s">
        <v>40</v>
      </c>
      <c r="B11">
        <v>454</v>
      </c>
    </row>
    <row r="13" spans="1:6" x14ac:dyDescent="0.25">
      <c r="A13" t="s">
        <v>41</v>
      </c>
      <c r="B13">
        <f>B4+B5+B6/2</f>
        <v>1334</v>
      </c>
      <c r="C13" s="20">
        <f>B13/$B$15</f>
        <v>0.46675997200839747</v>
      </c>
    </row>
    <row r="14" spans="1:6" x14ac:dyDescent="0.25">
      <c r="A14" t="s">
        <v>42</v>
      </c>
      <c r="B14">
        <f>B6/2+B9+B10+B11</f>
        <v>1524</v>
      </c>
      <c r="C14" s="20">
        <f>B14/$B$15</f>
        <v>0.53324002799160253</v>
      </c>
    </row>
    <row r="15" spans="1:6" x14ac:dyDescent="0.25">
      <c r="A15" t="s">
        <v>43</v>
      </c>
      <c r="B15">
        <f>B14+B13</f>
        <v>2858</v>
      </c>
      <c r="C15" s="21"/>
    </row>
    <row r="16" spans="1:6" x14ac:dyDescent="0.25">
      <c r="A16" t="s">
        <v>53</v>
      </c>
      <c r="B16" s="20">
        <f>B10/B14</f>
        <v>0.43963254593175854</v>
      </c>
      <c r="C16" s="21"/>
    </row>
    <row r="17" spans="1:3" x14ac:dyDescent="0.25">
      <c r="C17" s="21"/>
    </row>
    <row r="19" spans="1:3" x14ac:dyDescent="0.25">
      <c r="B19" t="s">
        <v>45</v>
      </c>
      <c r="C19" t="s">
        <v>46</v>
      </c>
    </row>
    <row r="20" spans="1:3" x14ac:dyDescent="0.25">
      <c r="A20" t="s">
        <v>44</v>
      </c>
      <c r="B20">
        <v>4277</v>
      </c>
      <c r="C20">
        <v>12490</v>
      </c>
    </row>
    <row r="21" spans="1:3" x14ac:dyDescent="0.25">
      <c r="A21" t="s">
        <v>50</v>
      </c>
      <c r="B21">
        <v>-992</v>
      </c>
      <c r="C21">
        <v>-3015</v>
      </c>
    </row>
    <row r="22" spans="1:3" x14ac:dyDescent="0.25">
      <c r="A22" t="s">
        <v>51</v>
      </c>
      <c r="B22">
        <f>SUM(B20:B21)</f>
        <v>3285</v>
      </c>
      <c r="C22">
        <f>SUM(C20:C21)</f>
        <v>9475</v>
      </c>
    </row>
    <row r="23" spans="1:3" x14ac:dyDescent="0.25">
      <c r="A23" t="s">
        <v>52</v>
      </c>
      <c r="B23">
        <v>1500</v>
      </c>
      <c r="C23">
        <v>1800</v>
      </c>
    </row>
    <row r="24" spans="1:3" x14ac:dyDescent="0.25">
      <c r="A24" t="s">
        <v>49</v>
      </c>
      <c r="B24">
        <f>B22-B23</f>
        <v>1785</v>
      </c>
      <c r="C24">
        <v>7600</v>
      </c>
    </row>
  </sheetData>
  <mergeCells count="1">
    <mergeCell ref="A2:F2"/>
  </mergeCells>
  <hyperlinks>
    <hyperlink ref="A2"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2"/>
  <sheetViews>
    <sheetView topLeftCell="C1" workbookViewId="0">
      <selection activeCell="Q20" sqref="Q20"/>
    </sheetView>
  </sheetViews>
  <sheetFormatPr baseColWidth="10" defaultRowHeight="15" x14ac:dyDescent="0.25"/>
  <cols>
    <col min="1" max="1" width="57.85546875" customWidth="1"/>
    <col min="2" max="2" width="14" bestFit="1" customWidth="1"/>
    <col min="3" max="4" width="13.85546875" bestFit="1" customWidth="1"/>
    <col min="5" max="7" width="15.28515625" bestFit="1" customWidth="1"/>
    <col min="8" max="8" width="13.85546875" bestFit="1" customWidth="1"/>
    <col min="23" max="24" width="12.28515625" bestFit="1" customWidth="1"/>
  </cols>
  <sheetData>
    <row r="1" spans="1:28" x14ac:dyDescent="0.25">
      <c r="A1" t="s">
        <v>81</v>
      </c>
    </row>
    <row r="2" spans="1:28" x14ac:dyDescent="0.25">
      <c r="A2" t="s">
        <v>80</v>
      </c>
    </row>
    <row r="4" spans="1:28" x14ac:dyDescent="0.25">
      <c r="A4" t="s">
        <v>82</v>
      </c>
      <c r="B4">
        <v>4.7</v>
      </c>
      <c r="C4" t="s">
        <v>83</v>
      </c>
    </row>
    <row r="5" spans="1:28" x14ac:dyDescent="0.25">
      <c r="A5" t="s">
        <v>86</v>
      </c>
      <c r="B5" s="35">
        <f>B4/7</f>
        <v>0.67142857142857149</v>
      </c>
    </row>
    <row r="6" spans="1:28" x14ac:dyDescent="0.25">
      <c r="A6" s="37" t="s">
        <v>84</v>
      </c>
      <c r="B6" s="37">
        <v>2015</v>
      </c>
      <c r="C6" s="37">
        <v>2016</v>
      </c>
      <c r="D6" s="37">
        <v>2017</v>
      </c>
      <c r="E6" s="37">
        <v>2018</v>
      </c>
      <c r="F6" s="37">
        <v>2019</v>
      </c>
      <c r="G6" s="37">
        <v>2020</v>
      </c>
      <c r="H6" s="37">
        <v>2021</v>
      </c>
    </row>
    <row r="7" spans="1:28" x14ac:dyDescent="0.25">
      <c r="A7" t="s">
        <v>85</v>
      </c>
      <c r="B7">
        <v>0.5</v>
      </c>
      <c r="C7">
        <v>2.5</v>
      </c>
      <c r="D7">
        <v>4.5</v>
      </c>
      <c r="E7">
        <v>8</v>
      </c>
      <c r="F7">
        <v>8</v>
      </c>
      <c r="G7">
        <v>7.5</v>
      </c>
      <c r="H7">
        <v>4</v>
      </c>
    </row>
    <row r="8" spans="1:28" x14ac:dyDescent="0.25">
      <c r="A8" t="s">
        <v>91</v>
      </c>
      <c r="B8">
        <f>SUM(B7:H7)</f>
        <v>35</v>
      </c>
    </row>
    <row r="9" spans="1:28" x14ac:dyDescent="0.25">
      <c r="A9" t="s">
        <v>92</v>
      </c>
      <c r="B9">
        <v>20</v>
      </c>
    </row>
    <row r="10" spans="1:28" x14ac:dyDescent="0.25">
      <c r="A10" t="s">
        <v>87</v>
      </c>
      <c r="B10" s="36">
        <f>B4*1000/B8</f>
        <v>134.28571428571428</v>
      </c>
    </row>
    <row r="11" spans="1:28" x14ac:dyDescent="0.25">
      <c r="A11" s="37" t="s">
        <v>84</v>
      </c>
      <c r="B11" s="37">
        <v>2015</v>
      </c>
      <c r="C11" s="37">
        <v>2016</v>
      </c>
      <c r="D11" s="37">
        <v>2017</v>
      </c>
      <c r="E11" s="37">
        <v>2018</v>
      </c>
      <c r="F11" s="37">
        <v>2019</v>
      </c>
      <c r="G11" s="37">
        <v>2020</v>
      </c>
      <c r="H11" s="37">
        <v>2021</v>
      </c>
      <c r="Z11" s="45" t="s">
        <v>102</v>
      </c>
      <c r="AA11" s="45"/>
    </row>
    <row r="12" spans="1:28" x14ac:dyDescent="0.25">
      <c r="A12" t="s">
        <v>88</v>
      </c>
      <c r="B12" s="13">
        <f>$B$10*1000000*B7</f>
        <v>67142857.142857134</v>
      </c>
      <c r="C12" s="13">
        <f t="shared" ref="C12:H12" si="0">$B$10*1000000*C7</f>
        <v>335714285.71428567</v>
      </c>
      <c r="D12" s="13">
        <f t="shared" si="0"/>
        <v>604285714.28571415</v>
      </c>
      <c r="E12" s="13">
        <f t="shared" si="0"/>
        <v>1074285714.2857141</v>
      </c>
      <c r="F12" s="13">
        <f t="shared" si="0"/>
        <v>1074285714.2857141</v>
      </c>
      <c r="G12" s="13">
        <f t="shared" si="0"/>
        <v>1007142857.1428571</v>
      </c>
      <c r="H12" s="13">
        <f t="shared" si="0"/>
        <v>537142857.14285707</v>
      </c>
    </row>
    <row r="13" spans="1:28" x14ac:dyDescent="0.25">
      <c r="A13" s="37" t="s">
        <v>84</v>
      </c>
      <c r="B13" s="37">
        <v>2015</v>
      </c>
      <c r="C13" s="37">
        <v>2016</v>
      </c>
      <c r="D13" s="37">
        <v>2017</v>
      </c>
      <c r="E13" s="37">
        <v>2018</v>
      </c>
      <c r="F13" s="37">
        <v>2019</v>
      </c>
      <c r="G13" s="37">
        <v>2020</v>
      </c>
      <c r="H13" s="37">
        <v>2021</v>
      </c>
      <c r="I13" s="37">
        <v>2022</v>
      </c>
      <c r="J13" s="37">
        <v>2023</v>
      </c>
      <c r="K13" s="37">
        <v>2024</v>
      </c>
      <c r="L13" s="37">
        <v>2025</v>
      </c>
      <c r="M13" s="37">
        <v>2026</v>
      </c>
      <c r="N13" s="37">
        <v>2027</v>
      </c>
      <c r="O13" s="37">
        <v>2028</v>
      </c>
      <c r="P13" s="37">
        <v>2029</v>
      </c>
      <c r="Q13" s="37">
        <v>2030</v>
      </c>
      <c r="R13" s="37">
        <v>2031</v>
      </c>
      <c r="S13" s="37">
        <v>2032</v>
      </c>
      <c r="T13" s="37">
        <v>2033</v>
      </c>
      <c r="U13" s="37">
        <v>2034</v>
      </c>
      <c r="V13" s="37">
        <v>2035</v>
      </c>
      <c r="W13" s="37">
        <v>2036</v>
      </c>
      <c r="X13" s="37">
        <v>2037</v>
      </c>
      <c r="Y13" s="37">
        <v>2038</v>
      </c>
      <c r="Z13" s="37">
        <v>2039</v>
      </c>
      <c r="AA13" s="37">
        <v>2040</v>
      </c>
    </row>
    <row r="14" spans="1:28" x14ac:dyDescent="0.25">
      <c r="A14" t="s">
        <v>93</v>
      </c>
      <c r="B14" s="13">
        <f>$B$12/$B$9</f>
        <v>3357142.8571428568</v>
      </c>
      <c r="C14" s="13">
        <f>$B$12/$B$9</f>
        <v>3357142.8571428568</v>
      </c>
      <c r="D14" s="13">
        <f t="shared" ref="D14:K14" si="1">$B$12/$B$9</f>
        <v>3357142.8571428568</v>
      </c>
      <c r="E14" s="13">
        <f t="shared" si="1"/>
        <v>3357142.8571428568</v>
      </c>
      <c r="F14" s="13">
        <f t="shared" si="1"/>
        <v>3357142.8571428568</v>
      </c>
      <c r="G14" s="13">
        <f t="shared" si="1"/>
        <v>3357142.8571428568</v>
      </c>
      <c r="H14" s="13">
        <f t="shared" si="1"/>
        <v>3357142.8571428568</v>
      </c>
      <c r="I14" s="13">
        <f t="shared" si="1"/>
        <v>3357142.8571428568</v>
      </c>
      <c r="J14" s="13">
        <f t="shared" si="1"/>
        <v>3357142.8571428568</v>
      </c>
      <c r="K14" s="13">
        <f t="shared" si="1"/>
        <v>3357142.8571428568</v>
      </c>
      <c r="L14" s="13">
        <f>$B$12/$B$9</f>
        <v>3357142.8571428568</v>
      </c>
      <c r="M14" s="13">
        <f>$B$12/$B$9</f>
        <v>3357142.8571428568</v>
      </c>
      <c r="N14" s="13">
        <f t="shared" ref="N14:U14" si="2">$B$12/$B$9</f>
        <v>3357142.8571428568</v>
      </c>
      <c r="O14" s="13">
        <f t="shared" si="2"/>
        <v>3357142.8571428568</v>
      </c>
      <c r="P14" s="13">
        <f t="shared" si="2"/>
        <v>3357142.8571428568</v>
      </c>
      <c r="Q14" s="13">
        <f t="shared" si="2"/>
        <v>3357142.8571428568</v>
      </c>
      <c r="R14" s="13">
        <f t="shared" si="2"/>
        <v>3357142.8571428568</v>
      </c>
      <c r="S14" s="13">
        <f t="shared" si="2"/>
        <v>3357142.8571428568</v>
      </c>
      <c r="T14" s="13">
        <f t="shared" si="2"/>
        <v>3357142.8571428568</v>
      </c>
      <c r="U14" s="13">
        <f t="shared" si="2"/>
        <v>3357142.8571428568</v>
      </c>
      <c r="V14" s="44">
        <f>420000000/7</f>
        <v>60000000</v>
      </c>
      <c r="W14" s="44">
        <f t="shared" ref="W14:AA19" si="3">420000000/7</f>
        <v>60000000</v>
      </c>
      <c r="X14" s="44">
        <f t="shared" si="3"/>
        <v>60000000</v>
      </c>
      <c r="Y14" s="44">
        <f t="shared" si="3"/>
        <v>60000000</v>
      </c>
      <c r="Z14" s="44">
        <f t="shared" si="3"/>
        <v>60000000</v>
      </c>
      <c r="AA14" s="44">
        <f t="shared" si="3"/>
        <v>60000000</v>
      </c>
    </row>
    <row r="15" spans="1:28" x14ac:dyDescent="0.25">
      <c r="A15" t="s">
        <v>95</v>
      </c>
      <c r="C15" s="13">
        <f>$C$12/$B$9</f>
        <v>16785714.285714284</v>
      </c>
      <c r="D15" s="13">
        <f t="shared" ref="D15:V15" si="4">$C$12/$B$9</f>
        <v>16785714.285714284</v>
      </c>
      <c r="E15" s="13">
        <f t="shared" si="4"/>
        <v>16785714.285714284</v>
      </c>
      <c r="F15" s="13">
        <f t="shared" si="4"/>
        <v>16785714.285714284</v>
      </c>
      <c r="G15" s="13">
        <f t="shared" si="4"/>
        <v>16785714.285714284</v>
      </c>
      <c r="H15" s="13">
        <f t="shared" si="4"/>
        <v>16785714.285714284</v>
      </c>
      <c r="I15" s="13">
        <f t="shared" si="4"/>
        <v>16785714.285714284</v>
      </c>
      <c r="J15" s="13">
        <f t="shared" si="4"/>
        <v>16785714.285714284</v>
      </c>
      <c r="K15" s="13">
        <f t="shared" si="4"/>
        <v>16785714.285714284</v>
      </c>
      <c r="L15" s="13">
        <f t="shared" si="4"/>
        <v>16785714.285714284</v>
      </c>
      <c r="M15" s="13">
        <f t="shared" si="4"/>
        <v>16785714.285714284</v>
      </c>
      <c r="N15" s="13">
        <f t="shared" si="4"/>
        <v>16785714.285714284</v>
      </c>
      <c r="O15" s="13">
        <f t="shared" si="4"/>
        <v>16785714.285714284</v>
      </c>
      <c r="P15" s="13">
        <f t="shared" si="4"/>
        <v>16785714.285714284</v>
      </c>
      <c r="Q15" s="13">
        <f t="shared" si="4"/>
        <v>16785714.285714284</v>
      </c>
      <c r="R15" s="13">
        <f t="shared" si="4"/>
        <v>16785714.285714284</v>
      </c>
      <c r="S15" s="13">
        <f t="shared" si="4"/>
        <v>16785714.285714284</v>
      </c>
      <c r="T15" s="13">
        <f t="shared" si="4"/>
        <v>16785714.285714284</v>
      </c>
      <c r="U15" s="13">
        <f t="shared" si="4"/>
        <v>16785714.285714284</v>
      </c>
      <c r="V15" s="13">
        <f t="shared" si="4"/>
        <v>16785714.285714284</v>
      </c>
      <c r="W15" s="44">
        <f t="shared" si="3"/>
        <v>60000000</v>
      </c>
      <c r="X15" s="44">
        <f t="shared" si="3"/>
        <v>60000000</v>
      </c>
      <c r="Y15" s="44">
        <f t="shared" si="3"/>
        <v>60000000</v>
      </c>
      <c r="Z15" s="44">
        <f t="shared" si="3"/>
        <v>60000000</v>
      </c>
      <c r="AA15" s="44">
        <f t="shared" si="3"/>
        <v>60000000</v>
      </c>
    </row>
    <row r="16" spans="1:28" x14ac:dyDescent="0.25">
      <c r="A16" t="s">
        <v>94</v>
      </c>
      <c r="D16" s="13">
        <f>$D$12/$B$9</f>
        <v>30214285.714285709</v>
      </c>
      <c r="E16" s="13">
        <f t="shared" ref="E16:W16" si="5">$D$12/$B$9</f>
        <v>30214285.714285709</v>
      </c>
      <c r="F16" s="13">
        <f t="shared" si="5"/>
        <v>30214285.714285709</v>
      </c>
      <c r="G16" s="13">
        <f t="shared" si="5"/>
        <v>30214285.714285709</v>
      </c>
      <c r="H16" s="13">
        <f t="shared" si="5"/>
        <v>30214285.714285709</v>
      </c>
      <c r="I16" s="13">
        <f t="shared" si="5"/>
        <v>30214285.714285709</v>
      </c>
      <c r="J16" s="13">
        <f t="shared" si="5"/>
        <v>30214285.714285709</v>
      </c>
      <c r="K16" s="13">
        <f t="shared" si="5"/>
        <v>30214285.714285709</v>
      </c>
      <c r="L16" s="13">
        <f t="shared" si="5"/>
        <v>30214285.714285709</v>
      </c>
      <c r="M16" s="13">
        <f t="shared" si="5"/>
        <v>30214285.714285709</v>
      </c>
      <c r="N16" s="13">
        <f t="shared" si="5"/>
        <v>30214285.714285709</v>
      </c>
      <c r="O16" s="13">
        <f t="shared" si="5"/>
        <v>30214285.714285709</v>
      </c>
      <c r="P16" s="13">
        <f t="shared" si="5"/>
        <v>30214285.714285709</v>
      </c>
      <c r="Q16" s="13">
        <f t="shared" si="5"/>
        <v>30214285.714285709</v>
      </c>
      <c r="R16" s="13">
        <f t="shared" si="5"/>
        <v>30214285.714285709</v>
      </c>
      <c r="S16" s="13">
        <f t="shared" si="5"/>
        <v>30214285.714285709</v>
      </c>
      <c r="T16" s="13">
        <f t="shared" si="5"/>
        <v>30214285.714285709</v>
      </c>
      <c r="U16" s="13">
        <f t="shared" si="5"/>
        <v>30214285.714285709</v>
      </c>
      <c r="V16" s="13">
        <f t="shared" si="5"/>
        <v>30214285.714285709</v>
      </c>
      <c r="W16" s="13">
        <f t="shared" si="5"/>
        <v>30214285.714285709</v>
      </c>
      <c r="X16" s="44">
        <f t="shared" si="3"/>
        <v>60000000</v>
      </c>
      <c r="Y16" s="44">
        <f t="shared" si="3"/>
        <v>60000000</v>
      </c>
      <c r="Z16" s="44">
        <f t="shared" si="3"/>
        <v>60000000</v>
      </c>
      <c r="AA16" s="44">
        <f t="shared" si="3"/>
        <v>60000000</v>
      </c>
      <c r="AB16" s="13"/>
    </row>
    <row r="17" spans="1:31" x14ac:dyDescent="0.25">
      <c r="A17" t="s">
        <v>96</v>
      </c>
      <c r="E17" s="13">
        <f>$E$12/$B$9</f>
        <v>53714285.714285709</v>
      </c>
      <c r="F17" s="13">
        <f t="shared" ref="F17:X17" si="6">$E$12/$B$9</f>
        <v>53714285.714285709</v>
      </c>
      <c r="G17" s="13">
        <f t="shared" si="6"/>
        <v>53714285.714285709</v>
      </c>
      <c r="H17" s="13">
        <f t="shared" si="6"/>
        <v>53714285.714285709</v>
      </c>
      <c r="I17" s="13">
        <f t="shared" si="6"/>
        <v>53714285.714285709</v>
      </c>
      <c r="J17" s="13">
        <f t="shared" si="6"/>
        <v>53714285.714285709</v>
      </c>
      <c r="K17" s="13">
        <f t="shared" si="6"/>
        <v>53714285.714285709</v>
      </c>
      <c r="L17" s="13">
        <f t="shared" si="6"/>
        <v>53714285.714285709</v>
      </c>
      <c r="M17" s="13">
        <f t="shared" si="6"/>
        <v>53714285.714285709</v>
      </c>
      <c r="N17" s="13">
        <f t="shared" si="6"/>
        <v>53714285.714285709</v>
      </c>
      <c r="O17" s="13">
        <f t="shared" si="6"/>
        <v>53714285.714285709</v>
      </c>
      <c r="P17" s="13">
        <f t="shared" si="6"/>
        <v>53714285.714285709</v>
      </c>
      <c r="Q17" s="13">
        <f t="shared" si="6"/>
        <v>53714285.714285709</v>
      </c>
      <c r="R17" s="13">
        <f t="shared" si="6"/>
        <v>53714285.714285709</v>
      </c>
      <c r="S17" s="13">
        <f t="shared" si="6"/>
        <v>53714285.714285709</v>
      </c>
      <c r="T17" s="13">
        <f t="shared" si="6"/>
        <v>53714285.714285709</v>
      </c>
      <c r="U17" s="13">
        <f t="shared" si="6"/>
        <v>53714285.714285709</v>
      </c>
      <c r="V17" s="13">
        <f t="shared" si="6"/>
        <v>53714285.714285709</v>
      </c>
      <c r="W17" s="13">
        <f t="shared" si="6"/>
        <v>53714285.714285709</v>
      </c>
      <c r="X17" s="13">
        <f t="shared" si="6"/>
        <v>53714285.714285709</v>
      </c>
      <c r="Y17" s="44">
        <f t="shared" si="3"/>
        <v>60000000</v>
      </c>
      <c r="Z17" s="44">
        <f t="shared" si="3"/>
        <v>60000000</v>
      </c>
      <c r="AA17" s="44">
        <f t="shared" si="3"/>
        <v>60000000</v>
      </c>
      <c r="AB17" s="13"/>
      <c r="AC17" s="13"/>
    </row>
    <row r="18" spans="1:31" x14ac:dyDescent="0.25">
      <c r="A18" t="s">
        <v>97</v>
      </c>
      <c r="F18" s="13">
        <f>$F$12/$B$9</f>
        <v>53714285.714285709</v>
      </c>
      <c r="G18" s="13">
        <f t="shared" ref="G18:Y18" si="7">$F$12/$B$9</f>
        <v>53714285.714285709</v>
      </c>
      <c r="H18" s="13">
        <f t="shared" si="7"/>
        <v>53714285.714285709</v>
      </c>
      <c r="I18" s="13">
        <f t="shared" si="7"/>
        <v>53714285.714285709</v>
      </c>
      <c r="J18" s="13">
        <f t="shared" si="7"/>
        <v>53714285.714285709</v>
      </c>
      <c r="K18" s="13">
        <f t="shared" si="7"/>
        <v>53714285.714285709</v>
      </c>
      <c r="L18" s="13">
        <f t="shared" si="7"/>
        <v>53714285.714285709</v>
      </c>
      <c r="M18" s="13">
        <f t="shared" si="7"/>
        <v>53714285.714285709</v>
      </c>
      <c r="N18" s="13">
        <f t="shared" si="7"/>
        <v>53714285.714285709</v>
      </c>
      <c r="O18" s="13">
        <f t="shared" si="7"/>
        <v>53714285.714285709</v>
      </c>
      <c r="P18" s="13">
        <f t="shared" si="7"/>
        <v>53714285.714285709</v>
      </c>
      <c r="Q18" s="13">
        <f t="shared" si="7"/>
        <v>53714285.714285709</v>
      </c>
      <c r="R18" s="13">
        <f t="shared" si="7"/>
        <v>53714285.714285709</v>
      </c>
      <c r="S18" s="13">
        <f t="shared" si="7"/>
        <v>53714285.714285709</v>
      </c>
      <c r="T18" s="13">
        <f t="shared" si="7"/>
        <v>53714285.714285709</v>
      </c>
      <c r="U18" s="13">
        <f t="shared" si="7"/>
        <v>53714285.714285709</v>
      </c>
      <c r="V18" s="13">
        <f t="shared" si="7"/>
        <v>53714285.714285709</v>
      </c>
      <c r="W18" s="13">
        <f t="shared" si="7"/>
        <v>53714285.714285709</v>
      </c>
      <c r="X18" s="13">
        <f t="shared" si="7"/>
        <v>53714285.714285709</v>
      </c>
      <c r="Y18" s="13">
        <f t="shared" si="7"/>
        <v>53714285.714285709</v>
      </c>
      <c r="Z18" s="44">
        <f t="shared" si="3"/>
        <v>60000000</v>
      </c>
      <c r="AA18" s="44">
        <f t="shared" si="3"/>
        <v>60000000</v>
      </c>
      <c r="AB18" s="13"/>
      <c r="AC18" s="13"/>
      <c r="AD18" s="13"/>
    </row>
    <row r="19" spans="1:31" x14ac:dyDescent="0.25">
      <c r="A19" t="s">
        <v>98</v>
      </c>
      <c r="G19" s="13">
        <f>$G$12/$B$9</f>
        <v>50357142.857142851</v>
      </c>
      <c r="H19" s="13">
        <f t="shared" ref="H19:Z19" si="8">$G$12/$B$9</f>
        <v>50357142.857142851</v>
      </c>
      <c r="I19" s="13">
        <f t="shared" si="8"/>
        <v>50357142.857142851</v>
      </c>
      <c r="J19" s="13">
        <f t="shared" si="8"/>
        <v>50357142.857142851</v>
      </c>
      <c r="K19" s="13">
        <f t="shared" si="8"/>
        <v>50357142.857142851</v>
      </c>
      <c r="L19" s="13">
        <f t="shared" si="8"/>
        <v>50357142.857142851</v>
      </c>
      <c r="M19" s="13">
        <f t="shared" si="8"/>
        <v>50357142.857142851</v>
      </c>
      <c r="N19" s="13">
        <f t="shared" si="8"/>
        <v>50357142.857142851</v>
      </c>
      <c r="O19" s="13">
        <f t="shared" si="8"/>
        <v>50357142.857142851</v>
      </c>
      <c r="P19" s="13">
        <f t="shared" si="8"/>
        <v>50357142.857142851</v>
      </c>
      <c r="Q19" s="13">
        <f t="shared" si="8"/>
        <v>50357142.857142851</v>
      </c>
      <c r="R19" s="13">
        <f t="shared" si="8"/>
        <v>50357142.857142851</v>
      </c>
      <c r="S19" s="13">
        <f t="shared" si="8"/>
        <v>50357142.857142851</v>
      </c>
      <c r="T19" s="13">
        <f t="shared" si="8"/>
        <v>50357142.857142851</v>
      </c>
      <c r="U19" s="13">
        <f t="shared" si="8"/>
        <v>50357142.857142851</v>
      </c>
      <c r="V19" s="13">
        <f t="shared" si="8"/>
        <v>50357142.857142851</v>
      </c>
      <c r="W19" s="13">
        <f t="shared" si="8"/>
        <v>50357142.857142851</v>
      </c>
      <c r="X19" s="13">
        <f t="shared" si="8"/>
        <v>50357142.857142851</v>
      </c>
      <c r="Y19" s="13">
        <f t="shared" si="8"/>
        <v>50357142.857142851</v>
      </c>
      <c r="Z19" s="13">
        <f t="shared" si="8"/>
        <v>50357142.857142851</v>
      </c>
      <c r="AA19" s="44">
        <f t="shared" si="3"/>
        <v>60000000</v>
      </c>
      <c r="AB19" s="13"/>
      <c r="AC19" s="13"/>
      <c r="AD19" s="13"/>
      <c r="AE19" s="13"/>
    </row>
    <row r="20" spans="1:31" x14ac:dyDescent="0.25">
      <c r="A20" t="s">
        <v>99</v>
      </c>
      <c r="H20" s="13">
        <f>$H$12/$B$9</f>
        <v>26857142.857142854</v>
      </c>
      <c r="I20" s="13">
        <f t="shared" ref="I20:AA20" si="9">$H$12/$B$9</f>
        <v>26857142.857142854</v>
      </c>
      <c r="J20" s="13">
        <f t="shared" si="9"/>
        <v>26857142.857142854</v>
      </c>
      <c r="K20" s="13">
        <f t="shared" si="9"/>
        <v>26857142.857142854</v>
      </c>
      <c r="L20" s="13">
        <f t="shared" si="9"/>
        <v>26857142.857142854</v>
      </c>
      <c r="M20" s="13">
        <f t="shared" si="9"/>
        <v>26857142.857142854</v>
      </c>
      <c r="N20" s="13">
        <f t="shared" si="9"/>
        <v>26857142.857142854</v>
      </c>
      <c r="O20" s="13">
        <f t="shared" si="9"/>
        <v>26857142.857142854</v>
      </c>
      <c r="P20" s="13">
        <f t="shared" si="9"/>
        <v>26857142.857142854</v>
      </c>
      <c r="Q20" s="13">
        <f t="shared" si="9"/>
        <v>26857142.857142854</v>
      </c>
      <c r="R20" s="13">
        <f t="shared" si="9"/>
        <v>26857142.857142854</v>
      </c>
      <c r="S20" s="13">
        <f t="shared" si="9"/>
        <v>26857142.857142854</v>
      </c>
      <c r="T20" s="13">
        <f t="shared" si="9"/>
        <v>26857142.857142854</v>
      </c>
      <c r="U20" s="13">
        <f t="shared" si="9"/>
        <v>26857142.857142854</v>
      </c>
      <c r="V20" s="13">
        <f t="shared" si="9"/>
        <v>26857142.857142854</v>
      </c>
      <c r="W20" s="13">
        <f t="shared" si="9"/>
        <v>26857142.857142854</v>
      </c>
      <c r="X20" s="13">
        <f t="shared" si="9"/>
        <v>26857142.857142854</v>
      </c>
      <c r="Y20" s="13">
        <f t="shared" si="9"/>
        <v>26857142.857142854</v>
      </c>
      <c r="Z20" s="13">
        <f t="shared" si="9"/>
        <v>26857142.857142854</v>
      </c>
      <c r="AA20" s="13">
        <f t="shared" si="9"/>
        <v>26857142.857142854</v>
      </c>
    </row>
    <row r="21" spans="1:31" x14ac:dyDescent="0.25">
      <c r="A21" t="s">
        <v>100</v>
      </c>
      <c r="B21" s="13">
        <f>SUM(B14:B20)</f>
        <v>3357142.8571428568</v>
      </c>
      <c r="C21" s="13">
        <f t="shared" ref="C21:AA21" si="10">SUM(C14:C20)</f>
        <v>20142857.142857142</v>
      </c>
      <c r="D21" s="13">
        <f t="shared" si="10"/>
        <v>50357142.857142851</v>
      </c>
      <c r="E21" s="13">
        <f t="shared" si="10"/>
        <v>104071428.57142857</v>
      </c>
      <c r="F21" s="13">
        <f t="shared" si="10"/>
        <v>157785714.28571427</v>
      </c>
      <c r="G21" s="13">
        <f t="shared" si="10"/>
        <v>208142857.14285713</v>
      </c>
      <c r="H21" s="13">
        <f t="shared" si="10"/>
        <v>235000000</v>
      </c>
      <c r="I21" s="13">
        <f t="shared" si="10"/>
        <v>235000000</v>
      </c>
      <c r="J21" s="13">
        <f t="shared" si="10"/>
        <v>235000000</v>
      </c>
      <c r="K21" s="13">
        <f t="shared" si="10"/>
        <v>235000000</v>
      </c>
      <c r="L21" s="13">
        <f t="shared" si="10"/>
        <v>235000000</v>
      </c>
      <c r="M21" s="13">
        <f t="shared" si="10"/>
        <v>235000000</v>
      </c>
      <c r="N21" s="13">
        <f t="shared" si="10"/>
        <v>235000000</v>
      </c>
      <c r="O21" s="13">
        <f t="shared" si="10"/>
        <v>235000000</v>
      </c>
      <c r="P21" s="13">
        <f t="shared" si="10"/>
        <v>235000000</v>
      </c>
      <c r="Q21" s="13">
        <f t="shared" si="10"/>
        <v>235000000</v>
      </c>
      <c r="R21" s="13">
        <f t="shared" si="10"/>
        <v>235000000</v>
      </c>
      <c r="S21" s="13">
        <f t="shared" si="10"/>
        <v>235000000</v>
      </c>
      <c r="T21" s="13">
        <f t="shared" si="10"/>
        <v>235000000</v>
      </c>
      <c r="U21" s="13">
        <f t="shared" si="10"/>
        <v>235000000</v>
      </c>
      <c r="V21" s="13">
        <f t="shared" si="10"/>
        <v>291642857.14285713</v>
      </c>
      <c r="W21" s="13">
        <f>SUM(W14:W20)</f>
        <v>334857142.85714281</v>
      </c>
      <c r="X21" s="13">
        <f>SUM(X14:X20)</f>
        <v>364642857.14285713</v>
      </c>
      <c r="Y21" s="13">
        <f t="shared" si="10"/>
        <v>370928571.42857146</v>
      </c>
      <c r="Z21" s="13">
        <f t="shared" si="10"/>
        <v>377214285.71428573</v>
      </c>
      <c r="AA21" s="13">
        <f t="shared" si="10"/>
        <v>386857142.85714287</v>
      </c>
    </row>
    <row r="22" spans="1:31" x14ac:dyDescent="0.25">
      <c r="A22" t="s">
        <v>101</v>
      </c>
      <c r="B22" s="13">
        <f>B21/1000000</f>
        <v>3.3571428571428568</v>
      </c>
      <c r="C22" s="13">
        <f t="shared" ref="C22:AA22" si="11">C21/1000000</f>
        <v>20.142857142857142</v>
      </c>
      <c r="D22" s="13">
        <f t="shared" si="11"/>
        <v>50.357142857142854</v>
      </c>
      <c r="E22" s="13">
        <f t="shared" si="11"/>
        <v>104.07142857142857</v>
      </c>
      <c r="F22" s="13">
        <f t="shared" si="11"/>
        <v>157.78571428571428</v>
      </c>
      <c r="G22" s="13">
        <f t="shared" si="11"/>
        <v>208.14285714285714</v>
      </c>
      <c r="H22" s="13">
        <f t="shared" si="11"/>
        <v>235</v>
      </c>
      <c r="I22" s="13">
        <f t="shared" si="11"/>
        <v>235</v>
      </c>
      <c r="J22" s="13">
        <f t="shared" si="11"/>
        <v>235</v>
      </c>
      <c r="K22" s="13">
        <f t="shared" si="11"/>
        <v>235</v>
      </c>
      <c r="L22" s="13">
        <f t="shared" si="11"/>
        <v>235</v>
      </c>
      <c r="M22" s="13">
        <f t="shared" si="11"/>
        <v>235</v>
      </c>
      <c r="N22" s="13">
        <f t="shared" si="11"/>
        <v>235</v>
      </c>
      <c r="O22" s="13">
        <f t="shared" si="11"/>
        <v>235</v>
      </c>
      <c r="P22" s="13">
        <f t="shared" si="11"/>
        <v>235</v>
      </c>
      <c r="Q22" s="13">
        <f t="shared" si="11"/>
        <v>235</v>
      </c>
      <c r="R22" s="13">
        <f t="shared" si="11"/>
        <v>235</v>
      </c>
      <c r="S22" s="13">
        <f t="shared" si="11"/>
        <v>235</v>
      </c>
      <c r="T22" s="13">
        <f t="shared" si="11"/>
        <v>235</v>
      </c>
      <c r="U22" s="13">
        <f t="shared" si="11"/>
        <v>235</v>
      </c>
      <c r="V22" s="13">
        <f t="shared" si="11"/>
        <v>291.64285714285711</v>
      </c>
      <c r="W22" s="13">
        <f t="shared" si="11"/>
        <v>334.85714285714283</v>
      </c>
      <c r="X22" s="13">
        <f t="shared" si="11"/>
        <v>364.64285714285711</v>
      </c>
      <c r="Y22" s="13">
        <f t="shared" si="11"/>
        <v>370.92857142857144</v>
      </c>
      <c r="Z22" s="13">
        <f t="shared" si="11"/>
        <v>377.21428571428572</v>
      </c>
      <c r="AA22" s="13">
        <f t="shared" si="11"/>
        <v>386.85714285714289</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Q51"/>
  <sheetViews>
    <sheetView topLeftCell="X1" workbookViewId="0">
      <selection activeCell="E14" sqref="E14:AP14"/>
    </sheetView>
  </sheetViews>
  <sheetFormatPr baseColWidth="10" defaultRowHeight="15" x14ac:dyDescent="0.25"/>
  <cols>
    <col min="1" max="1" width="40.5703125" bestFit="1" customWidth="1"/>
  </cols>
  <sheetData>
    <row r="1" spans="1:42" x14ac:dyDescent="0.25">
      <c r="A1" s="3" t="s">
        <v>78</v>
      </c>
      <c r="B1" s="3">
        <v>2010</v>
      </c>
      <c r="C1" s="3">
        <v>2011</v>
      </c>
      <c r="D1" s="3">
        <v>2012</v>
      </c>
      <c r="E1" s="3">
        <v>2013</v>
      </c>
      <c r="F1" s="3">
        <v>2014</v>
      </c>
      <c r="G1" s="3">
        <v>2015</v>
      </c>
      <c r="H1" s="3">
        <v>2016</v>
      </c>
      <c r="I1" s="3">
        <v>2017</v>
      </c>
      <c r="J1" s="3">
        <v>2018</v>
      </c>
      <c r="K1" s="3">
        <v>2019</v>
      </c>
      <c r="L1" s="3">
        <v>2020</v>
      </c>
      <c r="M1" s="3">
        <v>2021</v>
      </c>
      <c r="N1" s="3">
        <v>2022</v>
      </c>
      <c r="O1" s="3">
        <v>2023</v>
      </c>
      <c r="P1" s="3">
        <v>2024</v>
      </c>
      <c r="Q1" s="3">
        <v>2025</v>
      </c>
      <c r="R1" s="3">
        <v>2026</v>
      </c>
      <c r="S1" s="3">
        <v>2027</v>
      </c>
      <c r="T1" s="3">
        <v>2028</v>
      </c>
      <c r="U1" s="3">
        <v>2029</v>
      </c>
      <c r="V1" s="3">
        <v>2030</v>
      </c>
      <c r="W1" s="3">
        <v>2031</v>
      </c>
      <c r="X1" s="3">
        <v>2032</v>
      </c>
      <c r="Y1" s="3">
        <v>2033</v>
      </c>
      <c r="Z1" s="3">
        <v>2034</v>
      </c>
      <c r="AA1" s="3">
        <v>2035</v>
      </c>
      <c r="AB1" s="3">
        <v>2036</v>
      </c>
      <c r="AC1" s="3">
        <v>2037</v>
      </c>
      <c r="AD1" s="3">
        <v>2038</v>
      </c>
      <c r="AE1" s="3">
        <v>2039</v>
      </c>
      <c r="AF1" s="3">
        <v>2040</v>
      </c>
      <c r="AG1" s="3">
        <v>2041</v>
      </c>
      <c r="AH1" s="3">
        <v>2042</v>
      </c>
      <c r="AI1" s="3">
        <v>2043</v>
      </c>
      <c r="AJ1" s="3">
        <v>2044</v>
      </c>
      <c r="AK1" s="3">
        <v>2045</v>
      </c>
      <c r="AL1" s="3">
        <v>2046</v>
      </c>
      <c r="AM1" s="3">
        <v>2047</v>
      </c>
      <c r="AN1" s="3">
        <v>2048</v>
      </c>
      <c r="AO1" s="3">
        <v>2049</v>
      </c>
      <c r="AP1" s="3">
        <v>2050</v>
      </c>
    </row>
    <row r="2" spans="1:42" x14ac:dyDescent="0.25">
      <c r="A2" s="29" t="s">
        <v>79</v>
      </c>
      <c r="B2" s="29"/>
      <c r="C2" s="29"/>
      <c r="D2" s="29"/>
      <c r="E2" s="29"/>
      <c r="F2" s="29"/>
      <c r="G2" s="29"/>
      <c r="H2" s="29"/>
      <c r="I2" s="29"/>
      <c r="J2" s="29"/>
      <c r="K2" s="29"/>
      <c r="L2" s="29"/>
      <c r="M2" s="29"/>
      <c r="N2" s="29"/>
      <c r="O2" s="29"/>
      <c r="P2" s="30">
        <v>0.4</v>
      </c>
      <c r="Q2" s="30"/>
      <c r="R2" s="29"/>
      <c r="S2" s="29"/>
      <c r="T2" s="30"/>
      <c r="U2" s="29"/>
      <c r="V2" s="29"/>
      <c r="W2" s="29"/>
      <c r="X2" s="29"/>
      <c r="Y2" s="29"/>
      <c r="Z2" s="29"/>
      <c r="AA2" s="29"/>
      <c r="AB2" s="29"/>
      <c r="AC2" s="29"/>
      <c r="AD2" s="29"/>
      <c r="AE2" s="29"/>
      <c r="AF2" s="29"/>
      <c r="AG2" s="29"/>
      <c r="AH2" s="30">
        <v>0.8</v>
      </c>
      <c r="AI2" s="29"/>
      <c r="AJ2" s="29"/>
      <c r="AK2" s="29"/>
      <c r="AL2" s="29"/>
      <c r="AM2" s="29"/>
      <c r="AN2" s="30">
        <v>0.95</v>
      </c>
      <c r="AO2" s="29"/>
      <c r="AP2" s="30">
        <v>1</v>
      </c>
    </row>
    <row r="3" spans="1:42" s="23" customFormat="1" x14ac:dyDescent="0.25">
      <c r="A3" s="106"/>
      <c r="B3" s="106"/>
      <c r="C3" s="106"/>
      <c r="D3" s="106"/>
      <c r="E3" s="106"/>
      <c r="F3" s="106"/>
      <c r="G3" s="106"/>
      <c r="H3" s="106"/>
      <c r="I3" s="106"/>
      <c r="J3" s="106"/>
      <c r="K3" s="106"/>
      <c r="L3" s="106"/>
      <c r="M3" s="106"/>
      <c r="N3" s="106"/>
      <c r="O3" s="106"/>
      <c r="P3" s="107"/>
      <c r="Q3" s="107"/>
      <c r="R3" s="106"/>
      <c r="S3" s="106"/>
      <c r="T3" s="106"/>
      <c r="U3" s="106"/>
      <c r="V3" s="106"/>
      <c r="W3" s="106"/>
      <c r="X3" s="106"/>
      <c r="Y3" s="106"/>
      <c r="Z3" s="106"/>
      <c r="AA3" s="106"/>
      <c r="AB3" s="106"/>
      <c r="AC3" s="106"/>
      <c r="AD3" s="106"/>
      <c r="AE3" s="106"/>
      <c r="AF3" s="106"/>
      <c r="AG3" s="106"/>
      <c r="AH3" s="107"/>
      <c r="AI3" s="106"/>
      <c r="AJ3" s="106"/>
      <c r="AK3" s="106"/>
      <c r="AL3" s="106"/>
      <c r="AM3" s="106"/>
      <c r="AN3" s="107"/>
      <c r="AO3" s="106"/>
      <c r="AP3" s="107"/>
    </row>
    <row r="4" spans="1:42" s="23" customFormat="1" x14ac:dyDescent="0.25">
      <c r="A4" s="106" t="s">
        <v>191</v>
      </c>
      <c r="B4" s="106"/>
      <c r="C4" s="106"/>
      <c r="D4" s="106"/>
      <c r="E4" s="108">
        <f>E7+E17+E22-E26+E37+E43+E49</f>
        <v>7794.932643433277</v>
      </c>
      <c r="F4" s="108">
        <f t="shared" ref="F4:AP4" si="0">F7+F17+F22-F26+F37+F43+F49</f>
        <v>9044.3559204936118</v>
      </c>
      <c r="G4" s="108">
        <f t="shared" si="0"/>
        <v>10277.374730492407</v>
      </c>
      <c r="H4" s="108">
        <f t="shared" si="0"/>
        <v>11490.245233987778</v>
      </c>
      <c r="I4" s="108">
        <f t="shared" si="0"/>
        <v>12682.967797251575</v>
      </c>
      <c r="J4" s="108">
        <f t="shared" si="0"/>
        <v>14215.48541484475</v>
      </c>
      <c r="K4" s="108">
        <f t="shared" si="0"/>
        <v>15713.15272977243</v>
      </c>
      <c r="L4" s="108">
        <f t="shared" si="0"/>
        <v>17175.969984825682</v>
      </c>
      <c r="M4" s="108">
        <f t="shared" si="0"/>
        <v>18603.937379830666</v>
      </c>
      <c r="N4" s="108">
        <f t="shared" si="0"/>
        <v>19997.055071432776</v>
      </c>
      <c r="O4" s="108">
        <f t="shared" si="0"/>
        <v>21355.323173281758</v>
      </c>
      <c r="P4" s="108">
        <f t="shared" si="0"/>
        <v>22570.05668165343</v>
      </c>
      <c r="Q4" s="108">
        <f t="shared" si="0"/>
        <v>23755.822769560993</v>
      </c>
      <c r="R4" s="108">
        <f t="shared" si="0"/>
        <v>24912.621344249659</v>
      </c>
      <c r="S4" s="108">
        <f t="shared" si="0"/>
        <v>26040.452257726811</v>
      </c>
      <c r="T4" s="108">
        <f t="shared" si="0"/>
        <v>27139.315310558173</v>
      </c>
      <c r="U4" s="108">
        <f t="shared" si="0"/>
        <v>28209.210256069266</v>
      </c>
      <c r="V4" s="108">
        <f t="shared" si="0"/>
        <v>29250.136804901114</v>
      </c>
      <c r="W4" s="108">
        <f t="shared" si="0"/>
        <v>30276.69845979118</v>
      </c>
      <c r="X4" s="108">
        <f t="shared" si="0"/>
        <v>31288.895036079295</v>
      </c>
      <c r="Y4" s="108">
        <f t="shared" si="0"/>
        <v>32215.585688807238</v>
      </c>
      <c r="Z4" s="108">
        <f t="shared" si="0"/>
        <v>33125.272138307948</v>
      </c>
      <c r="AA4" s="108">
        <f t="shared" si="0"/>
        <v>34023.329257856938</v>
      </c>
      <c r="AB4" s="108">
        <f t="shared" si="0"/>
        <v>34909.756758340001</v>
      </c>
      <c r="AC4" s="108">
        <f t="shared" si="0"/>
        <v>35784.554333272732</v>
      </c>
      <c r="AD4" s="108">
        <f t="shared" si="0"/>
        <v>36448.298395874772</v>
      </c>
      <c r="AE4" s="108">
        <f t="shared" si="0"/>
        <v>36799.627040515465</v>
      </c>
      <c r="AF4" s="108">
        <f t="shared" si="0"/>
        <v>37155.786972755894</v>
      </c>
      <c r="AG4" s="108">
        <f t="shared" si="0"/>
        <v>37516.777677224687</v>
      </c>
      <c r="AH4" s="108">
        <f t="shared" si="0"/>
        <v>37882.598650298183</v>
      </c>
      <c r="AI4" s="108">
        <f t="shared" si="0"/>
        <v>38253.249404227245</v>
      </c>
      <c r="AJ4" s="108">
        <f t="shared" si="0"/>
        <v>38682.402899598441</v>
      </c>
      <c r="AK4" s="108">
        <f t="shared" si="0"/>
        <v>39117.669531603453</v>
      </c>
      <c r="AL4" s="108">
        <f t="shared" si="0"/>
        <v>39553.968582253074</v>
      </c>
      <c r="AM4" s="108">
        <f t="shared" si="0"/>
        <v>39991.299757500943</v>
      </c>
      <c r="AN4" s="108">
        <f t="shared" si="0"/>
        <v>40429.662804148058</v>
      </c>
      <c r="AO4" s="108">
        <f t="shared" si="0"/>
        <v>40869.057510414081</v>
      </c>
      <c r="AP4" s="108">
        <f t="shared" si="0"/>
        <v>41309.483706074177</v>
      </c>
    </row>
    <row r="5" spans="1:42" s="23" customFormat="1" x14ac:dyDescent="0.25">
      <c r="A5" s="106" t="s">
        <v>202</v>
      </c>
      <c r="B5" s="106"/>
      <c r="C5" s="106"/>
      <c r="D5" s="106"/>
      <c r="E5" s="108">
        <f>E26</f>
        <v>27.266116320000005</v>
      </c>
      <c r="F5" s="108">
        <f t="shared" ref="F5:AP5" si="1">F26</f>
        <v>36.606315850826675</v>
      </c>
      <c r="G5" s="108">
        <f t="shared" si="1"/>
        <v>45.946516118763533</v>
      </c>
      <c r="H5" s="108">
        <f t="shared" si="1"/>
        <v>55.28671748176302</v>
      </c>
      <c r="I5" s="108">
        <f t="shared" si="1"/>
        <v>64.626920287327408</v>
      </c>
      <c r="J5" s="108">
        <f t="shared" si="1"/>
        <v>73.96712487008476</v>
      </c>
      <c r="K5" s="108">
        <f t="shared" si="1"/>
        <v>83.30733154947481</v>
      </c>
      <c r="L5" s="108">
        <f t="shared" si="1"/>
        <v>92.647540627560772</v>
      </c>
      <c r="M5" s="108">
        <f t="shared" si="1"/>
        <v>101.98775238698191</v>
      </c>
      <c r="N5" s="108">
        <f t="shared" si="1"/>
        <v>111.32796708906042</v>
      </c>
      <c r="O5" s="108">
        <f t="shared" si="1"/>
        <v>120.66818497207537</v>
      </c>
      <c r="P5" s="108">
        <f t="shared" si="1"/>
        <v>130.00840624971468</v>
      </c>
      <c r="Q5" s="108">
        <f t="shared" si="1"/>
        <v>139.34863110971506</v>
      </c>
      <c r="R5" s="108">
        <f t="shared" si="1"/>
        <v>148.68885971269856</v>
      </c>
      <c r="S5" s="108">
        <f t="shared" si="1"/>
        <v>158.02909219121233</v>
      </c>
      <c r="T5" s="108">
        <f t="shared" si="1"/>
        <v>167.36932864897722</v>
      </c>
      <c r="U5" s="108">
        <f t="shared" si="1"/>
        <v>176.70956916034919</v>
      </c>
      <c r="V5" s="108">
        <f t="shared" si="1"/>
        <v>186.04981376999569</v>
      </c>
      <c r="W5" s="108">
        <f t="shared" si="1"/>
        <v>195.39006249278796</v>
      </c>
      <c r="X5" s="108">
        <f t="shared" si="1"/>
        <v>204.73031531390833</v>
      </c>
      <c r="Y5" s="108">
        <f t="shared" si="1"/>
        <v>214.07057218917038</v>
      </c>
      <c r="Z5" s="108">
        <f t="shared" si="1"/>
        <v>223.41083304554783</v>
      </c>
      <c r="AA5" s="108">
        <f t="shared" si="1"/>
        <v>232.75109778190736</v>
      </c>
      <c r="AB5" s="108">
        <f t="shared" si="1"/>
        <v>242.09136626993796</v>
      </c>
      <c r="AC5" s="108">
        <f t="shared" si="1"/>
        <v>251.4316383552692</v>
      </c>
      <c r="AD5" s="108">
        <f t="shared" si="1"/>
        <v>260.77191385876898</v>
      </c>
      <c r="AE5" s="108">
        <f t="shared" si="1"/>
        <v>270.11219257800985</v>
      </c>
      <c r="AF5" s="108">
        <f t="shared" si="1"/>
        <v>279.45247428889263</v>
      </c>
      <c r="AG5" s="108">
        <f t="shared" si="1"/>
        <v>288.7927587474137</v>
      </c>
      <c r="AH5" s="108">
        <f t="shared" si="1"/>
        <v>298.13304569156321</v>
      </c>
      <c r="AI5" s="108">
        <f t="shared" si="1"/>
        <v>307.47333484333905</v>
      </c>
      <c r="AJ5" s="108">
        <f t="shared" si="1"/>
        <v>316.81362591086099</v>
      </c>
      <c r="AK5" s="108">
        <f t="shared" si="1"/>
        <v>326.15391859057007</v>
      </c>
      <c r="AL5" s="108">
        <f t="shared" si="1"/>
        <v>335.4942125694954</v>
      </c>
      <c r="AM5" s="108">
        <f t="shared" si="1"/>
        <v>344.83450752757324</v>
      </c>
      <c r="AN5" s="108">
        <f t="shared" si="1"/>
        <v>354.17480313999937</v>
      </c>
      <c r="AO5" s="108">
        <f t="shared" si="1"/>
        <v>363.51509907959974</v>
      </c>
      <c r="AP5" s="108">
        <f t="shared" si="1"/>
        <v>372.85539501920005</v>
      </c>
    </row>
    <row r="6" spans="1:42" s="23" customFormat="1" x14ac:dyDescent="0.25">
      <c r="A6" s="106"/>
      <c r="B6" s="106"/>
      <c r="C6" s="106"/>
      <c r="D6" s="106"/>
      <c r="E6" s="106"/>
      <c r="F6" s="106"/>
      <c r="G6" s="106"/>
      <c r="H6" s="106"/>
      <c r="I6" s="106"/>
      <c r="J6" s="106"/>
      <c r="K6" s="106"/>
      <c r="L6" s="106"/>
      <c r="M6" s="106"/>
      <c r="N6" s="106"/>
      <c r="O6" s="106"/>
      <c r="P6" s="107"/>
      <c r="Q6" s="107"/>
      <c r="R6" s="106"/>
      <c r="S6" s="106"/>
      <c r="T6" s="106"/>
      <c r="U6" s="106"/>
      <c r="V6" s="106"/>
      <c r="W6" s="106"/>
      <c r="X6" s="106"/>
      <c r="Y6" s="106"/>
      <c r="Z6" s="106"/>
      <c r="AA6" s="106"/>
      <c r="AB6" s="106"/>
      <c r="AC6" s="106"/>
      <c r="AD6" s="106"/>
      <c r="AE6" s="106"/>
      <c r="AF6" s="106"/>
      <c r="AG6" s="106"/>
      <c r="AH6" s="107"/>
      <c r="AI6" s="106"/>
      <c r="AJ6" s="106"/>
      <c r="AK6" s="106"/>
      <c r="AL6" s="106"/>
      <c r="AM6" s="106"/>
      <c r="AN6" s="107"/>
      <c r="AO6" s="106"/>
      <c r="AP6" s="107"/>
    </row>
    <row r="7" spans="1:42" x14ac:dyDescent="0.25">
      <c r="A7" s="40" t="s">
        <v>119</v>
      </c>
      <c r="B7" s="40"/>
      <c r="C7" s="40"/>
      <c r="D7" s="40"/>
      <c r="E7" s="61">
        <f>E8+E12</f>
        <v>1271.9999999999982</v>
      </c>
      <c r="F7" s="61">
        <f t="shared" ref="F7:AP7" si="2">F8+F12</f>
        <v>1734.1437868315516</v>
      </c>
      <c r="G7" s="61">
        <f t="shared" si="2"/>
        <v>2195.573208816154</v>
      </c>
      <c r="H7" s="61">
        <f t="shared" si="2"/>
        <v>2653.1082816351395</v>
      </c>
      <c r="I7" s="61">
        <f t="shared" si="2"/>
        <v>3106.749020135936</v>
      </c>
      <c r="J7" s="61">
        <f t="shared" si="2"/>
        <v>3916.4381063699129</v>
      </c>
      <c r="K7" s="61">
        <f t="shared" si="2"/>
        <v>4707.5299111192398</v>
      </c>
      <c r="L7" s="61">
        <f t="shared" si="2"/>
        <v>5480.0244462036517</v>
      </c>
      <c r="M7" s="61">
        <f t="shared" si="2"/>
        <v>6233.9217222897178</v>
      </c>
      <c r="N7" s="61">
        <f t="shared" si="2"/>
        <v>6969.2217488355745</v>
      </c>
      <c r="O7" s="61">
        <f t="shared" si="2"/>
        <v>7685.9245340459593</v>
      </c>
      <c r="P7" s="61">
        <f t="shared" si="2"/>
        <v>8275.3450098854501</v>
      </c>
      <c r="Q7" s="61">
        <f t="shared" si="2"/>
        <v>8852.0503252180661</v>
      </c>
      <c r="R7" s="61">
        <f t="shared" si="2"/>
        <v>9416.0404019855123</v>
      </c>
      <c r="S7" s="61">
        <f t="shared" si="2"/>
        <v>9967.3151440970414</v>
      </c>
      <c r="T7" s="61">
        <f t="shared" si="2"/>
        <v>10505.874439285231</v>
      </c>
      <c r="U7" s="61">
        <f t="shared" si="2"/>
        <v>11031.718161092478</v>
      </c>
      <c r="V7" s="61">
        <f t="shared" si="2"/>
        <v>11544.846170965073</v>
      </c>
      <c r="W7" s="61">
        <f t="shared" si="2"/>
        <v>12054.595938971641</v>
      </c>
      <c r="X7" s="61">
        <f t="shared" si="2"/>
        <v>12560.967430761015</v>
      </c>
      <c r="Y7" s="61">
        <f t="shared" si="2"/>
        <v>13003.540604604463</v>
      </c>
      <c r="Z7" s="61">
        <f t="shared" si="2"/>
        <v>13439.789559913828</v>
      </c>
      <c r="AA7" s="61">
        <f t="shared" si="2"/>
        <v>13875.098118806864</v>
      </c>
      <c r="AB7" s="61">
        <f t="shared" si="2"/>
        <v>14309.466219270362</v>
      </c>
      <c r="AC7" s="61">
        <f t="shared" si="2"/>
        <v>14742.893794678464</v>
      </c>
      <c r="AD7" s="61">
        <f t="shared" si="2"/>
        <v>14975.957508181215</v>
      </c>
      <c r="AE7" s="61">
        <f t="shared" si="2"/>
        <v>15219.910079046982</v>
      </c>
      <c r="AF7" s="61">
        <f t="shared" si="2"/>
        <v>15474.751431056531</v>
      </c>
      <c r="AG7" s="61">
        <f t="shared" si="2"/>
        <v>15740.481486228407</v>
      </c>
      <c r="AH7" s="61">
        <f t="shared" si="2"/>
        <v>16017.100165531419</v>
      </c>
      <c r="AI7" s="61">
        <f t="shared" si="2"/>
        <v>16304.607389584891</v>
      </c>
      <c r="AJ7" s="61">
        <f t="shared" si="2"/>
        <v>16654.379226941193</v>
      </c>
      <c r="AK7" s="61">
        <f t="shared" si="2"/>
        <v>17010.307334737619</v>
      </c>
      <c r="AL7" s="61">
        <f t="shared" si="2"/>
        <v>17372.391720740845</v>
      </c>
      <c r="AM7" s="61">
        <f t="shared" si="2"/>
        <v>17740.632405237266</v>
      </c>
      <c r="AN7" s="61">
        <f t="shared" si="2"/>
        <v>18115.029420020961</v>
      </c>
      <c r="AO7" s="61">
        <f t="shared" si="2"/>
        <v>18495.582807266608</v>
      </c>
      <c r="AP7" s="61">
        <f t="shared" si="2"/>
        <v>18882.29261830249</v>
      </c>
    </row>
    <row r="8" spans="1:42" x14ac:dyDescent="0.25">
      <c r="A8" s="18" t="s">
        <v>161</v>
      </c>
      <c r="B8" s="27"/>
      <c r="C8" s="27"/>
      <c r="D8" s="27"/>
      <c r="E8" s="27">
        <f t="shared" ref="E8:AO8" si="3">E9+E10</f>
        <v>1271.9999999999982</v>
      </c>
      <c r="F8" s="27">
        <f t="shared" si="3"/>
        <v>1734.1437868315516</v>
      </c>
      <c r="G8" s="27">
        <f t="shared" si="3"/>
        <v>2195.573208816154</v>
      </c>
      <c r="H8" s="27">
        <f t="shared" si="3"/>
        <v>2653.1082816351395</v>
      </c>
      <c r="I8" s="27">
        <f t="shared" si="3"/>
        <v>3106.749020135936</v>
      </c>
      <c r="J8" s="27">
        <f t="shared" si="3"/>
        <v>3193.7232474551893</v>
      </c>
      <c r="K8" s="27">
        <f t="shared" si="3"/>
        <v>3279.57242064817</v>
      </c>
      <c r="L8" s="27">
        <f t="shared" si="3"/>
        <v>3364.296551534615</v>
      </c>
      <c r="M8" s="27">
        <f t="shared" si="3"/>
        <v>3447.8956507810908</v>
      </c>
      <c r="N8" s="27">
        <f t="shared" si="3"/>
        <v>3530.3697278457357</v>
      </c>
      <c r="O8" s="27">
        <f t="shared" si="3"/>
        <v>3611.7187909332861</v>
      </c>
      <c r="P8" s="27">
        <f t="shared" si="3"/>
        <v>3830.3993306616239</v>
      </c>
      <c r="Q8" s="27">
        <f t="shared" si="3"/>
        <v>4046.8456921316956</v>
      </c>
      <c r="R8" s="27">
        <f t="shared" si="3"/>
        <v>4261.05783639738</v>
      </c>
      <c r="S8" s="27">
        <f t="shared" si="3"/>
        <v>4473.0357365968284</v>
      </c>
      <c r="T8" s="27">
        <f t="shared" si="3"/>
        <v>4682.7793778863279</v>
      </c>
      <c r="U8" s="27">
        <f t="shared" si="3"/>
        <v>4890.2887572835934</v>
      </c>
      <c r="V8" s="27">
        <f t="shared" si="3"/>
        <v>5095.5638834235524</v>
      </c>
      <c r="W8" s="27">
        <f t="shared" si="3"/>
        <v>5299.8885899029683</v>
      </c>
      <c r="X8" s="27">
        <f t="shared" si="3"/>
        <v>5503.2628929503308</v>
      </c>
      <c r="Y8" s="27">
        <f t="shared" si="3"/>
        <v>5645.2668194294592</v>
      </c>
      <c r="Z8" s="27">
        <f t="shared" si="3"/>
        <v>5783.3745544419662</v>
      </c>
      <c r="AA8" s="27">
        <f t="shared" si="3"/>
        <v>5922.9700218658072</v>
      </c>
      <c r="AB8" s="27">
        <f t="shared" si="3"/>
        <v>6064.0532763907604</v>
      </c>
      <c r="AC8" s="27">
        <f t="shared" si="3"/>
        <v>6206.6243818189587</v>
      </c>
      <c r="AD8" s="27">
        <f t="shared" si="3"/>
        <v>6393.3299122856915</v>
      </c>
      <c r="AE8" s="27">
        <f t="shared" si="3"/>
        <v>6579.9311254718896</v>
      </c>
      <c r="AF8" s="27">
        <f t="shared" si="3"/>
        <v>6766.4281087254594</v>
      </c>
      <c r="AG8" s="27">
        <f t="shared" si="3"/>
        <v>6952.8209558161898</v>
      </c>
      <c r="AH8" s="27">
        <f t="shared" si="3"/>
        <v>7139.1097661556905</v>
      </c>
      <c r="AI8" s="27">
        <f t="shared" si="3"/>
        <v>7325.2946439866409</v>
      </c>
      <c r="AJ8" s="27">
        <f t="shared" si="3"/>
        <v>7498.1392577057168</v>
      </c>
      <c r="AK8" s="27">
        <f t="shared" si="3"/>
        <v>7671.5171982492193</v>
      </c>
      <c r="AL8" s="27">
        <f t="shared" si="3"/>
        <v>7845.4285710898475</v>
      </c>
      <c r="AM8" s="27">
        <f t="shared" si="3"/>
        <v>8019.8734811733812</v>
      </c>
      <c r="AN8" s="27">
        <f t="shared" si="3"/>
        <v>8194.8520322483873</v>
      </c>
      <c r="AO8" s="27">
        <f t="shared" si="3"/>
        <v>8370.364326218094</v>
      </c>
      <c r="AP8" s="27">
        <f>AP9+AP10</f>
        <v>8546.4104625182572</v>
      </c>
    </row>
    <row r="9" spans="1:42" x14ac:dyDescent="0.25">
      <c r="A9" s="1" t="s">
        <v>26</v>
      </c>
      <c r="B9" s="52"/>
      <c r="C9" s="13"/>
      <c r="D9" s="13"/>
      <c r="E9" s="26">
        <f>'Données capacités de production'!B10</f>
        <v>899.76673283414334</v>
      </c>
      <c r="F9" s="26">
        <f>'Données capacités de production'!C10</f>
        <v>1226.670510489038</v>
      </c>
      <c r="G9" s="26">
        <f>'Données capacités de production'!D10</f>
        <v>1553.0689723228695</v>
      </c>
      <c r="H9" s="26">
        <f>'Données capacités de production'!E10</f>
        <v>1876.7127125959601</v>
      </c>
      <c r="I9" s="26">
        <f>'Données capacités de production'!F10</f>
        <v>2197.6017418108422</v>
      </c>
      <c r="J9" s="26">
        <f>'Données capacités de production'!G10</f>
        <v>2259.1241603295675</v>
      </c>
      <c r="K9" s="26">
        <f>'Données capacités de production'!H10</f>
        <v>2319.8507563046942</v>
      </c>
      <c r="L9" s="26">
        <f>'Données capacités de production'!I10</f>
        <v>2379.7815380970756</v>
      </c>
      <c r="M9" s="26">
        <f>'Données capacités de production'!J10</f>
        <v>2438.9165132518547</v>
      </c>
      <c r="N9" s="26">
        <f>'Données capacités de production'!K10</f>
        <v>2497.255688459376</v>
      </c>
      <c r="O9" s="26">
        <f>'Données capacités de production'!L10</f>
        <v>2554.7990695233725</v>
      </c>
      <c r="P9" s="26">
        <f>'Données capacités de production'!M10</f>
        <v>2709.4857635216222</v>
      </c>
      <c r="Q9" s="26">
        <f>'Données capacités de production'!N10</f>
        <v>2862.5920807337016</v>
      </c>
      <c r="R9" s="26">
        <f>'Données capacités de production'!O10</f>
        <v>3014.1179936105345</v>
      </c>
      <c r="S9" s="26">
        <f>'Données capacités de production'!P10</f>
        <v>3164.0634831510215</v>
      </c>
      <c r="T9" s="26">
        <f>'Données capacités de production'!Q10</f>
        <v>3312.4285388552589</v>
      </c>
      <c r="U9" s="26">
        <f>'Données capacités de production'!R10</f>
        <v>3459.2131586136857</v>
      </c>
      <c r="V9" s="26">
        <f>'Données capacités de production'!S10</f>
        <v>3604.4173485343363</v>
      </c>
      <c r="W9" s="26">
        <f>'Données capacités de production'!T10</f>
        <v>3748.9492460078263</v>
      </c>
      <c r="X9" s="26">
        <f>'Données capacités de production'!U10</f>
        <v>3892.8088625136024</v>
      </c>
      <c r="Y9" s="26">
        <f>'Données capacités de production'!V10</f>
        <v>3993.2572972445341</v>
      </c>
      <c r="Z9" s="26">
        <f>'Données capacités de production'!W10</f>
        <v>4090.9497072377162</v>
      </c>
      <c r="AA9" s="26">
        <f>'Données capacités de production'!X10</f>
        <v>4189.6944852584747</v>
      </c>
      <c r="AB9" s="26">
        <f>'Données capacités de production'!Y10</f>
        <v>4289.4916699923779</v>
      </c>
      <c r="AC9" s="26">
        <f>'Données capacités de production'!Z10</f>
        <v>4390.3413065707446</v>
      </c>
      <c r="AD9" s="26">
        <f>'Données capacités de production'!AA10</f>
        <v>4522.4100370346732</v>
      </c>
      <c r="AE9" s="26">
        <f>'Données capacités de production'!AB10</f>
        <v>4654.4049772323415</v>
      </c>
      <c r="AF9" s="26">
        <f>'Données capacités de production'!AC10</f>
        <v>4786.3261889504929</v>
      </c>
      <c r="AG9" s="26">
        <f>'Données capacités de production'!AD10</f>
        <v>4918.1737385184806</v>
      </c>
      <c r="AH9" s="26">
        <f>'Données capacités de production'!AE10</f>
        <v>5049.9476962564777</v>
      </c>
      <c r="AI9" s="26">
        <f>'Données capacités de production'!AF10</f>
        <v>5181.6481359019799</v>
      </c>
      <c r="AJ9" s="26">
        <f>'Données capacités de production'!AG10</f>
        <v>5303.9121558500874</v>
      </c>
      <c r="AK9" s="26">
        <f>'Données capacités de production'!AH10</f>
        <v>5426.5534318786558</v>
      </c>
      <c r="AL9" s="26">
        <f>'Données capacités de production'!AI10</f>
        <v>5549.5720385952545</v>
      </c>
      <c r="AM9" s="26">
        <f>'Données capacités de production'!AJ10</f>
        <v>5672.9680502347255</v>
      </c>
      <c r="AN9" s="26">
        <f>'Données capacités de production'!AK10</f>
        <v>5796.7415401850485</v>
      </c>
      <c r="AO9" s="26">
        <f>'Données capacités de production'!AL10</f>
        <v>5920.8925805288764</v>
      </c>
      <c r="AP9" s="26">
        <f>'Données capacités de production'!AM10</f>
        <v>6045.4212416034616</v>
      </c>
    </row>
    <row r="10" spans="1:42" x14ac:dyDescent="0.25">
      <c r="A10" s="1" t="s">
        <v>25</v>
      </c>
      <c r="B10" s="52"/>
      <c r="C10" s="13"/>
      <c r="D10" s="13"/>
      <c r="E10" s="26">
        <f>'Données capacités de production'!B9</f>
        <v>372.2332671658549</v>
      </c>
      <c r="F10" s="26">
        <f>'Données capacités de production'!C9</f>
        <v>507.47327634251349</v>
      </c>
      <c r="G10" s="26">
        <f>'Données capacités de production'!D9</f>
        <v>642.50423649328445</v>
      </c>
      <c r="H10" s="26">
        <f>'Données capacités de production'!E9</f>
        <v>776.39556903917958</v>
      </c>
      <c r="I10" s="26">
        <f>'Données capacités de production'!F9</f>
        <v>909.14727832509379</v>
      </c>
      <c r="J10" s="26">
        <f>'Données capacités de production'!G9</f>
        <v>934.59908712562151</v>
      </c>
      <c r="K10" s="26">
        <f>'Données capacités de production'!H9</f>
        <v>959.72166434347594</v>
      </c>
      <c r="L10" s="26">
        <f>'Données capacités de production'!I9</f>
        <v>984.51501343753955</v>
      </c>
      <c r="M10" s="26">
        <f>'Données capacités de production'!J9</f>
        <v>1008.9791375292364</v>
      </c>
      <c r="N10" s="26">
        <f>'Données capacités de production'!K9</f>
        <v>1033.11403938636</v>
      </c>
      <c r="O10" s="26">
        <f>'Données capacités de production'!L9</f>
        <v>1056.9197214099136</v>
      </c>
      <c r="P10" s="26">
        <f>'Données capacités de production'!M9</f>
        <v>1120.9135671400015</v>
      </c>
      <c r="Q10" s="26">
        <f>'Données capacités de production'!N9</f>
        <v>1184.2536113979943</v>
      </c>
      <c r="R10" s="26">
        <f>'Données capacités de production'!O9</f>
        <v>1246.9398427868457</v>
      </c>
      <c r="S10" s="26">
        <f>'Données capacités de production'!P9</f>
        <v>1308.9722534458067</v>
      </c>
      <c r="T10" s="26">
        <f>'Données capacités de production'!Q9</f>
        <v>1370.350839031069</v>
      </c>
      <c r="U10" s="26">
        <f>'Données capacités de production'!R9</f>
        <v>1431.075598669908</v>
      </c>
      <c r="V10" s="26">
        <f>'Données capacités de production'!S9</f>
        <v>1491.1465348892161</v>
      </c>
      <c r="W10" s="26">
        <f>'Données capacités de production'!T9</f>
        <v>1550.9393438951417</v>
      </c>
      <c r="X10" s="26">
        <f>'Données capacités de production'!U9</f>
        <v>1610.4540304367285</v>
      </c>
      <c r="Y10" s="26">
        <f>'Données capacités de production'!V9</f>
        <v>1652.0095221849251</v>
      </c>
      <c r="Z10" s="26">
        <f>'Données capacités de production'!W9</f>
        <v>1692.4248472042502</v>
      </c>
      <c r="AA10" s="26">
        <f>'Données capacités de production'!X9</f>
        <v>1733.2755366073329</v>
      </c>
      <c r="AB10" s="26">
        <f>'Données capacités de production'!Y9</f>
        <v>1774.5616063983825</v>
      </c>
      <c r="AC10" s="26">
        <f>'Données capacités de production'!Z9</f>
        <v>1816.2830752482143</v>
      </c>
      <c r="AD10" s="26">
        <f>'Données capacités de production'!AA9</f>
        <v>1870.9198752510179</v>
      </c>
      <c r="AE10" s="26">
        <f>'Données capacités de production'!AB9</f>
        <v>1925.5261482395483</v>
      </c>
      <c r="AF10" s="26">
        <f>'Données capacités de production'!AC9</f>
        <v>1980.1019197749667</v>
      </c>
      <c r="AG10" s="26">
        <f>'Données capacités de production'!AD9</f>
        <v>2034.6472172977089</v>
      </c>
      <c r="AH10" s="26">
        <f>'Données capacités de production'!AE9</f>
        <v>2089.1620698992128</v>
      </c>
      <c r="AI10" s="26">
        <f>'Données capacités de production'!AF9</f>
        <v>2143.646508084661</v>
      </c>
      <c r="AJ10" s="26">
        <f>'Données capacités de production'!AG9</f>
        <v>2194.2271018556294</v>
      </c>
      <c r="AK10" s="26">
        <f>'Données capacités de production'!AH9</f>
        <v>2244.963766370563</v>
      </c>
      <c r="AL10" s="26">
        <f>'Données capacités de production'!AI9</f>
        <v>2295.856532494593</v>
      </c>
      <c r="AM10" s="26">
        <f>'Données capacités de production'!AJ9</f>
        <v>2346.9054309386556</v>
      </c>
      <c r="AN10" s="26">
        <f>'Données capacités de production'!AK9</f>
        <v>2398.1104920633388</v>
      </c>
      <c r="AO10" s="26">
        <f>'Données capacités de production'!AL9</f>
        <v>2449.4717456892176</v>
      </c>
      <c r="AP10" s="26">
        <f>'Données capacités de production'!AM9</f>
        <v>2500.9892209147956</v>
      </c>
    </row>
    <row r="11" spans="1:42" x14ac:dyDescent="0.25">
      <c r="A11" s="1"/>
      <c r="B11" s="52"/>
      <c r="C11" s="1"/>
      <c r="D11" s="1"/>
      <c r="E11" s="1"/>
      <c r="F11" s="1"/>
      <c r="G11" s="1"/>
      <c r="H11" s="1"/>
      <c r="I11" s="1"/>
      <c r="J11" s="1"/>
      <c r="K11" s="1"/>
      <c r="L11" s="1"/>
      <c r="M11" s="1"/>
      <c r="N11" s="1"/>
      <c r="O11" s="1"/>
      <c r="P11" s="31"/>
      <c r="Q11" s="1"/>
      <c r="R11" s="1"/>
      <c r="S11" s="1"/>
      <c r="T11" s="1"/>
      <c r="U11" s="1"/>
      <c r="V11" s="1"/>
      <c r="W11" s="1"/>
      <c r="X11" s="1"/>
      <c r="Y11" s="1"/>
      <c r="Z11" s="1"/>
      <c r="AA11" s="1"/>
      <c r="AB11" s="1"/>
      <c r="AC11" s="1"/>
      <c r="AD11" s="1"/>
      <c r="AE11" s="1"/>
      <c r="AF11" s="1"/>
      <c r="AG11" s="1"/>
      <c r="AH11" s="52"/>
      <c r="AI11" s="52"/>
      <c r="AJ11" s="52"/>
      <c r="AK11" s="52"/>
      <c r="AL11" s="52"/>
      <c r="AM11" s="52"/>
      <c r="AN11" s="52"/>
      <c r="AO11" s="1"/>
      <c r="AP11" s="13"/>
    </row>
    <row r="12" spans="1:42" x14ac:dyDescent="0.25">
      <c r="A12" s="16" t="s">
        <v>162</v>
      </c>
      <c r="B12" s="53"/>
      <c r="C12" s="27"/>
      <c r="D12" s="27"/>
      <c r="E12" s="27">
        <f t="shared" ref="E12:AP12" si="4">E13+E14</f>
        <v>0</v>
      </c>
      <c r="F12" s="27">
        <f t="shared" si="4"/>
        <v>0</v>
      </c>
      <c r="G12" s="27">
        <f t="shared" si="4"/>
        <v>0</v>
      </c>
      <c r="H12" s="27">
        <f t="shared" si="4"/>
        <v>0</v>
      </c>
      <c r="I12" s="27">
        <f t="shared" si="4"/>
        <v>0</v>
      </c>
      <c r="J12" s="27">
        <f t="shared" si="4"/>
        <v>722.71485891472378</v>
      </c>
      <c r="K12" s="27">
        <f t="shared" si="4"/>
        <v>1427.9574904710694</v>
      </c>
      <c r="L12" s="27">
        <f t="shared" si="4"/>
        <v>2115.7278946690371</v>
      </c>
      <c r="M12" s="27">
        <f t="shared" si="4"/>
        <v>2786.026071508627</v>
      </c>
      <c r="N12" s="27">
        <f t="shared" si="4"/>
        <v>3438.8520209898388</v>
      </c>
      <c r="O12" s="27">
        <f t="shared" si="4"/>
        <v>4074.2057431126732</v>
      </c>
      <c r="P12" s="27">
        <f t="shared" si="4"/>
        <v>4444.9456792238261</v>
      </c>
      <c r="Q12" s="27">
        <f t="shared" si="4"/>
        <v>4805.2046330863704</v>
      </c>
      <c r="R12" s="27">
        <f t="shared" si="4"/>
        <v>5154.9825655881332</v>
      </c>
      <c r="S12" s="27">
        <f t="shared" si="4"/>
        <v>5494.279407500213</v>
      </c>
      <c r="T12" s="27">
        <f t="shared" si="4"/>
        <v>5823.0950613989044</v>
      </c>
      <c r="U12" s="27">
        <f t="shared" si="4"/>
        <v>6141.4294038088847</v>
      </c>
      <c r="V12" s="27">
        <f t="shared" si="4"/>
        <v>6449.2822875415195</v>
      </c>
      <c r="W12" s="27">
        <f t="shared" si="4"/>
        <v>6754.7073490686735</v>
      </c>
      <c r="X12" s="27">
        <f t="shared" si="4"/>
        <v>7057.704537810685</v>
      </c>
      <c r="Y12" s="27">
        <f t="shared" si="4"/>
        <v>7358.2737851750035</v>
      </c>
      <c r="Z12" s="27">
        <f t="shared" si="4"/>
        <v>7656.415005471863</v>
      </c>
      <c r="AA12" s="27">
        <f t="shared" si="4"/>
        <v>7952.1280969410564</v>
      </c>
      <c r="AB12" s="27">
        <f t="shared" si="4"/>
        <v>8245.4129428796005</v>
      </c>
      <c r="AC12" s="27">
        <f t="shared" si="4"/>
        <v>8536.2694128595049</v>
      </c>
      <c r="AD12" s="27">
        <f t="shared" si="4"/>
        <v>8582.627595895523</v>
      </c>
      <c r="AE12" s="27">
        <f t="shared" si="4"/>
        <v>8639.9789535750915</v>
      </c>
      <c r="AF12" s="27">
        <f t="shared" si="4"/>
        <v>8708.3233223310708</v>
      </c>
      <c r="AG12" s="27">
        <f t="shared" si="4"/>
        <v>8787.6605304122186</v>
      </c>
      <c r="AH12" s="53">
        <f t="shared" si="4"/>
        <v>8877.9903993757289</v>
      </c>
      <c r="AI12" s="53">
        <f t="shared" si="4"/>
        <v>8979.3127455982503</v>
      </c>
      <c r="AJ12" s="53">
        <f t="shared" si="4"/>
        <v>9156.2399692354757</v>
      </c>
      <c r="AK12" s="53">
        <f t="shared" si="4"/>
        <v>9338.7901364884019</v>
      </c>
      <c r="AL12" s="53">
        <f t="shared" si="4"/>
        <v>9526.9631496509974</v>
      </c>
      <c r="AM12" s="53">
        <f t="shared" si="4"/>
        <v>9720.7589240638827</v>
      </c>
      <c r="AN12" s="53">
        <f t="shared" si="4"/>
        <v>9920.1773877725718</v>
      </c>
      <c r="AO12" s="27">
        <f t="shared" si="4"/>
        <v>10125.218481048514</v>
      </c>
      <c r="AP12" s="27">
        <f t="shared" si="4"/>
        <v>10335.882155784231</v>
      </c>
    </row>
    <row r="13" spans="1:42" x14ac:dyDescent="0.25">
      <c r="A13" s="1" t="s">
        <v>26</v>
      </c>
      <c r="B13" s="52"/>
      <c r="C13" s="25"/>
      <c r="D13" s="25"/>
      <c r="E13" s="22">
        <f>'Données capacités de production'!B21</f>
        <v>0</v>
      </c>
      <c r="F13" s="22">
        <f>'Données capacités de production'!C21</f>
        <v>0</v>
      </c>
      <c r="G13" s="22">
        <f>'Données capacités de production'!D21</f>
        <v>0</v>
      </c>
      <c r="H13" s="22">
        <f>'Données capacités de production'!E21</f>
        <v>0</v>
      </c>
      <c r="I13" s="22">
        <f>'Données capacités de production'!F21</f>
        <v>0</v>
      </c>
      <c r="J13" s="22">
        <f>'Données capacités de production'!G21</f>
        <v>390.72107234736137</v>
      </c>
      <c r="K13" s="22">
        <f>'Données capacités de production'!H21</f>
        <v>771.99614074786336</v>
      </c>
      <c r="L13" s="22">
        <f>'Données capacités de production'!I21</f>
        <v>1143.8252052015062</v>
      </c>
      <c r="M13" s="22">
        <f>'Données capacités de production'!J21</f>
        <v>1506.2082657082897</v>
      </c>
      <c r="N13" s="22">
        <f>'Données capacités de production'!K21</f>
        <v>1859.1453222682137</v>
      </c>
      <c r="O13" s="22">
        <f>'Données capacités de production'!L21</f>
        <v>2202.6363748812792</v>
      </c>
      <c r="P13" s="22">
        <f>'Données capacités de production'!M21</f>
        <v>2403.0693722280707</v>
      </c>
      <c r="Q13" s="22">
        <f>'Données capacités de production'!N21</f>
        <v>2597.8360399388848</v>
      </c>
      <c r="R13" s="22">
        <f>'Données capacités de production'!O21</f>
        <v>2786.9363568685212</v>
      </c>
      <c r="S13" s="22">
        <f>'Données capacités de production'!P21</f>
        <v>2970.3702855897841</v>
      </c>
      <c r="T13" s="22">
        <f>'Données capacités de production'!Q21</f>
        <v>3148.1377734325306</v>
      </c>
      <c r="U13" s="22">
        <f>'Données capacités de production'!R21</f>
        <v>3320.2387536423425</v>
      </c>
      <c r="V13" s="22">
        <f>'Données capacités de production'!S21</f>
        <v>3486.6731466446809</v>
      </c>
      <c r="W13" s="22">
        <f>'Données capacités de production'!T21</f>
        <v>3651.79498700763</v>
      </c>
      <c r="X13" s="22">
        <f>'Données capacités de production'!U21</f>
        <v>3815.6042473863263</v>
      </c>
      <c r="Y13" s="22">
        <f>'Données capacités de production'!V21</f>
        <v>3978.1008906976031</v>
      </c>
      <c r="Z13" s="22">
        <f>'Données capacités de production'!W21</f>
        <v>4139.2848706150344</v>
      </c>
      <c r="AA13" s="22">
        <f>'Données capacités de production'!X21</f>
        <v>4299.1561321240351</v>
      </c>
      <c r="AB13" s="22">
        <f>'Données capacités de production'!Y21</f>
        <v>4457.7146121315145</v>
      </c>
      <c r="AC13" s="22">
        <f>'Données capacités de production'!Z21</f>
        <v>4614.9602401242355</v>
      </c>
      <c r="AD13" s="22">
        <f>'Données capacités de production'!AA21</f>
        <v>4640.0228478241916</v>
      </c>
      <c r="AE13" s="22">
        <f>'Données capacités de production'!AB21</f>
        <v>4671.0286915490424</v>
      </c>
      <c r="AF13" s="22">
        <f>'Données capacités de production'!AC21</f>
        <v>4707.9776828695467</v>
      </c>
      <c r="AG13" s="22">
        <f>'Données capacités de production'!AD21</f>
        <v>4750.8697289318925</v>
      </c>
      <c r="AH13" s="34">
        <f>'Données capacités de production'!AE21</f>
        <v>4799.7047332646089</v>
      </c>
      <c r="AI13" s="34">
        <f>'Données capacités de production'!AF21</f>
        <v>4854.4825965954715</v>
      </c>
      <c r="AJ13" s="34">
        <f>'Données capacités de production'!AG21</f>
        <v>4950.1346974126418</v>
      </c>
      <c r="AK13" s="34">
        <f>'Données capacités de production'!AH21</f>
        <v>5048.8267281996687</v>
      </c>
      <c r="AL13" s="34">
        <f>'Données capacités de production'!AI21</f>
        <v>5150.5586361337746</v>
      </c>
      <c r="AM13" s="34">
        <f>'Données capacités de production'!AJ21</f>
        <v>5255.3303754455919</v>
      </c>
      <c r="AN13" s="34">
        <f>'Données capacités de production'!AK21</f>
        <v>5363.1419072343915</v>
      </c>
      <c r="AO13" s="22">
        <f>'Données capacités de production'!AL21</f>
        <v>5473.9931992091488</v>
      </c>
      <c r="AP13" s="22">
        <f>'Données capacités de production'!AM21</f>
        <v>5587.8842253615348</v>
      </c>
    </row>
    <row r="14" spans="1:42" x14ac:dyDescent="0.25">
      <c r="A14" s="1" t="s">
        <v>25</v>
      </c>
      <c r="B14" s="52"/>
      <c r="C14" s="25"/>
      <c r="D14" s="25"/>
      <c r="E14" s="22">
        <f>'Données capacités de production'!B20</f>
        <v>0</v>
      </c>
      <c r="F14" s="22">
        <f>'Données capacités de production'!C20</f>
        <v>0</v>
      </c>
      <c r="G14" s="22">
        <f>'Données capacités de production'!D20</f>
        <v>0</v>
      </c>
      <c r="H14" s="22">
        <f>'Données capacités de production'!E20</f>
        <v>0</v>
      </c>
      <c r="I14" s="22">
        <f>'Données capacités de production'!F20</f>
        <v>0</v>
      </c>
      <c r="J14" s="22">
        <f>'Données capacités de production'!G20</f>
        <v>331.99378656736241</v>
      </c>
      <c r="K14" s="22">
        <f>'Données capacités de production'!H20</f>
        <v>655.96134972320601</v>
      </c>
      <c r="L14" s="22">
        <f>'Données capacités de production'!I20</f>
        <v>971.90268946753099</v>
      </c>
      <c r="M14" s="22">
        <f>'Données capacités de production'!J20</f>
        <v>1279.8178058003373</v>
      </c>
      <c r="N14" s="22">
        <f>'Données capacités de production'!K20</f>
        <v>1579.7066987216251</v>
      </c>
      <c r="O14" s="22">
        <f>'Données capacités de production'!L20</f>
        <v>1871.5693682313943</v>
      </c>
      <c r="P14" s="22">
        <f>'Données capacités de production'!M20</f>
        <v>2041.8763069957554</v>
      </c>
      <c r="Q14" s="22">
        <f>'Données capacités de production'!N20</f>
        <v>2207.3685931474856</v>
      </c>
      <c r="R14" s="22">
        <f>'Données capacités de production'!O20</f>
        <v>2368.046208719612</v>
      </c>
      <c r="S14" s="22">
        <f>'Données capacités de production'!P20</f>
        <v>2523.9091219104289</v>
      </c>
      <c r="T14" s="22">
        <f>'Données capacités de production'!Q20</f>
        <v>2674.9572879663738</v>
      </c>
      <c r="U14" s="22">
        <f>'Données capacités de production'!R20</f>
        <v>2821.1906501665421</v>
      </c>
      <c r="V14" s="22">
        <f>'Données capacités de production'!S20</f>
        <v>2962.6091408968387</v>
      </c>
      <c r="W14" s="22">
        <f>'Données capacités de production'!T20</f>
        <v>3102.9123620610435</v>
      </c>
      <c r="X14" s="22">
        <f>'Données capacités de production'!U20</f>
        <v>3242.1002904243587</v>
      </c>
      <c r="Y14" s="22">
        <f>'Données capacités de production'!V20</f>
        <v>3380.1728944774004</v>
      </c>
      <c r="Z14" s="22">
        <f>'Données capacités de production'!W20</f>
        <v>3517.1301348568286</v>
      </c>
      <c r="AA14" s="22">
        <f>'Données capacités de production'!X20</f>
        <v>3652.9719648170208</v>
      </c>
      <c r="AB14" s="22">
        <f>'Données capacités de production'!Y20</f>
        <v>3787.6983307480855</v>
      </c>
      <c r="AC14" s="22">
        <f>'Données capacités de production'!Z20</f>
        <v>3921.3091727352694</v>
      </c>
      <c r="AD14" s="22">
        <f>'Données capacités de production'!AA20</f>
        <v>3942.6047480713319</v>
      </c>
      <c r="AE14" s="22">
        <f>'Données capacités de production'!AB20</f>
        <v>3968.9502620260491</v>
      </c>
      <c r="AF14" s="22">
        <f>'Données capacités de production'!AC20</f>
        <v>4000.3456394615237</v>
      </c>
      <c r="AG14" s="22">
        <f>'Données capacités de production'!AD20</f>
        <v>4036.7908014803261</v>
      </c>
      <c r="AH14" s="34">
        <f>'Données capacités de production'!AE20</f>
        <v>4078.2856661111196</v>
      </c>
      <c r="AI14" s="34">
        <f>'Données capacités de production'!AF20</f>
        <v>4124.8301490027789</v>
      </c>
      <c r="AJ14" s="34">
        <f>'Données capacités de production'!AG20</f>
        <v>4206.1052718228339</v>
      </c>
      <c r="AK14" s="34">
        <f>'Données capacités de production'!AH20</f>
        <v>4289.9634082887333</v>
      </c>
      <c r="AL14" s="34">
        <f>'Données capacités de production'!AI20</f>
        <v>4376.4045135172228</v>
      </c>
      <c r="AM14" s="34">
        <f>'Données capacités de production'!AJ20</f>
        <v>4465.4285486182907</v>
      </c>
      <c r="AN14" s="34">
        <f>'Données capacités de production'!AK20</f>
        <v>4557.0354805381803</v>
      </c>
      <c r="AO14" s="22">
        <f>'Données capacités de production'!AL20</f>
        <v>4651.2252818393654</v>
      </c>
      <c r="AP14" s="22">
        <f>'Données capacités de production'!AM20</f>
        <v>4747.9979304226963</v>
      </c>
    </row>
    <row r="15" spans="1:42" x14ac:dyDescent="0.25">
      <c r="A15" s="1"/>
      <c r="B15" s="52"/>
      <c r="C15" s="1"/>
      <c r="D15" s="1"/>
      <c r="E15" s="1"/>
      <c r="F15" s="1"/>
      <c r="G15" s="1"/>
      <c r="H15" s="1"/>
      <c r="I15" s="1"/>
      <c r="J15" s="1"/>
      <c r="K15" s="1"/>
      <c r="L15" s="1"/>
      <c r="M15" s="1"/>
      <c r="N15" s="1"/>
      <c r="O15" s="1"/>
      <c r="P15" s="31"/>
      <c r="Q15" s="1"/>
      <c r="R15" s="1"/>
      <c r="S15" s="1"/>
      <c r="T15" s="1"/>
      <c r="U15" s="1"/>
      <c r="V15" s="1"/>
      <c r="W15" s="1"/>
      <c r="X15" s="1"/>
      <c r="Y15" s="1"/>
      <c r="Z15" s="1"/>
      <c r="AA15" s="1"/>
      <c r="AB15" s="1"/>
      <c r="AC15" s="1"/>
      <c r="AD15" s="1"/>
      <c r="AE15" s="1"/>
      <c r="AF15" s="1"/>
      <c r="AG15" s="1"/>
      <c r="AH15" s="52"/>
      <c r="AI15" s="52"/>
      <c r="AJ15" s="52"/>
      <c r="AK15" s="52"/>
      <c r="AL15" s="52"/>
      <c r="AM15" s="52"/>
      <c r="AN15" s="52"/>
      <c r="AO15" s="1"/>
      <c r="AP15" s="13"/>
    </row>
    <row r="17" spans="1:43" x14ac:dyDescent="0.25">
      <c r="A17" s="40" t="s">
        <v>120</v>
      </c>
      <c r="B17" s="40"/>
      <c r="C17" s="40"/>
      <c r="D17" s="40"/>
      <c r="E17" s="61">
        <f>E18+E19</f>
        <v>825.56192536506228</v>
      </c>
      <c r="F17" s="61">
        <f t="shared" ref="F17:AP17" si="5">F18+F19</f>
        <v>1378.3142471151803</v>
      </c>
      <c r="G17" s="61">
        <f t="shared" si="5"/>
        <v>1920.2511187422499</v>
      </c>
      <c r="H17" s="61">
        <f t="shared" si="5"/>
        <v>2451.3727847979148</v>
      </c>
      <c r="I17" s="61">
        <f t="shared" si="5"/>
        <v>2971.6794669590008</v>
      </c>
      <c r="J17" s="61">
        <f t="shared" si="5"/>
        <v>3481.1713628928173</v>
      </c>
      <c r="K17" s="61">
        <f t="shared" si="5"/>
        <v>3979.8486453717505</v>
      </c>
      <c r="L17" s="61">
        <f t="shared" si="5"/>
        <v>4467.711461638617</v>
      </c>
      <c r="M17" s="61">
        <f t="shared" si="5"/>
        <v>4944.7599330219855</v>
      </c>
      <c r="N17" s="61">
        <f t="shared" si="5"/>
        <v>5410.9941547984454</v>
      </c>
      <c r="O17" s="61">
        <f t="shared" si="5"/>
        <v>5866.4141962967151</v>
      </c>
      <c r="P17" s="61">
        <f t="shared" si="5"/>
        <v>6311.0201012363295</v>
      </c>
      <c r="Q17" s="61">
        <f t="shared" si="5"/>
        <v>6744.8118882918243</v>
      </c>
      <c r="R17" s="61">
        <f t="shared" si="5"/>
        <v>7167.7895518713576</v>
      </c>
      <c r="S17" s="61">
        <f t="shared" si="5"/>
        <v>7579.9530630971358</v>
      </c>
      <c r="T17" s="61">
        <f t="shared" si="5"/>
        <v>7981.3023709733679</v>
      </c>
      <c r="U17" s="61">
        <f t="shared" si="5"/>
        <v>8371.8374037261092</v>
      </c>
      <c r="V17" s="61">
        <f t="shared" si="5"/>
        <v>8751.5580702981242</v>
      </c>
      <c r="W17" s="61">
        <f t="shared" si="5"/>
        <v>9123.7989790283427</v>
      </c>
      <c r="X17" s="61">
        <f t="shared" si="5"/>
        <v>9488.5600412450422</v>
      </c>
      <c r="Y17" s="61">
        <f t="shared" si="5"/>
        <v>9845.8411536433832</v>
      </c>
      <c r="Z17" s="61">
        <f t="shared" si="5"/>
        <v>10195.642199707245</v>
      </c>
      <c r="AA17" s="61">
        <f t="shared" si="5"/>
        <v>10537.963051205534</v>
      </c>
      <c r="AB17" s="61">
        <f t="shared" si="5"/>
        <v>10872.803569747641</v>
      </c>
      <c r="AC17" s="61">
        <f t="shared" si="5"/>
        <v>11200.163608382658</v>
      </c>
      <c r="AD17" s="61">
        <f t="shared" si="5"/>
        <v>11520.043013226794</v>
      </c>
      <c r="AE17" s="61">
        <f t="shared" si="5"/>
        <v>11605.956682720505</v>
      </c>
      <c r="AF17" s="61">
        <f t="shared" si="5"/>
        <v>11688.13778415076</v>
      </c>
      <c r="AG17" s="61">
        <f t="shared" si="5"/>
        <v>11766.586049115542</v>
      </c>
      <c r="AH17" s="61">
        <f t="shared" si="5"/>
        <v>11841.301216641503</v>
      </c>
      <c r="AI17" s="61">
        <f t="shared" si="5"/>
        <v>11912.283035268143</v>
      </c>
      <c r="AJ17" s="61">
        <f t="shared" si="5"/>
        <v>11979.531264988142</v>
      </c>
      <c r="AK17" s="61">
        <f t="shared" si="5"/>
        <v>12043.045679029949</v>
      </c>
      <c r="AL17" s="61">
        <f t="shared" si="5"/>
        <v>12102.826065470332</v>
      </c>
      <c r="AM17" s="61">
        <f t="shared" si="5"/>
        <v>12158.872228666465</v>
      </c>
      <c r="AN17" s="61">
        <f t="shared" si="5"/>
        <v>12211.183990498854</v>
      </c>
      <c r="AO17" s="61">
        <f t="shared" si="5"/>
        <v>12259.761191418325</v>
      </c>
      <c r="AP17" s="61">
        <f t="shared" si="5"/>
        <v>12304.603691292168</v>
      </c>
    </row>
    <row r="18" spans="1:43" x14ac:dyDescent="0.25">
      <c r="A18" s="1" t="s">
        <v>26</v>
      </c>
      <c r="B18" s="52"/>
      <c r="C18" s="13"/>
      <c r="D18" s="13"/>
      <c r="E18" s="26">
        <f>'Données capacités de production'!B34</f>
        <v>726.59330801079659</v>
      </c>
      <c r="F18" s="26">
        <f>'Données capacités de production'!C34</f>
        <v>1213.0815115377068</v>
      </c>
      <c r="G18" s="26">
        <f>'Données capacités de production'!D34</f>
        <v>1690.0508244265145</v>
      </c>
      <c r="H18" s="26">
        <f>'Données capacités de production'!E34</f>
        <v>2157.501461911937</v>
      </c>
      <c r="I18" s="26">
        <f>'Données capacités de production'!F34</f>
        <v>2615.4336190961139</v>
      </c>
      <c r="J18" s="26">
        <f>'Données capacités de production'!G34</f>
        <v>3063.8474699499375</v>
      </c>
      <c r="K18" s="26">
        <f>'Données capacités de production'!H34</f>
        <v>3502.7431665337863</v>
      </c>
      <c r="L18" s="26">
        <f>'Données capacités de production'!I34</f>
        <v>3932.1208384389633</v>
      </c>
      <c r="M18" s="26">
        <f>'Données capacités de production'!J34</f>
        <v>4351.9805924491311</v>
      </c>
      <c r="N18" s="26">
        <f>'Données capacités de production'!K34</f>
        <v>4762.3225124190922</v>
      </c>
      <c r="O18" s="26">
        <f>'Données capacités de production'!L34</f>
        <v>5163.1466593664172</v>
      </c>
      <c r="P18" s="26">
        <f>'Données capacités de production'!M34</f>
        <v>5554.4530717695288</v>
      </c>
      <c r="Q18" s="26">
        <f>'Données capacités de production'!N34</f>
        <v>5936.241766064255</v>
      </c>
      <c r="R18" s="26">
        <f>'Données capacités de production'!O34</f>
        <v>6308.5127373291043</v>
      </c>
      <c r="S18" s="26">
        <f>'Données capacités de production'!P34</f>
        <v>6671.2659601481628</v>
      </c>
      <c r="T18" s="26">
        <f>'Données capacités de production'!Q34</f>
        <v>7024.5013896390301</v>
      </c>
      <c r="U18" s="26">
        <f>'Données capacités de production'!R34</f>
        <v>7368.2189626320442</v>
      </c>
      <c r="V18" s="26">
        <f>'Données capacités de production'!S34</f>
        <v>7702.4185989859388</v>
      </c>
      <c r="W18" s="26">
        <f>'Données capacités de production'!T34</f>
        <v>8030.0351531670613</v>
      </c>
      <c r="X18" s="26">
        <f>'Données capacités de production'!U34</f>
        <v>8351.0685471336819</v>
      </c>
      <c r="Y18" s="26">
        <f>'Données capacités de production'!V34</f>
        <v>8665.5186899651762</v>
      </c>
      <c r="Z18" s="26">
        <f>'Données capacités de production'!W34</f>
        <v>8973.3854791134127</v>
      </c>
      <c r="AA18" s="26">
        <f>'Données capacités de production'!X34</f>
        <v>9274.6688017196811</v>
      </c>
      <c r="AB18" s="26">
        <f>'Données capacités de production'!Y34</f>
        <v>9569.3685359836818</v>
      </c>
      <c r="AC18" s="26">
        <f>'Données capacités de production'!Z34</f>
        <v>9857.4845525710243</v>
      </c>
      <c r="AD18" s="26">
        <f>'Données capacités de production'!AA34</f>
        <v>10139.016716045557</v>
      </c>
      <c r="AE18" s="26">
        <f>'Données capacités de production'!AB34</f>
        <v>10214.631028434271</v>
      </c>
      <c r="AF18" s="26">
        <f>'Données capacités de production'!AC34</f>
        <v>10286.960234166203</v>
      </c>
      <c r="AG18" s="26">
        <f>'Données capacités de production'!AD34</f>
        <v>10356.004097015453</v>
      </c>
      <c r="AH18" s="26">
        <f>'Données capacités de production'!AE34</f>
        <v>10421.762387294239</v>
      </c>
      <c r="AI18" s="26">
        <f>'Données capacités de production'!AF34</f>
        <v>10484.234883687221</v>
      </c>
      <c r="AJ18" s="26">
        <f>'Données capacités de production'!AG34</f>
        <v>10543.421374959233</v>
      </c>
      <c r="AK18" s="26">
        <f>'Données capacités de production'!AH34</f>
        <v>10599.321661524164</v>
      </c>
      <c r="AL18" s="26">
        <f>'Données capacités de production'!AI34</f>
        <v>10651.935556864208</v>
      </c>
      <c r="AM18" s="26">
        <f>'Données capacités de production'!AJ34</f>
        <v>10701.262888790257</v>
      </c>
      <c r="AN18" s="26">
        <f>'Données capacités de production'!AK34</f>
        <v>10747.30350053584</v>
      </c>
      <c r="AO18" s="26">
        <f>'Données capacités de production'!AL34</f>
        <v>10790.057251678585</v>
      </c>
      <c r="AP18" s="26">
        <f>'Données capacités de production'!AM34</f>
        <v>10829.524018884935</v>
      </c>
    </row>
    <row r="19" spans="1:43" x14ac:dyDescent="0.25">
      <c r="A19" s="1" t="s">
        <v>25</v>
      </c>
      <c r="B19" s="52"/>
      <c r="C19" s="13"/>
      <c r="D19" s="13"/>
      <c r="E19" s="26">
        <f>'Données capacités de production'!B33</f>
        <v>98.968617354265746</v>
      </c>
      <c r="F19" s="26">
        <f>'Données capacités de production'!C33</f>
        <v>165.23273557747339</v>
      </c>
      <c r="G19" s="26">
        <f>'Données capacités de production'!D33</f>
        <v>230.20029431573531</v>
      </c>
      <c r="H19" s="26">
        <f>'Données capacités de production'!E33</f>
        <v>293.87132288597775</v>
      </c>
      <c r="I19" s="26">
        <f>'Données capacités de production'!F33</f>
        <v>356.24584786288665</v>
      </c>
      <c r="J19" s="26">
        <f>'Données capacités de production'!G33</f>
        <v>417.32389294287987</v>
      </c>
      <c r="K19" s="26">
        <f>'Données capacités de production'!H33</f>
        <v>477.10547883796414</v>
      </c>
      <c r="L19" s="26">
        <f>'Données capacités de production'!I33</f>
        <v>535.59062319965358</v>
      </c>
      <c r="M19" s="26">
        <f>'Données capacités de production'!J33</f>
        <v>592.77934057285427</v>
      </c>
      <c r="N19" s="26">
        <f>'Données capacités de production'!K33</f>
        <v>648.6716423793531</v>
      </c>
      <c r="O19" s="26">
        <f>'Données capacités de production'!L33</f>
        <v>703.26753693029821</v>
      </c>
      <c r="P19" s="26">
        <f>'Données capacités de production'!M33</f>
        <v>756.56702946680059</v>
      </c>
      <c r="Q19" s="26">
        <f>'Données capacités de production'!N33</f>
        <v>808.57012222756964</v>
      </c>
      <c r="R19" s="26">
        <f>'Données capacités de production'!O33</f>
        <v>859.27681454225342</v>
      </c>
      <c r="S19" s="26">
        <f>'Données capacités de production'!P33</f>
        <v>908.68710294897335</v>
      </c>
      <c r="T19" s="26">
        <f>'Données capacités de production'!Q33</f>
        <v>956.80098133433808</v>
      </c>
      <c r="U19" s="26">
        <f>'Données capacités de production'!R33</f>
        <v>1003.6184410940652</v>
      </c>
      <c r="V19" s="26">
        <f>'Données capacités de production'!S33</f>
        <v>1049.1394713121854</v>
      </c>
      <c r="W19" s="26">
        <f>'Données capacités de production'!T33</f>
        <v>1093.7638258612817</v>
      </c>
      <c r="X19" s="26">
        <f>'Données capacités de production'!U33</f>
        <v>1137.4914941113609</v>
      </c>
      <c r="Y19" s="26">
        <f>'Données capacités de production'!V33</f>
        <v>1180.322463678207</v>
      </c>
      <c r="Z19" s="26">
        <f>'Données capacités de production'!W33</f>
        <v>1222.2567205938317</v>
      </c>
      <c r="AA19" s="26">
        <f>'Données capacités de production'!X33</f>
        <v>1263.2942494858519</v>
      </c>
      <c r="AB19" s="26">
        <f>'Données capacités de production'!Y33</f>
        <v>1303.4350337639589</v>
      </c>
      <c r="AC19" s="26">
        <f>'Données capacités de production'!Z33</f>
        <v>1342.6790558116329</v>
      </c>
      <c r="AD19" s="26">
        <f>'Données capacités de production'!AA33</f>
        <v>1381.0262971812374</v>
      </c>
      <c r="AE19" s="26">
        <f>'Données capacités de production'!AB33</f>
        <v>1391.3256542862348</v>
      </c>
      <c r="AF19" s="26">
        <f>'Données capacités de production'!AC33</f>
        <v>1401.1775499845576</v>
      </c>
      <c r="AG19" s="26">
        <f>'Données capacités de production'!AD33</f>
        <v>1410.581952100089</v>
      </c>
      <c r="AH19" s="26">
        <f>'Données capacités de production'!AE33</f>
        <v>1419.5388293472645</v>
      </c>
      <c r="AI19" s="26">
        <f>'Données capacités de production'!AF33</f>
        <v>1428.0481515809217</v>
      </c>
      <c r="AJ19" s="26">
        <f>'Données capacités de production'!AG33</f>
        <v>1436.1098900289096</v>
      </c>
      <c r="AK19" s="26">
        <f>'Données capacités de production'!AH33</f>
        <v>1443.7240175057846</v>
      </c>
      <c r="AL19" s="26">
        <f>'Données capacités de production'!AI33</f>
        <v>1450.8905086061247</v>
      </c>
      <c r="AM19" s="26">
        <f>'Données capacités de production'!AJ33</f>
        <v>1457.609339876208</v>
      </c>
      <c r="AN19" s="26">
        <f>'Données capacités de production'!AK33</f>
        <v>1463.8804899630143</v>
      </c>
      <c r="AO19" s="26">
        <f>'Données capacités de production'!AL33</f>
        <v>1469.7039397397402</v>
      </c>
      <c r="AP19" s="26">
        <f>'Données capacités de production'!AM33</f>
        <v>1475.0796724072327</v>
      </c>
    </row>
    <row r="20" spans="1:43" x14ac:dyDescent="0.25">
      <c r="A20" s="1"/>
      <c r="B20" s="52"/>
      <c r="C20" s="1"/>
      <c r="D20" s="1"/>
      <c r="E20" s="1"/>
      <c r="F20" s="1"/>
      <c r="G20" s="1"/>
      <c r="H20" s="1"/>
      <c r="I20" s="1"/>
      <c r="J20" s="1"/>
      <c r="K20" s="1"/>
      <c r="L20" s="1"/>
      <c r="M20" s="1"/>
      <c r="N20" s="1"/>
      <c r="O20" s="1"/>
      <c r="P20" s="31"/>
      <c r="Q20" s="1"/>
      <c r="R20" s="1"/>
      <c r="S20" s="1"/>
      <c r="T20" s="1"/>
      <c r="U20" s="1"/>
      <c r="V20" s="1"/>
      <c r="W20" s="1"/>
      <c r="X20" s="1"/>
      <c r="Y20" s="1"/>
      <c r="Z20" s="1"/>
      <c r="AA20" s="1"/>
      <c r="AB20" s="1"/>
      <c r="AC20" s="1"/>
      <c r="AD20" s="1"/>
      <c r="AE20" s="1"/>
      <c r="AF20" s="1"/>
      <c r="AG20" s="1"/>
      <c r="AH20" s="52"/>
      <c r="AI20" s="52"/>
      <c r="AJ20" s="52"/>
      <c r="AK20" s="52"/>
      <c r="AL20" s="52"/>
      <c r="AM20" s="52"/>
      <c r="AN20" s="52"/>
      <c r="AO20" s="52"/>
      <c r="AP20" s="13"/>
    </row>
    <row r="22" spans="1:43" x14ac:dyDescent="0.25">
      <c r="A22" s="40" t="s">
        <v>123</v>
      </c>
      <c r="B22" s="40"/>
      <c r="C22" s="40"/>
      <c r="D22" s="40"/>
      <c r="E22" s="61">
        <f t="shared" ref="E22:AP22" si="6">E23+E28+E32</f>
        <v>472.47128100000009</v>
      </c>
      <c r="F22" s="61">
        <f t="shared" si="6"/>
        <v>541.69687265571929</v>
      </c>
      <c r="G22" s="61">
        <f t="shared" si="6"/>
        <v>610.74531796089241</v>
      </c>
      <c r="H22" s="61">
        <f t="shared" si="6"/>
        <v>679.05411848151766</v>
      </c>
      <c r="I22" s="61">
        <f t="shared" si="6"/>
        <v>746.62327573787752</v>
      </c>
      <c r="J22" s="61">
        <f t="shared" si="6"/>
        <v>813.45279119393535</v>
      </c>
      <c r="K22" s="61">
        <f t="shared" si="6"/>
        <v>879.54266624720935</v>
      </c>
      <c r="L22" s="61">
        <f t="shared" si="6"/>
        <v>944.89290221920101</v>
      </c>
      <c r="M22" s="61">
        <f t="shared" si="6"/>
        <v>1009.5035003464361</v>
      </c>
      <c r="N22" s="61">
        <f t="shared" si="6"/>
        <v>1073.3744617721841</v>
      </c>
      <c r="O22" s="61">
        <f t="shared" si="6"/>
        <v>1136.5057875389048</v>
      </c>
      <c r="P22" s="61">
        <f t="shared" si="6"/>
        <v>1198.8974785814769</v>
      </c>
      <c r="Q22" s="61">
        <f t="shared" si="6"/>
        <v>1260.5495357212462</v>
      </c>
      <c r="R22" s="61">
        <f t="shared" si="6"/>
        <v>1321.4619596609386</v>
      </c>
      <c r="S22" s="61">
        <f t="shared" si="6"/>
        <v>1381.6347509804541</v>
      </c>
      <c r="T22" s="61">
        <f t="shared" si="6"/>
        <v>1441.0679101335827</v>
      </c>
      <c r="U22" s="61">
        <f t="shared" si="6"/>
        <v>1499.7614374456471</v>
      </c>
      <c r="V22" s="61">
        <f t="shared" si="6"/>
        <v>1557.7153331120853</v>
      </c>
      <c r="W22" s="61">
        <f t="shared" si="6"/>
        <v>1615.0405446342556</v>
      </c>
      <c r="X22" s="61">
        <f t="shared" si="6"/>
        <v>1671.7370719473513</v>
      </c>
      <c r="Y22" s="61">
        <f t="shared" si="6"/>
        <v>1717.1174148580801</v>
      </c>
      <c r="Z22" s="61">
        <f t="shared" si="6"/>
        <v>1762.1448712861156</v>
      </c>
      <c r="AA22" s="61">
        <f t="shared" si="6"/>
        <v>1806.8420899862235</v>
      </c>
      <c r="AB22" s="61">
        <f t="shared" si="6"/>
        <v>1851.2090703970916</v>
      </c>
      <c r="AC22" s="61">
        <f t="shared" si="6"/>
        <v>1895.2458118433951</v>
      </c>
      <c r="AD22" s="61">
        <f t="shared" si="6"/>
        <v>1938.9523135414793</v>
      </c>
      <c r="AE22" s="61">
        <f t="shared" si="6"/>
        <v>1982.3285746057704</v>
      </c>
      <c r="AF22" s="61">
        <f t="shared" si="6"/>
        <v>2025.3745940558792</v>
      </c>
      <c r="AG22" s="61">
        <f t="shared" si="6"/>
        <v>2068.0903708243331</v>
      </c>
      <c r="AH22" s="61">
        <f t="shared" si="6"/>
        <v>2110.475903764881</v>
      </c>
      <c r="AI22" s="61">
        <f t="shared" si="6"/>
        <v>2152.5311916613018</v>
      </c>
      <c r="AJ22" s="61">
        <f t="shared" si="6"/>
        <v>2194.2562332366583</v>
      </c>
      <c r="AK22" s="61">
        <f t="shared" si="6"/>
        <v>2235.6510271629118</v>
      </c>
      <c r="AL22" s="61">
        <f t="shared" si="6"/>
        <v>2276.7155720708447</v>
      </c>
      <c r="AM22" s="61">
        <f t="shared" si="6"/>
        <v>2317.4498665602064</v>
      </c>
      <c r="AN22" s="61">
        <f t="shared" si="6"/>
        <v>2357.8539092100013</v>
      </c>
      <c r="AO22" s="61">
        <f t="shared" si="6"/>
        <v>2397.9276985888628</v>
      </c>
      <c r="AP22" s="61">
        <f t="shared" si="6"/>
        <v>2437.6712332654188</v>
      </c>
    </row>
    <row r="23" spans="1:43" x14ac:dyDescent="0.25">
      <c r="A23" s="18" t="s">
        <v>125</v>
      </c>
      <c r="B23" s="27"/>
      <c r="C23" s="27"/>
      <c r="D23" s="27"/>
      <c r="E23" s="27">
        <f t="shared" ref="E23:AO23" si="7">E24+E25+E26</f>
        <v>119.28925890000002</v>
      </c>
      <c r="F23" s="27">
        <f t="shared" si="7"/>
        <v>160.15263184736671</v>
      </c>
      <c r="G23" s="27">
        <f t="shared" si="7"/>
        <v>201.01600801959049</v>
      </c>
      <c r="H23" s="27">
        <f t="shared" si="7"/>
        <v>241.87938898271324</v>
      </c>
      <c r="I23" s="27">
        <f t="shared" si="7"/>
        <v>282.74277625705741</v>
      </c>
      <c r="J23" s="27">
        <f t="shared" si="7"/>
        <v>323.60617130662092</v>
      </c>
      <c r="K23" s="27">
        <f t="shared" si="7"/>
        <v>364.46957552895242</v>
      </c>
      <c r="L23" s="27">
        <f t="shared" si="7"/>
        <v>405.33299024557851</v>
      </c>
      <c r="M23" s="27">
        <f t="shared" si="7"/>
        <v>446.19641669304593</v>
      </c>
      <c r="N23" s="27">
        <f t="shared" si="7"/>
        <v>487.05985601463942</v>
      </c>
      <c r="O23" s="27">
        <f t="shared" si="7"/>
        <v>527.92330925282988</v>
      </c>
      <c r="P23" s="27">
        <f t="shared" si="7"/>
        <v>568.78677734250186</v>
      </c>
      <c r="Q23" s="27">
        <f t="shared" si="7"/>
        <v>609.65026110500344</v>
      </c>
      <c r="R23" s="27">
        <f t="shared" si="7"/>
        <v>650.51376124305625</v>
      </c>
      <c r="S23" s="27">
        <f t="shared" si="7"/>
        <v>691.37727833655413</v>
      </c>
      <c r="T23" s="27">
        <f t="shared" si="7"/>
        <v>732.24081283927546</v>
      </c>
      <c r="U23" s="27">
        <f t="shared" si="7"/>
        <v>773.10436507652798</v>
      </c>
      <c r="V23" s="27">
        <f t="shared" si="7"/>
        <v>813.96793524373129</v>
      </c>
      <c r="W23" s="27">
        <f t="shared" si="7"/>
        <v>854.83152340594745</v>
      </c>
      <c r="X23" s="27">
        <f t="shared" si="7"/>
        <v>895.69512949834916</v>
      </c>
      <c r="Y23" s="27">
        <f t="shared" si="7"/>
        <v>936.55875332762048</v>
      </c>
      <c r="Z23" s="27">
        <f t="shared" si="7"/>
        <v>977.42239457427183</v>
      </c>
      <c r="AA23" s="27">
        <f t="shared" si="7"/>
        <v>1018.2860527958445</v>
      </c>
      <c r="AB23" s="27">
        <f t="shared" si="7"/>
        <v>1059.1497274309786</v>
      </c>
      <c r="AC23" s="27">
        <f t="shared" si="7"/>
        <v>1100.0134178043027</v>
      </c>
      <c r="AD23" s="27">
        <f t="shared" si="7"/>
        <v>1140.8771231321141</v>
      </c>
      <c r="AE23" s="27">
        <f t="shared" si="7"/>
        <v>1181.7408425287929</v>
      </c>
      <c r="AF23" s="27">
        <f t="shared" si="7"/>
        <v>1222.6045750139051</v>
      </c>
      <c r="AG23" s="27">
        <f t="shared" si="7"/>
        <v>1263.4683195199348</v>
      </c>
      <c r="AH23" s="27">
        <f t="shared" si="7"/>
        <v>1304.3320749005889</v>
      </c>
      <c r="AI23" s="27">
        <f t="shared" si="7"/>
        <v>1345.195839939608</v>
      </c>
      <c r="AJ23" s="27">
        <f t="shared" si="7"/>
        <v>1386.0596133600168</v>
      </c>
      <c r="AK23" s="27">
        <f t="shared" si="7"/>
        <v>1426.9233938337441</v>
      </c>
      <c r="AL23" s="27">
        <f t="shared" si="7"/>
        <v>1467.7871799915422</v>
      </c>
      <c r="AM23" s="27">
        <f t="shared" si="7"/>
        <v>1508.6509704331329</v>
      </c>
      <c r="AN23" s="27">
        <f t="shared" si="7"/>
        <v>1549.5147637374971</v>
      </c>
      <c r="AO23" s="27">
        <f t="shared" si="7"/>
        <v>1590.3785584732486</v>
      </c>
      <c r="AP23" s="27">
        <f>AP24+AP25+AP26</f>
        <v>1631.2423532089997</v>
      </c>
    </row>
    <row r="24" spans="1:43" x14ac:dyDescent="0.25">
      <c r="A24" s="1" t="s">
        <v>26</v>
      </c>
      <c r="B24" s="52"/>
      <c r="C24" s="13"/>
      <c r="D24" s="13"/>
      <c r="E24" s="26">
        <f>'Données capacités de production'!B48</f>
        <v>73.81430597906953</v>
      </c>
      <c r="F24" s="26">
        <f>'Données capacités de production'!C48</f>
        <v>99.099914607104665</v>
      </c>
      <c r="G24" s="26">
        <f>'Données capacités de production'!D48</f>
        <v>124.38552523063035</v>
      </c>
      <c r="H24" s="26">
        <f>'Données capacités de production'!E48</f>
        <v>149.67113881868849</v>
      </c>
      <c r="I24" s="26">
        <f>'Données capacités de production'!F48</f>
        <v>174.95675631203062</v>
      </c>
      <c r="J24" s="26">
        <f>'Données capacités de production'!G48</f>
        <v>200.24237861655544</v>
      </c>
      <c r="K24" s="26">
        <f>'Données capacités de production'!H48</f>
        <v>225.52800659704394</v>
      </c>
      <c r="L24" s="26">
        <f>'Données capacités de production'!I48</f>
        <v>250.81364107123593</v>
      </c>
      <c r="M24" s="26">
        <f>'Données capacités de production'!J48</f>
        <v>276.09928280428687</v>
      </c>
      <c r="N24" s="26">
        <f>'Données capacités de production'!K48</f>
        <v>301.38493250364343</v>
      </c>
      <c r="O24" s="26">
        <f>'Données capacités de production'!L48</f>
        <v>326.67059081436986</v>
      </c>
      <c r="P24" s="26">
        <f>'Données capacités de production'!M48</f>
        <v>351.95625831495818</v>
      </c>
      <c r="Q24" s="26">
        <f>'Données capacités de production'!N48</f>
        <v>377.24193551364544</v>
      </c>
      <c r="R24" s="26">
        <f>'Données capacités de production'!O48</f>
        <v>402.52762284526466</v>
      </c>
      <c r="S24" s="26">
        <f>'Données capacités de production'!P48</f>
        <v>427.81332066864502</v>
      </c>
      <c r="T24" s="26">
        <f>'Données capacités de production'!Q48</f>
        <v>453.0990292645775</v>
      </c>
      <c r="U24" s="26">
        <f>'Données capacités de production'!R48</f>
        <v>478.3847488343572</v>
      </c>
      <c r="V24" s="26">
        <f>'Données capacités de production'!S48</f>
        <v>503.67047949890673</v>
      </c>
      <c r="W24" s="26">
        <f>'Données capacités de production'!T48</f>
        <v>528.95622129848562</v>
      </c>
      <c r="X24" s="26">
        <f>'Données capacités de production'!U48</f>
        <v>554.24197419297946</v>
      </c>
      <c r="Y24" s="26">
        <f>'Données capacités de production'!V48</f>
        <v>579.52773806276764</v>
      </c>
      <c r="Z24" s="26">
        <f>'Données capacités de production'!W48</f>
        <v>604.81351271015501</v>
      </c>
      <c r="AA24" s="26">
        <f>'Données capacités de production'!X48</f>
        <v>630.09929786135513</v>
      </c>
      <c r="AB24" s="26">
        <f>'Données capacités de production'!Y48</f>
        <v>655.3850931690074</v>
      </c>
      <c r="AC24" s="26">
        <f>'Données capacités de production'!Z48</f>
        <v>680.67089821520244</v>
      </c>
      <c r="AD24" s="26">
        <f>'Données capacités de production'!AA48</f>
        <v>705.95671251499766</v>
      </c>
      <c r="AE24" s="26">
        <f>'Données capacités de production'!AB48</f>
        <v>731.24253552038556</v>
      </c>
      <c r="AF24" s="26">
        <f>'Données capacités de production'!AC48</f>
        <v>756.52836662468894</v>
      </c>
      <c r="AG24" s="26">
        <f>'Données capacités de production'!AD48</f>
        <v>781.81420516734579</v>
      </c>
      <c r="AH24" s="26">
        <f>'Données capacités de production'!AE48</f>
        <v>807.10005043904823</v>
      </c>
      <c r="AI24" s="26">
        <f>'Données capacités de production'!AF48</f>
        <v>832.38590168719418</v>
      </c>
      <c r="AJ24" s="26">
        <f>'Données capacités de production'!AG48</f>
        <v>857.67175812161133</v>
      </c>
      <c r="AK24" s="26">
        <f>'Données capacités de production'!AH48</f>
        <v>882.95761892051041</v>
      </c>
      <c r="AL24" s="26">
        <f>'Données capacités de production'!AI48</f>
        <v>908.24348323662252</v>
      </c>
      <c r="AM24" s="26">
        <f>'Données capacités de production'!AJ48</f>
        <v>933.52935020347775</v>
      </c>
      <c r="AN24" s="26">
        <f>'Données capacités de production'!AK48</f>
        <v>958.81521894177206</v>
      </c>
      <c r="AO24" s="26">
        <f>'Données capacités de production'!AL48</f>
        <v>984.10108856578609</v>
      </c>
      <c r="AP24" s="26">
        <f>'Données capacités de production'!AM48</f>
        <v>1009.3869581897998</v>
      </c>
    </row>
    <row r="25" spans="1:43" x14ac:dyDescent="0.25">
      <c r="A25" s="1" t="s">
        <v>25</v>
      </c>
      <c r="B25" s="52"/>
      <c r="C25" s="13"/>
      <c r="D25" s="13"/>
      <c r="E25" s="26">
        <f>'Données capacités de production'!B47</f>
        <v>18.208836600930482</v>
      </c>
      <c r="F25" s="26">
        <f>'Données capacités de production'!C47</f>
        <v>24.446401389435369</v>
      </c>
      <c r="G25" s="26">
        <f>'Données capacités de production'!D47</f>
        <v>30.683966670196611</v>
      </c>
      <c r="H25" s="26">
        <f>'Données capacités de production'!E47</f>
        <v>36.92153268226172</v>
      </c>
      <c r="I25" s="26">
        <f>'Données capacités de production'!F47</f>
        <v>43.159099657699393</v>
      </c>
      <c r="J25" s="26">
        <f>'Données capacités de production'!G47</f>
        <v>49.396667819980713</v>
      </c>
      <c r="K25" s="26">
        <f>'Données capacités de production'!H47</f>
        <v>55.634237382433639</v>
      </c>
      <c r="L25" s="26">
        <f>'Données capacités de production'!I47</f>
        <v>61.871808546781807</v>
      </c>
      <c r="M25" s="26">
        <f>'Données capacités de production'!J47</f>
        <v>68.109381501777136</v>
      </c>
      <c r="N25" s="26">
        <f>'Données capacités de production'!K47</f>
        <v>74.34695642193563</v>
      </c>
      <c r="O25" s="26">
        <f>'Données capacités de production'!L47</f>
        <v>80.584533466384627</v>
      </c>
      <c r="P25" s="26">
        <f>'Données capacités de production'!M47</f>
        <v>86.82211277782902</v>
      </c>
      <c r="Q25" s="26">
        <f>'Données capacités de production'!N47</f>
        <v>93.059694481642993</v>
      </c>
      <c r="R25" s="26">
        <f>'Données capacités de production'!O47</f>
        <v>99.297278685093033</v>
      </c>
      <c r="S25" s="26">
        <f>'Données capacités de production'!P47</f>
        <v>105.53486547669672</v>
      </c>
      <c r="T25" s="26">
        <f>'Données capacités de production'!Q47</f>
        <v>111.77245492572077</v>
      </c>
      <c r="U25" s="26">
        <f>'Données capacités de production'!R47</f>
        <v>118.01004708182157</v>
      </c>
      <c r="V25" s="26">
        <f>'Données capacités de production'!S47</f>
        <v>124.24764197482885</v>
      </c>
      <c r="W25" s="26">
        <f>'Données capacités de production'!T47</f>
        <v>130.48523961467396</v>
      </c>
      <c r="X25" s="26">
        <f>'Données capacités de production'!U47</f>
        <v>136.72283999146134</v>
      </c>
      <c r="Y25" s="26">
        <f>'Données capacités de production'!V47</f>
        <v>142.96044307568246</v>
      </c>
      <c r="Z25" s="26">
        <f>'Données capacités de production'!W47</f>
        <v>149.19804881856899</v>
      </c>
      <c r="AA25" s="26">
        <f>'Données capacités de production'!X47</f>
        <v>155.43565715258211</v>
      </c>
      <c r="AB25" s="26">
        <f>'Données capacités de production'!Y47</f>
        <v>161.67326799203332</v>
      </c>
      <c r="AC25" s="26">
        <f>'Données capacités de production'!Z47</f>
        <v>167.91088123383099</v>
      </c>
      <c r="AD25" s="26">
        <f>'Données capacités de production'!AA47</f>
        <v>174.14849675834733</v>
      </c>
      <c r="AE25" s="26">
        <f>'Données capacités de production'!AB47</f>
        <v>180.38611443039744</v>
      </c>
      <c r="AF25" s="26">
        <f>'Données capacités de production'!AC47</f>
        <v>186.6237341003235</v>
      </c>
      <c r="AG25" s="26">
        <f>'Données capacités de production'!AD47</f>
        <v>192.86135560517522</v>
      </c>
      <c r="AH25" s="26">
        <f>'Données capacités de production'!AE47</f>
        <v>199.09897876997741</v>
      </c>
      <c r="AI25" s="26">
        <f>'Données capacités de production'!AF47</f>
        <v>205.33660340907488</v>
      </c>
      <c r="AJ25" s="26">
        <f>'Données capacités de production'!AG47</f>
        <v>211.57422932754446</v>
      </c>
      <c r="AK25" s="26">
        <f>'Données capacités de production'!AH47</f>
        <v>217.81185632266357</v>
      </c>
      <c r="AL25" s="26">
        <f>'Données capacités de production'!AI47</f>
        <v>224.04948418542423</v>
      </c>
      <c r="AM25" s="26">
        <f>'Données capacités de production'!AJ47</f>
        <v>230.2871127020818</v>
      </c>
      <c r="AN25" s="26">
        <f>'Données capacités de production'!AK47</f>
        <v>236.52474165572576</v>
      </c>
      <c r="AO25" s="26">
        <f>'Données capacités de production'!AL47</f>
        <v>242.76237082786292</v>
      </c>
      <c r="AP25" s="26">
        <f>'Données capacités de production'!AM47</f>
        <v>249</v>
      </c>
    </row>
    <row r="26" spans="1:43" x14ac:dyDescent="0.25">
      <c r="A26" s="1" t="s">
        <v>144</v>
      </c>
      <c r="B26" s="52"/>
      <c r="C26" s="13"/>
      <c r="D26" s="13"/>
      <c r="E26" s="26">
        <f>'Données capacités de production'!B50</f>
        <v>27.266116320000005</v>
      </c>
      <c r="F26" s="26">
        <f>'Données capacités de production'!C50</f>
        <v>36.606315850826675</v>
      </c>
      <c r="G26" s="26">
        <f>'Données capacités de production'!D50</f>
        <v>45.946516118763533</v>
      </c>
      <c r="H26" s="26">
        <f>'Données capacités de production'!E50</f>
        <v>55.28671748176302</v>
      </c>
      <c r="I26" s="26">
        <f>'Données capacités de production'!F50</f>
        <v>64.626920287327408</v>
      </c>
      <c r="J26" s="26">
        <f>'Données capacités de production'!G50</f>
        <v>73.96712487008476</v>
      </c>
      <c r="K26" s="26">
        <f>'Données capacités de production'!H50</f>
        <v>83.30733154947481</v>
      </c>
      <c r="L26" s="26">
        <f>'Données capacités de production'!I50</f>
        <v>92.647540627560772</v>
      </c>
      <c r="M26" s="26">
        <f>'Données capacités de production'!J50</f>
        <v>101.98775238698191</v>
      </c>
      <c r="N26" s="26">
        <f>'Données capacités de production'!K50</f>
        <v>111.32796708906042</v>
      </c>
      <c r="O26" s="26">
        <f>'Données capacités de production'!L50</f>
        <v>120.66818497207537</v>
      </c>
      <c r="P26" s="26">
        <f>'Données capacités de production'!M50</f>
        <v>130.00840624971468</v>
      </c>
      <c r="Q26" s="26">
        <f>'Données capacités de production'!N50</f>
        <v>139.34863110971506</v>
      </c>
      <c r="R26" s="26">
        <f>'Données capacités de production'!O50</f>
        <v>148.68885971269856</v>
      </c>
      <c r="S26" s="26">
        <f>'Données capacités de production'!P50</f>
        <v>158.02909219121233</v>
      </c>
      <c r="T26" s="26">
        <f>'Données capacités de production'!Q50</f>
        <v>167.36932864897722</v>
      </c>
      <c r="U26" s="26">
        <f>'Données capacités de production'!R50</f>
        <v>176.70956916034919</v>
      </c>
      <c r="V26" s="26">
        <f>'Données capacités de production'!S50</f>
        <v>186.04981376999569</v>
      </c>
      <c r="W26" s="26">
        <f>'Données capacités de production'!T50</f>
        <v>195.39006249278796</v>
      </c>
      <c r="X26" s="26">
        <f>'Données capacités de production'!U50</f>
        <v>204.73031531390833</v>
      </c>
      <c r="Y26" s="26">
        <f>'Données capacités de production'!V50</f>
        <v>214.07057218917038</v>
      </c>
      <c r="Z26" s="26">
        <f>'Données capacités de production'!W50</f>
        <v>223.41083304554783</v>
      </c>
      <c r="AA26" s="26">
        <f>'Données capacités de production'!X50</f>
        <v>232.75109778190736</v>
      </c>
      <c r="AB26" s="26">
        <f>'Données capacités de production'!Y50</f>
        <v>242.09136626993796</v>
      </c>
      <c r="AC26" s="26">
        <f>'Données capacités de production'!Z50</f>
        <v>251.4316383552692</v>
      </c>
      <c r="AD26" s="26">
        <f>'Données capacités de production'!AA50</f>
        <v>260.77191385876898</v>
      </c>
      <c r="AE26" s="26">
        <f>'Données capacités de production'!AB50</f>
        <v>270.11219257800985</v>
      </c>
      <c r="AF26" s="26">
        <f>'Données capacités de production'!AC50</f>
        <v>279.45247428889263</v>
      </c>
      <c r="AG26" s="26">
        <f>'Données capacités de production'!AD50</f>
        <v>288.7927587474137</v>
      </c>
      <c r="AH26" s="26">
        <f>'Données capacités de production'!AE50</f>
        <v>298.13304569156321</v>
      </c>
      <c r="AI26" s="26">
        <f>'Données capacités de production'!AF50</f>
        <v>307.47333484333905</v>
      </c>
      <c r="AJ26" s="26">
        <f>'Données capacités de production'!AG50</f>
        <v>316.81362591086099</v>
      </c>
      <c r="AK26" s="26">
        <f>'Données capacités de production'!AH50</f>
        <v>326.15391859057007</v>
      </c>
      <c r="AL26" s="26">
        <f>'Données capacités de production'!AI50</f>
        <v>335.4942125694954</v>
      </c>
      <c r="AM26" s="26">
        <f>'Données capacités de production'!AJ50</f>
        <v>344.83450752757324</v>
      </c>
      <c r="AN26" s="26">
        <f>'Données capacités de production'!AK50</f>
        <v>354.17480313999937</v>
      </c>
      <c r="AO26" s="26">
        <f>'Données capacités de production'!AL50</f>
        <v>363.51509907959974</v>
      </c>
      <c r="AP26" s="26">
        <f>'Données capacités de production'!AM50</f>
        <v>372.85539501920005</v>
      </c>
    </row>
    <row r="27" spans="1:43" x14ac:dyDescent="0.25">
      <c r="A27" s="1"/>
      <c r="B27" s="52"/>
      <c r="C27" s="1"/>
      <c r="D27" s="1"/>
      <c r="E27" s="1"/>
      <c r="F27" s="1"/>
      <c r="G27" s="1"/>
      <c r="H27" s="1"/>
      <c r="I27" s="1"/>
      <c r="J27" s="1"/>
      <c r="K27" s="1"/>
      <c r="L27" s="1"/>
      <c r="M27" s="1"/>
      <c r="N27" s="1"/>
      <c r="O27" s="1"/>
      <c r="P27" s="31"/>
      <c r="Q27" s="1"/>
      <c r="R27" s="1"/>
      <c r="S27" s="1"/>
      <c r="T27" s="1"/>
      <c r="U27" s="1"/>
      <c r="V27" s="1"/>
      <c r="W27" s="1"/>
      <c r="X27" s="1"/>
      <c r="Y27" s="1"/>
      <c r="Z27" s="1"/>
      <c r="AA27" s="1"/>
      <c r="AB27" s="1"/>
      <c r="AC27" s="1"/>
      <c r="AD27" s="1"/>
      <c r="AE27" s="1"/>
      <c r="AF27" s="1"/>
      <c r="AG27" s="1"/>
      <c r="AH27" s="52"/>
      <c r="AI27" s="52"/>
      <c r="AJ27" s="52"/>
      <c r="AK27" s="52"/>
      <c r="AL27" s="52"/>
      <c r="AM27" s="52"/>
      <c r="AN27" s="52"/>
      <c r="AO27" s="1"/>
      <c r="AP27" s="13"/>
    </row>
    <row r="28" spans="1:43" x14ac:dyDescent="0.25">
      <c r="A28" s="16" t="s">
        <v>21</v>
      </c>
      <c r="B28" s="53"/>
      <c r="C28" s="27"/>
      <c r="D28" s="27"/>
      <c r="E28" s="27">
        <f t="shared" ref="E28:AO28" si="8">E29+E30</f>
        <v>128.18202210000004</v>
      </c>
      <c r="F28" s="27">
        <f t="shared" si="8"/>
        <v>130.81176204324356</v>
      </c>
      <c r="G28" s="27">
        <f t="shared" si="8"/>
        <v>133.44150198648708</v>
      </c>
      <c r="H28" s="27">
        <f t="shared" si="8"/>
        <v>136.0712419297306</v>
      </c>
      <c r="I28" s="27">
        <f t="shared" si="8"/>
        <v>138.7009818729741</v>
      </c>
      <c r="J28" s="27">
        <f t="shared" si="8"/>
        <v>141.33072181621759</v>
      </c>
      <c r="K28" s="27">
        <f t="shared" si="8"/>
        <v>143.96046175946108</v>
      </c>
      <c r="L28" s="27">
        <f t="shared" si="8"/>
        <v>146.59020170270452</v>
      </c>
      <c r="M28" s="27">
        <f t="shared" si="8"/>
        <v>149.21994164594796</v>
      </c>
      <c r="N28" s="27">
        <f t="shared" si="8"/>
        <v>151.84968158919139</v>
      </c>
      <c r="O28" s="27">
        <f t="shared" si="8"/>
        <v>154.47942153243477</v>
      </c>
      <c r="P28" s="27">
        <f t="shared" si="8"/>
        <v>157.10916147567818</v>
      </c>
      <c r="Q28" s="27">
        <f t="shared" si="8"/>
        <v>159.73890141892153</v>
      </c>
      <c r="R28" s="27">
        <f t="shared" si="8"/>
        <v>162.36864136216491</v>
      </c>
      <c r="S28" s="27">
        <f t="shared" si="8"/>
        <v>164.99838130540823</v>
      </c>
      <c r="T28" s="27">
        <f t="shared" si="8"/>
        <v>167.62812124865158</v>
      </c>
      <c r="U28" s="27">
        <f t="shared" si="8"/>
        <v>170.2578611918949</v>
      </c>
      <c r="V28" s="27">
        <f t="shared" si="8"/>
        <v>172.88760113513817</v>
      </c>
      <c r="W28" s="27">
        <f t="shared" si="8"/>
        <v>175.51734107838146</v>
      </c>
      <c r="X28" s="27">
        <f t="shared" si="8"/>
        <v>178.14708102162473</v>
      </c>
      <c r="Y28" s="27">
        <f t="shared" si="8"/>
        <v>180.77682096486794</v>
      </c>
      <c r="Z28" s="27">
        <f t="shared" si="8"/>
        <v>183.40656090811117</v>
      </c>
      <c r="AA28" s="27">
        <f t="shared" si="8"/>
        <v>186.03630085135438</v>
      </c>
      <c r="AB28" s="27">
        <f t="shared" si="8"/>
        <v>188.66604079459756</v>
      </c>
      <c r="AC28" s="27">
        <f t="shared" si="8"/>
        <v>191.29578073784074</v>
      </c>
      <c r="AD28" s="27">
        <f t="shared" si="8"/>
        <v>193.92552068108387</v>
      </c>
      <c r="AE28" s="27">
        <f t="shared" si="8"/>
        <v>196.55526062432699</v>
      </c>
      <c r="AF28" s="27">
        <f t="shared" si="8"/>
        <v>199.18500056757011</v>
      </c>
      <c r="AG28" s="27">
        <f t="shared" si="8"/>
        <v>201.81474051081321</v>
      </c>
      <c r="AH28" s="53">
        <f t="shared" si="8"/>
        <v>204.44448045405628</v>
      </c>
      <c r="AI28" s="53">
        <f t="shared" si="8"/>
        <v>207.07422039729934</v>
      </c>
      <c r="AJ28" s="53">
        <f t="shared" si="8"/>
        <v>209.70396034054241</v>
      </c>
      <c r="AK28" s="53">
        <f t="shared" si="8"/>
        <v>212.33370028378542</v>
      </c>
      <c r="AL28" s="53">
        <f t="shared" si="8"/>
        <v>214.96344022702843</v>
      </c>
      <c r="AM28" s="53">
        <f t="shared" si="8"/>
        <v>217.59318017027141</v>
      </c>
      <c r="AN28" s="53">
        <f t="shared" si="8"/>
        <v>220.22292011351436</v>
      </c>
      <c r="AO28" s="27">
        <f t="shared" si="8"/>
        <v>222.85266005675732</v>
      </c>
      <c r="AP28" s="27">
        <f>AP29+AP30</f>
        <v>225.4824000000003</v>
      </c>
    </row>
    <row r="29" spans="1:43" x14ac:dyDescent="0.25">
      <c r="A29" s="1" t="s">
        <v>26</v>
      </c>
      <c r="B29" s="52"/>
      <c r="C29" s="25"/>
      <c r="D29" s="25"/>
      <c r="E29" s="22">
        <f>'Données capacités de production'!B60</f>
        <v>104.28202558972609</v>
      </c>
      <c r="F29" s="22">
        <f>'Données capacités de production'!C60</f>
        <v>106.42144111432832</v>
      </c>
      <c r="G29" s="22">
        <f>'Données capacités de production'!D60</f>
        <v>108.56085663893055</v>
      </c>
      <c r="H29" s="22">
        <f>'Données capacités de production'!E60</f>
        <v>110.70027216353277</v>
      </c>
      <c r="I29" s="22">
        <f>'Données capacités de production'!F60</f>
        <v>112.83968768813497</v>
      </c>
      <c r="J29" s="22">
        <f>'Données capacités de production'!G60</f>
        <v>114.97910321273717</v>
      </c>
      <c r="K29" s="22">
        <f>'Données capacités de production'!H60</f>
        <v>117.11851873733937</v>
      </c>
      <c r="L29" s="22">
        <f>'Données capacités de production'!I60</f>
        <v>119.25793426194153</v>
      </c>
      <c r="M29" s="22">
        <f>'Données capacités de production'!J60</f>
        <v>121.39734978654369</v>
      </c>
      <c r="N29" s="22">
        <f>'Données capacités de production'!K60</f>
        <v>123.53676531114584</v>
      </c>
      <c r="O29" s="22">
        <f>'Données capacités de production'!L60</f>
        <v>125.67618083574796</v>
      </c>
      <c r="P29" s="22">
        <f>'Données capacités de production'!M60</f>
        <v>127.8155963603501</v>
      </c>
      <c r="Q29" s="22">
        <f>'Données capacités de production'!N60</f>
        <v>129.95501188495217</v>
      </c>
      <c r="R29" s="22">
        <f>'Données capacités de production'!O60</f>
        <v>132.0944274095543</v>
      </c>
      <c r="S29" s="22">
        <f>'Données capacités de production'!P60</f>
        <v>134.23384293415634</v>
      </c>
      <c r="T29" s="22">
        <f>'Données capacités de production'!Q60</f>
        <v>136.37325845875844</v>
      </c>
      <c r="U29" s="22">
        <f>'Données capacités de production'!R60</f>
        <v>138.51267398336051</v>
      </c>
      <c r="V29" s="22">
        <f>'Données capacités de production'!S60</f>
        <v>140.65208950796253</v>
      </c>
      <c r="W29" s="22">
        <f>'Données capacités de production'!T60</f>
        <v>142.79150503256457</v>
      </c>
      <c r="X29" s="22">
        <f>'Données capacités de production'!U60</f>
        <v>144.93092055716659</v>
      </c>
      <c r="Y29" s="22">
        <f>'Données capacités de production'!V60</f>
        <v>147.07033608176855</v>
      </c>
      <c r="Z29" s="22">
        <f>'Données capacités de production'!W60</f>
        <v>149.20975160637056</v>
      </c>
      <c r="AA29" s="22">
        <f>'Données capacités de production'!X60</f>
        <v>151.34916713097252</v>
      </c>
      <c r="AB29" s="22">
        <f>'Données capacités de production'!Y60</f>
        <v>153.48858265557448</v>
      </c>
      <c r="AC29" s="22">
        <f>'Données capacités de production'!Z60</f>
        <v>155.62799818017641</v>
      </c>
      <c r="AD29" s="22">
        <f>'Données capacités de production'!AA60</f>
        <v>157.76741370477833</v>
      </c>
      <c r="AE29" s="22">
        <f>'Données capacités de production'!AB60</f>
        <v>159.90682922938021</v>
      </c>
      <c r="AF29" s="22">
        <f>'Données capacités de production'!AC60</f>
        <v>162.04624475398214</v>
      </c>
      <c r="AG29" s="22">
        <f>'Données capacités de production'!AD60</f>
        <v>164.18566027858401</v>
      </c>
      <c r="AH29" s="34">
        <f>'Données capacités de production'!AE60</f>
        <v>166.32507580318585</v>
      </c>
      <c r="AI29" s="34">
        <f>'Données capacités de production'!AF60</f>
        <v>168.46449132778773</v>
      </c>
      <c r="AJ29" s="34">
        <f>'Données capacités de production'!AG60</f>
        <v>170.60390685238957</v>
      </c>
      <c r="AK29" s="34">
        <f>'Données capacités de production'!AH60</f>
        <v>172.74332237699139</v>
      </c>
      <c r="AL29" s="34">
        <f>'Données capacités de production'!AI60</f>
        <v>174.8827379015932</v>
      </c>
      <c r="AM29" s="34">
        <f>'Données capacités de production'!AJ60</f>
        <v>177.02215342619499</v>
      </c>
      <c r="AN29" s="34">
        <f>'Données capacités de production'!AK60</f>
        <v>179.16156895079675</v>
      </c>
      <c r="AO29" s="22">
        <f>'Données capacités de production'!AL60</f>
        <v>181.30098447539851</v>
      </c>
      <c r="AP29" s="22">
        <f>'Données capacités de production'!AM60</f>
        <v>183.4404000000003</v>
      </c>
      <c r="AQ29" s="22"/>
    </row>
    <row r="30" spans="1:43" x14ac:dyDescent="0.25">
      <c r="A30" s="1" t="s">
        <v>25</v>
      </c>
      <c r="B30" s="52"/>
      <c r="C30" s="25"/>
      <c r="D30" s="25"/>
      <c r="E30" s="22">
        <f>'Données capacités de production'!B59</f>
        <v>23.899996510273951</v>
      </c>
      <c r="F30" s="22">
        <f>'Données capacités de production'!C59</f>
        <v>24.390320928915244</v>
      </c>
      <c r="G30" s="22">
        <f>'Données capacités de production'!D59</f>
        <v>24.880645347556541</v>
      </c>
      <c r="H30" s="22">
        <f>'Données capacités de production'!E59</f>
        <v>25.370969766197835</v>
      </c>
      <c r="I30" s="22">
        <f>'Données capacités de production'!F59</f>
        <v>25.861294184839124</v>
      </c>
      <c r="J30" s="22">
        <f>'Données capacités de production'!G59</f>
        <v>26.351618603480414</v>
      </c>
      <c r="K30" s="22">
        <f>'Données capacités de production'!H59</f>
        <v>26.841943022121704</v>
      </c>
      <c r="L30" s="22">
        <f>'Données capacités de production'!I59</f>
        <v>27.332267440762983</v>
      </c>
      <c r="M30" s="22">
        <f>'Données capacités de production'!J59</f>
        <v>27.822591859404266</v>
      </c>
      <c r="N30" s="22">
        <f>'Données capacités de production'!K59</f>
        <v>28.312916278045545</v>
      </c>
      <c r="O30" s="22">
        <f>'Données capacités de production'!L59</f>
        <v>28.803240696686814</v>
      </c>
      <c r="P30" s="22">
        <f>'Données capacités de production'!M59</f>
        <v>29.293565115328086</v>
      </c>
      <c r="Q30" s="22">
        <f>'Données capacités de production'!N59</f>
        <v>29.783889533969351</v>
      </c>
      <c r="R30" s="22">
        <f>'Données capacités de production'!O59</f>
        <v>30.274213952610619</v>
      </c>
      <c r="S30" s="22">
        <f>'Données capacités de production'!P59</f>
        <v>30.764538371251877</v>
      </c>
      <c r="T30" s="22">
        <f>'Données capacités de production'!Q59</f>
        <v>31.254862789893139</v>
      </c>
      <c r="U30" s="22">
        <f>'Données capacités de production'!R59</f>
        <v>31.7451872085344</v>
      </c>
      <c r="V30" s="22">
        <f>'Données capacités de production'!S59</f>
        <v>32.235511627175647</v>
      </c>
      <c r="W30" s="22">
        <f>'Données capacités de production'!T59</f>
        <v>32.725836045816898</v>
      </c>
      <c r="X30" s="22">
        <f>'Données capacités de production'!U59</f>
        <v>33.216160464458149</v>
      </c>
      <c r="Y30" s="22">
        <f>'Données capacités de production'!V59</f>
        <v>33.706484883099385</v>
      </c>
      <c r="Z30" s="22">
        <f>'Données capacités de production'!W59</f>
        <v>34.196809301740622</v>
      </c>
      <c r="AA30" s="22">
        <f>'Données capacités de production'!X59</f>
        <v>34.687133720381865</v>
      </c>
      <c r="AB30" s="22">
        <f>'Données capacités de production'!Y59</f>
        <v>35.177458139023095</v>
      </c>
      <c r="AC30" s="22">
        <f>'Données capacités de production'!Z59</f>
        <v>35.667782557664324</v>
      </c>
      <c r="AD30" s="22">
        <f>'Données capacités de production'!AA59</f>
        <v>36.158106976305547</v>
      </c>
      <c r="AE30" s="22">
        <f>'Données capacités de production'!AB59</f>
        <v>36.648431394946769</v>
      </c>
      <c r="AF30" s="22">
        <f>'Données capacités de production'!AC59</f>
        <v>37.138755813587991</v>
      </c>
      <c r="AG30" s="22">
        <f>'Données capacités de production'!AD59</f>
        <v>37.629080232229207</v>
      </c>
      <c r="AH30" s="34">
        <f>'Données capacités de production'!AE59</f>
        <v>38.119404650870415</v>
      </c>
      <c r="AI30" s="34">
        <f>'Données capacités de production'!AF59</f>
        <v>38.609729069511623</v>
      </c>
      <c r="AJ30" s="34">
        <f>'Données capacités de production'!AG59</f>
        <v>39.100053488152838</v>
      </c>
      <c r="AK30" s="34">
        <f>'Données capacités de production'!AH59</f>
        <v>39.590377906794032</v>
      </c>
      <c r="AL30" s="34">
        <f>'Données capacités de production'!AI59</f>
        <v>40.080702325435233</v>
      </c>
      <c r="AM30" s="34">
        <f>'Données capacités de production'!AJ59</f>
        <v>40.571026744076427</v>
      </c>
      <c r="AN30" s="34">
        <f>'Données capacités de production'!AK59</f>
        <v>41.061351162717621</v>
      </c>
      <c r="AO30" s="22">
        <f>'Données capacités de production'!AL59</f>
        <v>41.551675581358808</v>
      </c>
      <c r="AP30" s="22">
        <f>'Données capacités de production'!AM59</f>
        <v>42.042000000000002</v>
      </c>
      <c r="AQ30" s="22"/>
    </row>
    <row r="31" spans="1:43" x14ac:dyDescent="0.25">
      <c r="A31" s="1"/>
      <c r="B31" s="52"/>
      <c r="C31" s="1"/>
      <c r="D31" s="1"/>
      <c r="E31" s="1"/>
      <c r="F31" s="1"/>
      <c r="G31" s="1"/>
      <c r="H31" s="1"/>
      <c r="I31" s="1"/>
      <c r="J31" s="1"/>
      <c r="K31" s="1"/>
      <c r="L31" s="1"/>
      <c r="M31" s="1"/>
      <c r="N31" s="1"/>
      <c r="O31" s="1"/>
      <c r="P31" s="31"/>
      <c r="Q31" s="1"/>
      <c r="R31" s="1"/>
      <c r="S31" s="1"/>
      <c r="T31" s="1"/>
      <c r="U31" s="1"/>
      <c r="V31" s="1"/>
      <c r="W31" s="1"/>
      <c r="X31" s="1"/>
      <c r="Y31" s="1"/>
      <c r="Z31" s="1"/>
      <c r="AA31" s="1"/>
      <c r="AB31" s="1"/>
      <c r="AC31" s="1"/>
      <c r="AD31" s="1"/>
      <c r="AE31" s="1"/>
      <c r="AF31" s="1"/>
      <c r="AG31" s="1"/>
      <c r="AH31" s="52"/>
      <c r="AI31" s="52"/>
      <c r="AJ31" s="52"/>
      <c r="AK31" s="52"/>
      <c r="AL31" s="52"/>
      <c r="AM31" s="52"/>
      <c r="AN31" s="52"/>
      <c r="AO31" s="1"/>
      <c r="AP31" s="13"/>
    </row>
    <row r="32" spans="1:43" x14ac:dyDescent="0.25">
      <c r="A32" s="16" t="s">
        <v>22</v>
      </c>
      <c r="B32" s="54"/>
      <c r="C32" s="17"/>
      <c r="D32" s="17"/>
      <c r="E32" s="27">
        <f t="shared" ref="E32:AO32" si="9">E33+E34</f>
        <v>225</v>
      </c>
      <c r="F32" s="27">
        <f t="shared" si="9"/>
        <v>250.73247876510899</v>
      </c>
      <c r="G32" s="27">
        <f t="shared" si="9"/>
        <v>276.28780795481487</v>
      </c>
      <c r="H32" s="27">
        <f t="shared" si="9"/>
        <v>301.10348756907376</v>
      </c>
      <c r="I32" s="27">
        <f t="shared" si="9"/>
        <v>325.17951760784598</v>
      </c>
      <c r="J32" s="27">
        <f t="shared" si="9"/>
        <v>348.51589807109679</v>
      </c>
      <c r="K32" s="27">
        <f t="shared" si="9"/>
        <v>371.11262895879594</v>
      </c>
      <c r="L32" s="27">
        <f t="shared" si="9"/>
        <v>392.96971027091797</v>
      </c>
      <c r="M32" s="27">
        <f t="shared" si="9"/>
        <v>414.08714200744231</v>
      </c>
      <c r="N32" s="27">
        <f t="shared" si="9"/>
        <v>434.46492416835338</v>
      </c>
      <c r="O32" s="27">
        <f t="shared" si="9"/>
        <v>454.1030567536402</v>
      </c>
      <c r="P32" s="27">
        <f t="shared" si="9"/>
        <v>473.00153976329682</v>
      </c>
      <c r="Q32" s="27">
        <f t="shared" si="9"/>
        <v>491.16037319732141</v>
      </c>
      <c r="R32" s="27">
        <f t="shared" si="9"/>
        <v>508.57955705571737</v>
      </c>
      <c r="S32" s="27">
        <f t="shared" si="9"/>
        <v>525.25909133849177</v>
      </c>
      <c r="T32" s="27">
        <f t="shared" si="9"/>
        <v>541.19897604565574</v>
      </c>
      <c r="U32" s="27">
        <f t="shared" si="9"/>
        <v>556.39921117722429</v>
      </c>
      <c r="V32" s="27">
        <f t="shared" si="9"/>
        <v>570.85979673321583</v>
      </c>
      <c r="W32" s="27">
        <f t="shared" si="9"/>
        <v>584.69168014992658</v>
      </c>
      <c r="X32" s="27">
        <f t="shared" si="9"/>
        <v>597.89486142737746</v>
      </c>
      <c r="Y32" s="27">
        <f t="shared" si="9"/>
        <v>599.78184056559166</v>
      </c>
      <c r="Z32" s="27">
        <f t="shared" si="9"/>
        <v>601.31591580373254</v>
      </c>
      <c r="AA32" s="27">
        <f t="shared" si="9"/>
        <v>602.51973633902469</v>
      </c>
      <c r="AB32" s="27">
        <f t="shared" si="9"/>
        <v>603.3933021715153</v>
      </c>
      <c r="AC32" s="27">
        <f t="shared" si="9"/>
        <v>603.9366133012519</v>
      </c>
      <c r="AD32" s="27">
        <f t="shared" si="9"/>
        <v>604.14966972828154</v>
      </c>
      <c r="AE32" s="27">
        <f t="shared" si="9"/>
        <v>604.0324714526505</v>
      </c>
      <c r="AF32" s="27">
        <f t="shared" si="9"/>
        <v>603.58501847440391</v>
      </c>
      <c r="AG32" s="27">
        <f t="shared" si="9"/>
        <v>602.80731079358497</v>
      </c>
      <c r="AH32" s="53">
        <f t="shared" si="9"/>
        <v>601.69934841023564</v>
      </c>
      <c r="AI32" s="53">
        <f t="shared" si="9"/>
        <v>600.26113132439468</v>
      </c>
      <c r="AJ32" s="53">
        <f t="shared" si="9"/>
        <v>598.49265953609904</v>
      </c>
      <c r="AK32" s="53">
        <f t="shared" si="9"/>
        <v>596.39393304538214</v>
      </c>
      <c r="AL32" s="53">
        <f t="shared" si="9"/>
        <v>593.96495185227411</v>
      </c>
      <c r="AM32" s="53">
        <f t="shared" si="9"/>
        <v>591.20571595680224</v>
      </c>
      <c r="AN32" s="53">
        <f t="shared" si="9"/>
        <v>588.11622535898994</v>
      </c>
      <c r="AO32" s="27">
        <f t="shared" si="9"/>
        <v>584.69648005885699</v>
      </c>
      <c r="AP32" s="27">
        <f>AP33+AP34</f>
        <v>580.94648005641886</v>
      </c>
    </row>
    <row r="33" spans="1:42" x14ac:dyDescent="0.25">
      <c r="A33" s="1" t="s">
        <v>26</v>
      </c>
      <c r="B33" s="1"/>
      <c r="C33" s="1"/>
      <c r="D33" s="1"/>
      <c r="E33" s="26">
        <f>'Données capacités de production'!B71</f>
        <v>160.74217817125705</v>
      </c>
      <c r="F33" s="26">
        <f>'Données capacités de production'!C71</f>
        <v>179.12571011103145</v>
      </c>
      <c r="G33" s="26">
        <f>'Données capacités de production'!D71</f>
        <v>197.38268467919511</v>
      </c>
      <c r="H33" s="26">
        <f>'Données capacités de production'!E71</f>
        <v>215.11124643028862</v>
      </c>
      <c r="I33" s="26">
        <f>'Données capacités de production'!F71</f>
        <v>232.31139536428356</v>
      </c>
      <c r="J33" s="26">
        <f>'Données capacités de production'!G71</f>
        <v>248.98313148115511</v>
      </c>
      <c r="K33" s="26">
        <f>'Données capacités de production'!H71</f>
        <v>265.12645478088172</v>
      </c>
      <c r="L33" s="26">
        <f>'Données capacités de production'!I71</f>
        <v>280.74136526344518</v>
      </c>
      <c r="M33" s="26">
        <f>'Données capacités de production'!J71</f>
        <v>295.82786292883071</v>
      </c>
      <c r="N33" s="26">
        <f>'Données capacités de production'!K71</f>
        <v>310.3859477770273</v>
      </c>
      <c r="O33" s="26">
        <f>'Données capacités de production'!L71</f>
        <v>324.41561980802703</v>
      </c>
      <c r="P33" s="26">
        <f>'Données capacités de production'!M71</f>
        <v>337.91687902182571</v>
      </c>
      <c r="Q33" s="26">
        <f>'Données capacités de production'!N71</f>
        <v>350.88972541842202</v>
      </c>
      <c r="R33" s="26">
        <f>'Données capacités de production'!O71</f>
        <v>363.33415899781829</v>
      </c>
      <c r="S33" s="26">
        <f>'Données capacités de production'!P71</f>
        <v>375.25017976001971</v>
      </c>
      <c r="T33" s="26">
        <f>'Données capacités de production'!Q71</f>
        <v>386.6377877050341</v>
      </c>
      <c r="U33" s="26">
        <f>'Données capacités de production'!R71</f>
        <v>397.49698283287228</v>
      </c>
      <c r="V33" s="26">
        <f>'Données capacités de production'!S71</f>
        <v>407.82776514354737</v>
      </c>
      <c r="W33" s="26">
        <f>'Données capacités de production'!T71</f>
        <v>417.70939655960507</v>
      </c>
      <c r="X33" s="26">
        <f>'Données capacités de production'!U71</f>
        <v>427.14187708106022</v>
      </c>
      <c r="Y33" s="26">
        <f>'Données capacités de production'!V71</f>
        <v>428.48995324479483</v>
      </c>
      <c r="Z33" s="26">
        <f>'Données capacités de production'!W71</f>
        <v>429.58591144593856</v>
      </c>
      <c r="AA33" s="26">
        <f>'Données capacités de production'!X71</f>
        <v>430.44593249025036</v>
      </c>
      <c r="AB33" s="26">
        <f>'Données capacités de production'!Y71</f>
        <v>431.07001637776386</v>
      </c>
      <c r="AC33" s="26">
        <f>'Données capacités de production'!Z71</f>
        <v>431.45816310851291</v>
      </c>
      <c r="AD33" s="26">
        <f>'Données capacités de production'!AA71</f>
        <v>431.61037268253131</v>
      </c>
      <c r="AE33" s="26">
        <f>'Données capacités de production'!AB71</f>
        <v>431.52664509985198</v>
      </c>
      <c r="AF33" s="26">
        <f>'Données capacités de production'!AC71</f>
        <v>431.20698036050715</v>
      </c>
      <c r="AG33" s="26">
        <f>'Données capacités de production'!AD71</f>
        <v>430.65137846452785</v>
      </c>
      <c r="AH33" s="28">
        <f>'Données capacités de production'!AE71</f>
        <v>429.85983941194388</v>
      </c>
      <c r="AI33" s="28">
        <f>'Données capacités de production'!AF71</f>
        <v>428.83236320278303</v>
      </c>
      <c r="AJ33" s="28">
        <f>'Données capacités de production'!AG71</f>
        <v>427.56894983707161</v>
      </c>
      <c r="AK33" s="28">
        <f>'Données capacités de production'!AH71</f>
        <v>426.06959931483362</v>
      </c>
      <c r="AL33" s="28">
        <f>'Données capacités de production'!AI71</f>
        <v>424.33431163609055</v>
      </c>
      <c r="AM33" s="28">
        <f>'Données capacités de production'!AJ71</f>
        <v>422.36308680086177</v>
      </c>
      <c r="AN33" s="28">
        <f>'Données capacités de production'!AK71</f>
        <v>420.15592480916416</v>
      </c>
      <c r="AO33" s="26">
        <f>'Données capacités de production'!AL71</f>
        <v>417.71282566101172</v>
      </c>
      <c r="AP33" s="26">
        <f>'Données capacités de production'!AM71</f>
        <v>415.03378935641558</v>
      </c>
    </row>
    <row r="34" spans="1:42" x14ac:dyDescent="0.25">
      <c r="A34" s="1" t="s">
        <v>25</v>
      </c>
      <c r="B34" s="1"/>
      <c r="C34" s="1"/>
      <c r="D34" s="1"/>
      <c r="E34" s="26">
        <f>'Données capacités de production'!B70</f>
        <v>64.257821828742948</v>
      </c>
      <c r="F34" s="26">
        <f>'Données capacités de production'!C70</f>
        <v>71.606768654077541</v>
      </c>
      <c r="G34" s="26">
        <f>'Données capacités de production'!D70</f>
        <v>78.905123275619744</v>
      </c>
      <c r="H34" s="26">
        <f>'Données capacités de production'!E70</f>
        <v>85.992241138785147</v>
      </c>
      <c r="I34" s="26">
        <f>'Données capacités de production'!F70</f>
        <v>92.868122243562425</v>
      </c>
      <c r="J34" s="26">
        <f>'Données capacités de production'!G70</f>
        <v>99.532766589941659</v>
      </c>
      <c r="K34" s="26">
        <f>'Données capacités de production'!H70</f>
        <v>105.98617417791421</v>
      </c>
      <c r="L34" s="26">
        <f>'Données capacités de production'!I70</f>
        <v>112.22834500747281</v>
      </c>
      <c r="M34" s="26">
        <f>'Données capacités de production'!J70</f>
        <v>118.25927907861158</v>
      </c>
      <c r="N34" s="26">
        <f>'Données capacités de production'!K70</f>
        <v>124.07897639132607</v>
      </c>
      <c r="O34" s="26">
        <f>'Données capacités de production'!L70</f>
        <v>129.68743694561314</v>
      </c>
      <c r="P34" s="26">
        <f>'Données capacités de production'!M70</f>
        <v>135.08466074147108</v>
      </c>
      <c r="Q34" s="26">
        <f>'Données capacités de production'!N70</f>
        <v>140.27064777889942</v>
      </c>
      <c r="R34" s="26">
        <f>'Données capacités de production'!O70</f>
        <v>145.24539805789908</v>
      </c>
      <c r="S34" s="26">
        <f>'Données capacités de production'!P70</f>
        <v>150.00891157847209</v>
      </c>
      <c r="T34" s="26">
        <f>'Données capacités de production'!Q70</f>
        <v>154.56118834062164</v>
      </c>
      <c r="U34" s="26">
        <f>'Données capacités de production'!R70</f>
        <v>158.90222834435198</v>
      </c>
      <c r="V34" s="26">
        <f>'Données capacités de production'!S70</f>
        <v>163.03203158966843</v>
      </c>
      <c r="W34" s="26">
        <f>'Données capacités de production'!T70</f>
        <v>166.98228359032152</v>
      </c>
      <c r="X34" s="26">
        <f>'Données capacités de production'!U70</f>
        <v>170.75298434631722</v>
      </c>
      <c r="Y34" s="26">
        <f>'Données capacités de production'!V70</f>
        <v>171.29188732079686</v>
      </c>
      <c r="Z34" s="26">
        <f>'Données capacités de production'!W70</f>
        <v>171.73000435779394</v>
      </c>
      <c r="AA34" s="26">
        <f>'Données capacités de production'!X70</f>
        <v>172.07380384877433</v>
      </c>
      <c r="AB34" s="26">
        <f>'Données capacités de production'!Y70</f>
        <v>172.32328579375147</v>
      </c>
      <c r="AC34" s="26">
        <f>'Données capacités de production'!Z70</f>
        <v>172.47845019273899</v>
      </c>
      <c r="AD34" s="26">
        <f>'Données capacités de production'!AA70</f>
        <v>172.53929704575026</v>
      </c>
      <c r="AE34" s="26">
        <f>'Données capacités de production'!AB70</f>
        <v>172.50582635279855</v>
      </c>
      <c r="AF34" s="26">
        <f>'Données capacités de production'!AC70</f>
        <v>172.37803811389674</v>
      </c>
      <c r="AG34" s="26">
        <f>'Données capacités de production'!AD70</f>
        <v>172.15593232905715</v>
      </c>
      <c r="AH34" s="26">
        <f>'Données capacités de production'!AE70</f>
        <v>171.83950899829176</v>
      </c>
      <c r="AI34" s="26">
        <f>'Données capacités de production'!AF70</f>
        <v>171.42876812161165</v>
      </c>
      <c r="AJ34" s="26">
        <f>'Données capacités de production'!AG70</f>
        <v>170.9237096990274</v>
      </c>
      <c r="AK34" s="26">
        <f>'Données capacités de production'!AH70</f>
        <v>170.32433373054852</v>
      </c>
      <c r="AL34" s="26">
        <f>'Données capacités de production'!AI70</f>
        <v>169.63064021618359</v>
      </c>
      <c r="AM34" s="26">
        <f>'Données capacités de production'!AJ70</f>
        <v>168.84262915594047</v>
      </c>
      <c r="AN34" s="26">
        <f>'Données capacités de production'!AK70</f>
        <v>167.9603005498258</v>
      </c>
      <c r="AO34" s="26">
        <f>'Données capacités de production'!AL70</f>
        <v>166.98365439784527</v>
      </c>
      <c r="AP34" s="26">
        <f>'Données capacités de production'!AM70</f>
        <v>165.91269070000325</v>
      </c>
    </row>
    <row r="37" spans="1:42" x14ac:dyDescent="0.25">
      <c r="A37" s="40" t="s">
        <v>129</v>
      </c>
      <c r="B37" s="40"/>
      <c r="C37" s="40"/>
      <c r="D37" s="40"/>
      <c r="E37" s="61">
        <f>E38</f>
        <v>84.241910432886939</v>
      </c>
      <c r="F37" s="61">
        <f t="shared" ref="F37:AP37" si="10">F38</f>
        <v>272.73712558481066</v>
      </c>
      <c r="G37" s="61">
        <f t="shared" si="10"/>
        <v>457.43099270902616</v>
      </c>
      <c r="H37" s="61">
        <f t="shared" si="10"/>
        <v>638.32365460853248</v>
      </c>
      <c r="I37" s="61">
        <f t="shared" si="10"/>
        <v>815.41523985817128</v>
      </c>
      <c r="J37" s="61">
        <f t="shared" si="10"/>
        <v>988.70586217088555</v>
      </c>
      <c r="K37" s="61">
        <f t="shared" si="10"/>
        <v>1158.1956199191845</v>
      </c>
      <c r="L37" s="61">
        <f t="shared" si="10"/>
        <v>1323.8845958121551</v>
      </c>
      <c r="M37" s="61">
        <f t="shared" si="10"/>
        <v>1485.7728567269435</v>
      </c>
      <c r="N37" s="61">
        <f t="shared" si="10"/>
        <v>1643.8604536922817</v>
      </c>
      <c r="O37" s="61">
        <f t="shared" si="10"/>
        <v>1798.1474220202799</v>
      </c>
      <c r="P37" s="61">
        <f t="shared" si="10"/>
        <v>1948.6337815814748</v>
      </c>
      <c r="Q37" s="61">
        <f t="shared" si="10"/>
        <v>2095.3195372168943</v>
      </c>
      <c r="R37" s="61">
        <f t="shared" si="10"/>
        <v>2238.2046792798019</v>
      </c>
      <c r="S37" s="61">
        <f t="shared" si="10"/>
        <v>2377.2891842987528</v>
      </c>
      <c r="T37" s="61">
        <f t="shared" si="10"/>
        <v>2512.5730157526314</v>
      </c>
      <c r="U37" s="61">
        <f t="shared" si="10"/>
        <v>2644.0561249475459</v>
      </c>
      <c r="V37" s="61">
        <f t="shared" si="10"/>
        <v>2771.7384519846755</v>
      </c>
      <c r="W37" s="61">
        <f t="shared" si="10"/>
        <v>2896.5425730454253</v>
      </c>
      <c r="X37" s="61">
        <f t="shared" si="10"/>
        <v>3018.4684265425058</v>
      </c>
      <c r="Y37" s="61">
        <f t="shared" si="10"/>
        <v>3137.5159427324625</v>
      </c>
      <c r="Z37" s="61">
        <f t="shared" si="10"/>
        <v>3253.6850446815029</v>
      </c>
      <c r="AA37" s="61">
        <f t="shared" si="10"/>
        <v>3366.975649268798</v>
      </c>
      <c r="AB37" s="61">
        <f t="shared" si="10"/>
        <v>3477.3876682169398</v>
      </c>
      <c r="AC37" s="61">
        <f t="shared" si="10"/>
        <v>3584.9210091392388</v>
      </c>
      <c r="AD37" s="61">
        <f t="shared" si="10"/>
        <v>3689.575576593606</v>
      </c>
      <c r="AE37" s="61">
        <f t="shared" si="10"/>
        <v>3705.2218479236872</v>
      </c>
      <c r="AF37" s="61">
        <f t="shared" si="10"/>
        <v>3718.8734383791216</v>
      </c>
      <c r="AG37" s="61">
        <f t="shared" si="10"/>
        <v>3730.5301797954808</v>
      </c>
      <c r="AH37" s="61">
        <f t="shared" si="10"/>
        <v>3740.1919094378459</v>
      </c>
      <c r="AI37" s="61">
        <f t="shared" si="10"/>
        <v>3747.8584713364744</v>
      </c>
      <c r="AJ37" s="61">
        <f t="shared" si="10"/>
        <v>3753.4952068241041</v>
      </c>
      <c r="AK37" s="61">
        <f t="shared" si="10"/>
        <v>3757.3437368162986</v>
      </c>
      <c r="AL37" s="61">
        <f t="shared" si="10"/>
        <v>3759.2347845032732</v>
      </c>
      <c r="AM37" s="61">
        <f t="shared" si="10"/>
        <v>3759.1682322752627</v>
      </c>
      <c r="AN37" s="61">
        <f t="shared" si="10"/>
        <v>3757.1439743548681</v>
      </c>
      <c r="AO37" s="61">
        <f t="shared" si="10"/>
        <v>3753.1619174404204</v>
      </c>
      <c r="AP37" s="61">
        <f t="shared" si="10"/>
        <v>3747.2219812156918</v>
      </c>
    </row>
    <row r="38" spans="1:42" x14ac:dyDescent="0.25">
      <c r="A38" s="18" t="s">
        <v>15</v>
      </c>
      <c r="B38" s="27"/>
      <c r="C38" s="27"/>
      <c r="D38" s="27"/>
      <c r="E38" s="27">
        <f t="shared" ref="E38:AO38" si="11">E39+E40</f>
        <v>84.241910432886939</v>
      </c>
      <c r="F38" s="27">
        <f t="shared" si="11"/>
        <v>272.73712558481066</v>
      </c>
      <c r="G38" s="27">
        <f t="shared" si="11"/>
        <v>457.43099270902616</v>
      </c>
      <c r="H38" s="27">
        <f t="shared" si="11"/>
        <v>638.32365460853248</v>
      </c>
      <c r="I38" s="27">
        <f t="shared" si="11"/>
        <v>815.41523985817128</v>
      </c>
      <c r="J38" s="27">
        <f t="shared" si="11"/>
        <v>988.70586217088555</v>
      </c>
      <c r="K38" s="27">
        <f t="shared" si="11"/>
        <v>1158.1956199191845</v>
      </c>
      <c r="L38" s="27">
        <f t="shared" si="11"/>
        <v>1323.8845958121551</v>
      </c>
      <c r="M38" s="27">
        <f t="shared" si="11"/>
        <v>1485.7728567269435</v>
      </c>
      <c r="N38" s="27">
        <f t="shared" si="11"/>
        <v>1643.8604536922817</v>
      </c>
      <c r="O38" s="27">
        <f t="shared" si="11"/>
        <v>1798.1474220202799</v>
      </c>
      <c r="P38" s="27">
        <f t="shared" si="11"/>
        <v>1948.6337815814748</v>
      </c>
      <c r="Q38" s="27">
        <f t="shared" si="11"/>
        <v>2095.3195372168943</v>
      </c>
      <c r="R38" s="27">
        <f t="shared" si="11"/>
        <v>2238.2046792798019</v>
      </c>
      <c r="S38" s="27">
        <f t="shared" si="11"/>
        <v>2377.2891842987528</v>
      </c>
      <c r="T38" s="27">
        <f t="shared" si="11"/>
        <v>2512.5730157526314</v>
      </c>
      <c r="U38" s="27">
        <f t="shared" si="11"/>
        <v>2644.0561249475459</v>
      </c>
      <c r="V38" s="27">
        <f t="shared" si="11"/>
        <v>2771.7384519846755</v>
      </c>
      <c r="W38" s="27">
        <f t="shared" si="11"/>
        <v>2896.5425730454253</v>
      </c>
      <c r="X38" s="27">
        <f t="shared" si="11"/>
        <v>3018.4684265425058</v>
      </c>
      <c r="Y38" s="27">
        <f t="shared" si="11"/>
        <v>3137.5159427324625</v>
      </c>
      <c r="Z38" s="27">
        <f t="shared" si="11"/>
        <v>3253.6850446815029</v>
      </c>
      <c r="AA38" s="27">
        <f t="shared" si="11"/>
        <v>3366.975649268798</v>
      </c>
      <c r="AB38" s="27">
        <f t="shared" si="11"/>
        <v>3477.3876682169398</v>
      </c>
      <c r="AC38" s="27">
        <f t="shared" si="11"/>
        <v>3584.9210091392388</v>
      </c>
      <c r="AD38" s="27">
        <f t="shared" si="11"/>
        <v>3689.575576593606</v>
      </c>
      <c r="AE38" s="27">
        <f t="shared" si="11"/>
        <v>3705.2218479236872</v>
      </c>
      <c r="AF38" s="27">
        <f t="shared" si="11"/>
        <v>3718.8734383791216</v>
      </c>
      <c r="AG38" s="27">
        <f t="shared" si="11"/>
        <v>3730.5301797954808</v>
      </c>
      <c r="AH38" s="27">
        <f t="shared" si="11"/>
        <v>3740.1919094378459</v>
      </c>
      <c r="AI38" s="27">
        <f t="shared" si="11"/>
        <v>3747.8584713364744</v>
      </c>
      <c r="AJ38" s="27">
        <f t="shared" si="11"/>
        <v>3753.4952068241041</v>
      </c>
      <c r="AK38" s="27">
        <f t="shared" si="11"/>
        <v>3757.3437368162986</v>
      </c>
      <c r="AL38" s="27">
        <f t="shared" si="11"/>
        <v>3759.2347845032732</v>
      </c>
      <c r="AM38" s="27">
        <f t="shared" si="11"/>
        <v>3759.1682322752627</v>
      </c>
      <c r="AN38" s="27">
        <f t="shared" si="11"/>
        <v>3757.1439743548681</v>
      </c>
      <c r="AO38" s="27">
        <f t="shared" si="11"/>
        <v>3753.1619174404204</v>
      </c>
      <c r="AP38" s="27">
        <f>AP39+AP40</f>
        <v>3747.2219812156918</v>
      </c>
    </row>
    <row r="39" spans="1:42" x14ac:dyDescent="0.25">
      <c r="A39" s="1" t="s">
        <v>26</v>
      </c>
      <c r="B39" s="52"/>
      <c r="C39" s="13"/>
      <c r="D39" s="13"/>
      <c r="E39" s="26">
        <f>'Données capacités de production'!B83+'Données capacités de production'!B93</f>
        <v>51.448899649433024</v>
      </c>
      <c r="F39" s="26">
        <f>'Données capacités de production'!C83+'Données capacités de production'!C93</f>
        <v>200.73021889434128</v>
      </c>
      <c r="G39" s="26">
        <f>'Données capacités de production'!D83+'Données capacités de production'!D93</f>
        <v>347.00676780066539</v>
      </c>
      <c r="H39" s="26">
        <f>'Données capacités de production'!E83+'Données capacités de production'!E93</f>
        <v>490.27865950668121</v>
      </c>
      <c r="I39" s="26">
        <f>'Données capacités de production'!F83+'Données capacités de production'!F93</f>
        <v>630.54599587814766</v>
      </c>
      <c r="J39" s="26">
        <f>'Données capacités de production'!G83+'Données capacités de production'!G93</f>
        <v>767.8088670062142</v>
      </c>
      <c r="K39" s="26">
        <f>'Données capacités de production'!H83+'Données capacités de production'!H93</f>
        <v>902.06735082829221</v>
      </c>
      <c r="L39" s="26">
        <f>'Données capacités de production'!I83+'Données capacités de production'!I93</f>
        <v>1033.3215128721613</v>
      </c>
      <c r="M39" s="26">
        <f>'Données capacités de production'!J83+'Données capacités de production'!J93</f>
        <v>1161.5714061224585</v>
      </c>
      <c r="N39" s="26">
        <f>'Données capacités de production'!K83+'Données capacités de production'!K93</f>
        <v>1286.8170710076254</v>
      </c>
      <c r="O39" s="26">
        <f>'Données capacités de production'!L83+'Données capacités de production'!L93</f>
        <v>1409.0585355043243</v>
      </c>
      <c r="P39" s="26">
        <f>'Données capacités de production'!M83+'Données capacités de production'!M93</f>
        <v>1528.2958153553498</v>
      </c>
      <c r="Q39" s="26">
        <f>'Données capacités de production'!N83+'Données capacités de production'!N93</f>
        <v>1644.5289143960943</v>
      </c>
      <c r="R39" s="26">
        <f>'Données capacités de production'!O83+'Données capacités de production'!O93</f>
        <v>1757.757824983755</v>
      </c>
      <c r="S39" s="26">
        <f>'Données capacités de production'!P83+'Données capacités de production'!P93</f>
        <v>1867.9825285226523</v>
      </c>
      <c r="T39" s="26">
        <f>'Données capacités de production'!Q83+'Données capacités de production'!Q93</f>
        <v>1975.2029960782681</v>
      </c>
      <c r="U39" s="26">
        <f>'Données capacités de production'!R83+'Données capacités de production'!R93</f>
        <v>2079.4191890719799</v>
      </c>
      <c r="V39" s="26">
        <f>'Données capacités de production'!S83+'Données capacités de production'!S93</f>
        <v>2180.631060047856</v>
      </c>
      <c r="W39" s="26">
        <f>'Données capacités de production'!T83+'Données capacités de production'!T93</f>
        <v>2279.5626199394433</v>
      </c>
      <c r="X39" s="26">
        <f>'Données capacités de production'!U83+'Données capacités de production'!U93</f>
        <v>2376.2138199530905</v>
      </c>
      <c r="Y39" s="26">
        <f>'Données capacités de production'!V83+'Données capacités de production'!V93</f>
        <v>2470.584604833276</v>
      </c>
      <c r="Z39" s="26">
        <f>'Données capacités de production'!W83+'Données capacités de production'!W93</f>
        <v>2562.6749136278017</v>
      </c>
      <c r="AA39" s="26">
        <f>'Données capacités de production'!X83+'Données capacités de production'!X93</f>
        <v>2652.484680482678</v>
      </c>
      <c r="AB39" s="26">
        <f>'Données capacités de production'!Y83+'Données capacités de production'!Y93</f>
        <v>2740.013835458521</v>
      </c>
      <c r="AC39" s="26">
        <f>'Données capacités de production'!Z83+'Données capacités de production'!Z93</f>
        <v>2825.2623053602942</v>
      </c>
      <c r="AD39" s="26">
        <f>'Données capacités de production'!AA83+'Données capacités de production'!AA93</f>
        <v>2908.2300145722652</v>
      </c>
      <c r="AE39" s="26">
        <f>'Données capacités de production'!AB83+'Données capacités de production'!AB93</f>
        <v>2920.6792807292441</v>
      </c>
      <c r="AF39" s="26">
        <f>'Données capacités de production'!AC83+'Données capacités de production'!AC93</f>
        <v>2931.5482246488978</v>
      </c>
      <c r="AG39" s="26">
        <f>'Données capacités de production'!AD83+'Données capacités de production'!AD93</f>
        <v>2940.8367130998959</v>
      </c>
      <c r="AH39" s="26">
        <f>'Données capacités de production'!AE83+'Données capacités de production'!AE93</f>
        <v>2948.5446171525364</v>
      </c>
      <c r="AI39" s="26">
        <f>'Données capacités de production'!AF83+'Données capacités de production'!AF93</f>
        <v>2954.671813236951</v>
      </c>
      <c r="AJ39" s="26">
        <f>'Données capacités de production'!AG83+'Données capacités de production'!AG93</f>
        <v>2959.197107470432</v>
      </c>
      <c r="AK39" s="26">
        <f>'Données capacités de production'!AH83+'Données capacités de production'!AH93</f>
        <v>2962.2680393265537</v>
      </c>
      <c r="AL39" s="26">
        <f>'Données capacités de production'!AI83+'Données capacités de production'!AI93</f>
        <v>2963.7812033469654</v>
      </c>
      <c r="AM39" s="26">
        <f>'Données capacités de production'!AJ83+'Données capacités de production'!AJ93</f>
        <v>2963.7365063531893</v>
      </c>
      <c r="AN39" s="26">
        <f>'Données capacités de production'!AK83+'Données capacités de production'!AK93</f>
        <v>2962.1338645411552</v>
      </c>
      <c r="AO39" s="26">
        <f>'Données capacités de production'!AL83+'Données capacités de production'!AL93</f>
        <v>2958.9732039909172</v>
      </c>
      <c r="AP39" s="26">
        <f>'Données capacités de production'!AM83+'Données capacités de production'!AM93</f>
        <v>2954.2544610704817</v>
      </c>
    </row>
    <row r="40" spans="1:42" x14ac:dyDescent="0.25">
      <c r="A40" s="1" t="s">
        <v>25</v>
      </c>
      <c r="B40" s="52"/>
      <c r="C40" s="13"/>
      <c r="D40" s="13"/>
      <c r="E40" s="26">
        <f>'Données capacités de production'!B82+'Données capacités de production'!B92</f>
        <v>32.793010783453916</v>
      </c>
      <c r="F40" s="26">
        <f>'Données capacités de production'!C82+'Données capacités de production'!C92</f>
        <v>72.006906690469378</v>
      </c>
      <c r="G40" s="26">
        <f>'Données capacités de production'!D82+'Données capacités de production'!D92</f>
        <v>110.42422490836077</v>
      </c>
      <c r="H40" s="26">
        <f>'Données capacités de production'!E82+'Données capacités de production'!E92</f>
        <v>148.04499510185133</v>
      </c>
      <c r="I40" s="26">
        <f>'Données capacités de production'!F82+'Données capacités de production'!F92</f>
        <v>184.86924398002361</v>
      </c>
      <c r="J40" s="26">
        <f>'Données capacités de production'!G82+'Données capacités de production'!G92</f>
        <v>220.89699516467135</v>
      </c>
      <c r="K40" s="26">
        <f>'Données capacités de production'!H82+'Données capacités de production'!H92</f>
        <v>256.12826909089245</v>
      </c>
      <c r="L40" s="26">
        <f>'Données capacités de production'!I82+'Données capacités de production'!I92</f>
        <v>290.56308293999371</v>
      </c>
      <c r="M40" s="26">
        <f>'Données capacités de production'!J82+'Données capacités de production'!J92</f>
        <v>324.20145060448505</v>
      </c>
      <c r="N40" s="26">
        <f>'Données capacités de production'!K82+'Données capacités de production'!K92</f>
        <v>357.04338268465625</v>
      </c>
      <c r="O40" s="26">
        <f>'Données capacités de production'!L82+'Données capacités de production'!L92</f>
        <v>389.08888651595555</v>
      </c>
      <c r="P40" s="26">
        <f>'Données capacités de production'!M82+'Données capacités de production'!M92</f>
        <v>420.33796622612505</v>
      </c>
      <c r="Q40" s="26">
        <f>'Données capacités de production'!N82+'Données capacités de production'!N92</f>
        <v>450.79062282080019</v>
      </c>
      <c r="R40" s="26">
        <f>'Données capacités de production'!O82+'Données capacités de production'!O92</f>
        <v>480.44685429604709</v>
      </c>
      <c r="S40" s="26">
        <f>'Données capacités de production'!P82+'Données capacités de production'!P92</f>
        <v>509.30665577610034</v>
      </c>
      <c r="T40" s="26">
        <f>'Données capacités de production'!Q82+'Données capacités de production'!Q92</f>
        <v>537.37001967436322</v>
      </c>
      <c r="U40" s="26">
        <f>'Données capacités de production'!R82+'Données capacités de production'!R92</f>
        <v>564.63693587556611</v>
      </c>
      <c r="V40" s="26">
        <f>'Données capacités de production'!S82+'Données capacités de production'!S92</f>
        <v>591.10739193681945</v>
      </c>
      <c r="W40" s="26">
        <f>'Données capacités de production'!T82+'Données capacités de production'!T92</f>
        <v>616.97995310598185</v>
      </c>
      <c r="X40" s="26">
        <f>'Données capacités de production'!U82+'Données capacités de production'!U92</f>
        <v>642.2546065894154</v>
      </c>
      <c r="Y40" s="26">
        <f>'Données capacités de production'!V82+'Données capacités de production'!V92</f>
        <v>666.9313378991867</v>
      </c>
      <c r="Z40" s="26">
        <f>'Données capacités de production'!W82+'Données capacités de production'!W92</f>
        <v>691.01013105370112</v>
      </c>
      <c r="AA40" s="26">
        <f>'Données capacités de production'!X82+'Données capacités de production'!X92</f>
        <v>714.49096878611999</v>
      </c>
      <c r="AB40" s="26">
        <f>'Données capacités de production'!Y82+'Données capacités de production'!Y92</f>
        <v>737.37383275841864</v>
      </c>
      <c r="AC40" s="26">
        <f>'Données capacités de production'!Z82+'Données capacités de production'!Z92</f>
        <v>759.65870377894453</v>
      </c>
      <c r="AD40" s="26">
        <f>'Données capacités de production'!AA82+'Données capacités de production'!AA92</f>
        <v>781.34556202134081</v>
      </c>
      <c r="AE40" s="26">
        <f>'Données capacités de production'!AB82+'Données capacités de production'!AB92</f>
        <v>784.542567194443</v>
      </c>
      <c r="AF40" s="26">
        <f>'Données capacités de production'!AC82+'Données capacités de production'!AC92</f>
        <v>787.32521373022405</v>
      </c>
      <c r="AG40" s="26">
        <f>'Données capacités de production'!AD82+'Données capacités de production'!AD92</f>
        <v>789.69346669558513</v>
      </c>
      <c r="AH40" s="26">
        <f>'Données capacités de production'!AE82+'Données capacités de production'!AE92</f>
        <v>791.64729228530962</v>
      </c>
      <c r="AI40" s="26">
        <f>'Données capacités de production'!AF82+'Données capacités de production'!AF92</f>
        <v>793.18665809952324</v>
      </c>
      <c r="AJ40" s="26">
        <f>'Données capacités de production'!AG82+'Données capacités de production'!AG92</f>
        <v>794.298099353672</v>
      </c>
      <c r="AK40" s="26">
        <f>'Données capacités de production'!AH82+'Données capacités de production'!AH92</f>
        <v>795.07569748974481</v>
      </c>
      <c r="AL40" s="26">
        <f>'Données capacités de production'!AI82+'Données capacités de production'!AI92</f>
        <v>795.45358115630768</v>
      </c>
      <c r="AM40" s="26">
        <f>'Données capacités de production'!AJ82+'Données capacités de production'!AJ92</f>
        <v>795.4317259220735</v>
      </c>
      <c r="AN40" s="26">
        <f>'Données capacités de production'!AK82+'Données capacités de production'!AK92</f>
        <v>795.01010981371303</v>
      </c>
      <c r="AO40" s="26">
        <f>'Données capacités de production'!AL82+'Données capacités de production'!AL92</f>
        <v>794.18871344950333</v>
      </c>
      <c r="AP40" s="26">
        <f>'Données capacités de production'!AM82+'Données capacités de production'!AM92</f>
        <v>792.96752014521007</v>
      </c>
    </row>
    <row r="41" spans="1:42" x14ac:dyDescent="0.25">
      <c r="A41" s="1"/>
      <c r="B41" s="52"/>
      <c r="C41" s="1"/>
      <c r="D41" s="1"/>
      <c r="E41" s="1"/>
      <c r="F41" s="1"/>
      <c r="G41" s="1"/>
      <c r="H41" s="1"/>
      <c r="I41" s="1"/>
      <c r="J41" s="1"/>
      <c r="K41" s="1"/>
      <c r="L41" s="1"/>
      <c r="M41" s="1"/>
      <c r="N41" s="1"/>
      <c r="O41" s="1"/>
      <c r="P41" s="31"/>
      <c r="Q41" s="1"/>
      <c r="R41" s="1"/>
      <c r="S41" s="1"/>
      <c r="T41" s="1"/>
      <c r="U41" s="1"/>
      <c r="V41" s="1"/>
      <c r="W41" s="1"/>
      <c r="X41" s="1"/>
      <c r="Y41" s="1"/>
      <c r="Z41" s="1"/>
      <c r="AA41" s="1"/>
      <c r="AB41" s="1"/>
      <c r="AC41" s="1"/>
      <c r="AD41" s="1"/>
      <c r="AE41" s="1"/>
      <c r="AF41" s="1"/>
      <c r="AG41" s="1"/>
      <c r="AH41" s="52"/>
      <c r="AI41" s="52"/>
      <c r="AJ41" s="52"/>
      <c r="AK41" s="52"/>
      <c r="AL41" s="52"/>
      <c r="AM41" s="52"/>
      <c r="AN41" s="52"/>
      <c r="AO41" s="1"/>
      <c r="AP41" s="13"/>
    </row>
    <row r="43" spans="1:42" x14ac:dyDescent="0.25">
      <c r="A43" s="40" t="s">
        <v>131</v>
      </c>
      <c r="B43" s="40"/>
      <c r="C43" s="40"/>
      <c r="D43" s="40"/>
      <c r="E43" s="61">
        <f>E44</f>
        <v>0.69747436000000018</v>
      </c>
      <c r="F43" s="61">
        <f t="shared" ref="F43:AP43" si="12">F44</f>
        <v>2.5324291070270704</v>
      </c>
      <c r="G43" s="61">
        <f t="shared" si="12"/>
        <v>4.3691275399541407</v>
      </c>
      <c r="H43" s="61">
        <f t="shared" si="12"/>
        <v>6.2058259728812075</v>
      </c>
      <c r="I43" s="61">
        <f t="shared" si="12"/>
        <v>8.0425244058082743</v>
      </c>
      <c r="J43" s="61">
        <f t="shared" si="12"/>
        <v>9.8792228387353394</v>
      </c>
      <c r="K43" s="61">
        <f t="shared" si="12"/>
        <v>11.715921271662403</v>
      </c>
      <c r="L43" s="61">
        <f t="shared" si="12"/>
        <v>13.552619704589466</v>
      </c>
      <c r="M43" s="61">
        <f t="shared" si="12"/>
        <v>15.389318137516529</v>
      </c>
      <c r="N43" s="61">
        <f t="shared" si="12"/>
        <v>17.226016570443587</v>
      </c>
      <c r="O43" s="61">
        <f t="shared" si="12"/>
        <v>19.062715003370645</v>
      </c>
      <c r="P43" s="61">
        <f t="shared" si="12"/>
        <v>20.899413436297703</v>
      </c>
      <c r="Q43" s="61">
        <f t="shared" si="12"/>
        <v>22.736111869224757</v>
      </c>
      <c r="R43" s="61">
        <f t="shared" si="12"/>
        <v>24.572810302151805</v>
      </c>
      <c r="S43" s="61">
        <f t="shared" si="12"/>
        <v>26.409508735078855</v>
      </c>
      <c r="T43" s="61">
        <f t="shared" si="12"/>
        <v>28.246207168005903</v>
      </c>
      <c r="U43" s="61">
        <f t="shared" si="12"/>
        <v>30.082905600932957</v>
      </c>
      <c r="V43" s="61">
        <f t="shared" si="12"/>
        <v>31.919604033860001</v>
      </c>
      <c r="W43" s="61">
        <f t="shared" si="12"/>
        <v>33.756302466787034</v>
      </c>
      <c r="X43" s="61">
        <f t="shared" si="12"/>
        <v>35.59300089971407</v>
      </c>
      <c r="Y43" s="61">
        <f t="shared" si="12"/>
        <v>37.396569300541096</v>
      </c>
      <c r="Z43" s="61">
        <f t="shared" si="12"/>
        <v>39.231524047568115</v>
      </c>
      <c r="AA43" s="61">
        <f t="shared" si="12"/>
        <v>41.066478794595135</v>
      </c>
      <c r="AB43" s="61">
        <f t="shared" si="12"/>
        <v>42.901433541622154</v>
      </c>
      <c r="AC43" s="61">
        <f t="shared" si="12"/>
        <v>44.736388288649138</v>
      </c>
      <c r="AD43" s="61">
        <f t="shared" si="12"/>
        <v>46.571343035676151</v>
      </c>
      <c r="AE43" s="61">
        <f t="shared" si="12"/>
        <v>48.406297782703156</v>
      </c>
      <c r="AF43" s="61">
        <f t="shared" si="12"/>
        <v>50.241252529730147</v>
      </c>
      <c r="AG43" s="61">
        <f t="shared" si="12"/>
        <v>52.076207276757131</v>
      </c>
      <c r="AH43" s="61">
        <f t="shared" si="12"/>
        <v>53.911162023784115</v>
      </c>
      <c r="AI43" s="61">
        <f t="shared" si="12"/>
        <v>55.746116770811106</v>
      </c>
      <c r="AJ43" s="61">
        <f t="shared" si="12"/>
        <v>57.581071517838083</v>
      </c>
      <c r="AK43" s="61">
        <f t="shared" si="12"/>
        <v>59.416026264865067</v>
      </c>
      <c r="AL43" s="61">
        <f t="shared" si="12"/>
        <v>61.250981011892037</v>
      </c>
      <c r="AM43" s="61">
        <f t="shared" si="12"/>
        <v>63.085935758919</v>
      </c>
      <c r="AN43" s="61">
        <f t="shared" si="12"/>
        <v>64.920890505945962</v>
      </c>
      <c r="AO43" s="61">
        <f t="shared" si="12"/>
        <v>66.755845252972918</v>
      </c>
      <c r="AP43" s="61">
        <f t="shared" si="12"/>
        <v>68.590799999999845</v>
      </c>
    </row>
    <row r="44" spans="1:42" x14ac:dyDescent="0.25">
      <c r="A44" s="18" t="s">
        <v>18</v>
      </c>
      <c r="B44" s="27"/>
      <c r="C44" s="27"/>
      <c r="D44" s="27"/>
      <c r="E44" s="27">
        <f t="shared" ref="E44:AO44" si="13">E45+E46</f>
        <v>0.69747436000000018</v>
      </c>
      <c r="F44" s="27">
        <f t="shared" si="13"/>
        <v>2.5324291070270704</v>
      </c>
      <c r="G44" s="27">
        <f t="shared" si="13"/>
        <v>4.3691275399541407</v>
      </c>
      <c r="H44" s="27">
        <f t="shared" si="13"/>
        <v>6.2058259728812075</v>
      </c>
      <c r="I44" s="27">
        <f t="shared" si="13"/>
        <v>8.0425244058082743</v>
      </c>
      <c r="J44" s="27">
        <f t="shared" si="13"/>
        <v>9.8792228387353394</v>
      </c>
      <c r="K44" s="27">
        <f t="shared" si="13"/>
        <v>11.715921271662403</v>
      </c>
      <c r="L44" s="27">
        <f t="shared" si="13"/>
        <v>13.552619704589466</v>
      </c>
      <c r="M44" s="27">
        <f t="shared" si="13"/>
        <v>15.389318137516529</v>
      </c>
      <c r="N44" s="27">
        <f t="shared" si="13"/>
        <v>17.226016570443587</v>
      </c>
      <c r="O44" s="27">
        <f t="shared" si="13"/>
        <v>19.062715003370645</v>
      </c>
      <c r="P44" s="27">
        <f t="shared" si="13"/>
        <v>20.899413436297703</v>
      </c>
      <c r="Q44" s="27">
        <f t="shared" si="13"/>
        <v>22.736111869224757</v>
      </c>
      <c r="R44" s="27">
        <f t="shared" si="13"/>
        <v>24.572810302151805</v>
      </c>
      <c r="S44" s="27">
        <f t="shared" si="13"/>
        <v>26.409508735078855</v>
      </c>
      <c r="T44" s="27">
        <f t="shared" si="13"/>
        <v>28.246207168005903</v>
      </c>
      <c r="U44" s="27">
        <f t="shared" si="13"/>
        <v>30.082905600932957</v>
      </c>
      <c r="V44" s="27">
        <f t="shared" si="13"/>
        <v>31.919604033860001</v>
      </c>
      <c r="W44" s="27">
        <f t="shared" si="13"/>
        <v>33.756302466787034</v>
      </c>
      <c r="X44" s="27">
        <f t="shared" si="13"/>
        <v>35.59300089971407</v>
      </c>
      <c r="Y44" s="27">
        <f t="shared" si="13"/>
        <v>37.396569300541096</v>
      </c>
      <c r="Z44" s="27">
        <f t="shared" si="13"/>
        <v>39.231524047568115</v>
      </c>
      <c r="AA44" s="27">
        <f t="shared" si="13"/>
        <v>41.066478794595135</v>
      </c>
      <c r="AB44" s="27">
        <f t="shared" si="13"/>
        <v>42.901433541622154</v>
      </c>
      <c r="AC44" s="27">
        <f t="shared" si="13"/>
        <v>44.736388288649138</v>
      </c>
      <c r="AD44" s="27">
        <f t="shared" si="13"/>
        <v>46.571343035676151</v>
      </c>
      <c r="AE44" s="27">
        <f t="shared" si="13"/>
        <v>48.406297782703156</v>
      </c>
      <c r="AF44" s="27">
        <f t="shared" si="13"/>
        <v>50.241252529730147</v>
      </c>
      <c r="AG44" s="27">
        <f t="shared" si="13"/>
        <v>52.076207276757131</v>
      </c>
      <c r="AH44" s="27">
        <f t="shared" si="13"/>
        <v>53.911162023784115</v>
      </c>
      <c r="AI44" s="27">
        <f t="shared" si="13"/>
        <v>55.746116770811106</v>
      </c>
      <c r="AJ44" s="27">
        <f t="shared" si="13"/>
        <v>57.581071517838083</v>
      </c>
      <c r="AK44" s="27">
        <f t="shared" si="13"/>
        <v>59.416026264865067</v>
      </c>
      <c r="AL44" s="27">
        <f t="shared" si="13"/>
        <v>61.250981011892037</v>
      </c>
      <c r="AM44" s="27">
        <f t="shared" si="13"/>
        <v>63.085935758919</v>
      </c>
      <c r="AN44" s="27">
        <f t="shared" si="13"/>
        <v>64.920890505945962</v>
      </c>
      <c r="AO44" s="27">
        <f t="shared" si="13"/>
        <v>66.755845252972918</v>
      </c>
      <c r="AP44" s="27">
        <f>AP45+AP46</f>
        <v>68.590799999999845</v>
      </c>
    </row>
    <row r="45" spans="1:42" x14ac:dyDescent="0.25">
      <c r="A45" s="1" t="s">
        <v>26</v>
      </c>
      <c r="B45" s="52"/>
      <c r="C45" s="13"/>
      <c r="D45" s="13"/>
      <c r="E45" s="26">
        <f>'Données capacités de production'!B105</f>
        <v>0.5272515198173513</v>
      </c>
      <c r="F45" s="26">
        <f>'Données capacités de production'!C105</f>
        <v>1.9143744517142114</v>
      </c>
      <c r="G45" s="26">
        <f>'Données capacités de production'!D105</f>
        <v>3.3028155124106151</v>
      </c>
      <c r="H45" s="26">
        <f>'Données capacités de production'!E105</f>
        <v>4.6912565731070153</v>
      </c>
      <c r="I45" s="26">
        <f>'Données capacités de production'!F105</f>
        <v>6.0796976338034163</v>
      </c>
      <c r="J45" s="26">
        <f>'Données capacités de production'!G105</f>
        <v>7.4681386944998156</v>
      </c>
      <c r="K45" s="26">
        <f>'Données capacités de production'!H105</f>
        <v>8.8565797551962149</v>
      </c>
      <c r="L45" s="26">
        <f>'Données capacités de production'!I105</f>
        <v>10.245020815892612</v>
      </c>
      <c r="M45" s="26">
        <f>'Données capacités de production'!J105</f>
        <v>11.63346187658901</v>
      </c>
      <c r="N45" s="26">
        <f>'Données capacités de production'!K105</f>
        <v>13.021902937285404</v>
      </c>
      <c r="O45" s="26">
        <f>'Données capacités de production'!L105</f>
        <v>14.410343997981798</v>
      </c>
      <c r="P45" s="26">
        <f>'Données capacités de production'!M105</f>
        <v>15.798785058678192</v>
      </c>
      <c r="Q45" s="26">
        <f>'Données capacités de production'!N105</f>
        <v>17.187226119374586</v>
      </c>
      <c r="R45" s="26">
        <f>'Données capacités de production'!O105</f>
        <v>18.575667180070969</v>
      </c>
      <c r="S45" s="26">
        <f>'Données capacités de production'!P105</f>
        <v>19.964108240767359</v>
      </c>
      <c r="T45" s="26">
        <f>'Données capacités de production'!Q105</f>
        <v>21.352549301463746</v>
      </c>
      <c r="U45" s="26">
        <f>'Données capacités de production'!R105</f>
        <v>22.740990362160137</v>
      </c>
      <c r="V45" s="26">
        <f>'Données capacités de production'!S105</f>
        <v>24.12943142285652</v>
      </c>
      <c r="W45" s="26">
        <f>'Données capacités de production'!T105</f>
        <v>25.517872483552893</v>
      </c>
      <c r="X45" s="26">
        <f>'Données capacités de production'!U105</f>
        <v>26.906313544249272</v>
      </c>
      <c r="Y45" s="26">
        <f>'Données capacités de production'!V105</f>
        <v>28.269710157754318</v>
      </c>
      <c r="Z45" s="26">
        <f>'Données capacités de production'!W105</f>
        <v>29.656833089651141</v>
      </c>
      <c r="AA45" s="26">
        <f>'Données capacités de production'!X105</f>
        <v>31.043956021547963</v>
      </c>
      <c r="AB45" s="26">
        <f>'Données capacités de production'!Y105</f>
        <v>32.431078953444782</v>
      </c>
      <c r="AC45" s="26">
        <f>'Données capacités de production'!Z105</f>
        <v>33.81820188534158</v>
      </c>
      <c r="AD45" s="26">
        <f>'Données capacités de production'!AA105</f>
        <v>35.205324817238392</v>
      </c>
      <c r="AE45" s="26">
        <f>'Données capacités de production'!AB105</f>
        <v>36.592447749135204</v>
      </c>
      <c r="AF45" s="26">
        <f>'Données capacités de production'!AC105</f>
        <v>37.979570681032001</v>
      </c>
      <c r="AG45" s="26">
        <f>'Données capacités de production'!AD105</f>
        <v>39.366693612928799</v>
      </c>
      <c r="AH45" s="26">
        <f>'Données capacités de production'!AE105</f>
        <v>40.753816544825597</v>
      </c>
      <c r="AI45" s="26">
        <f>'Données capacités de production'!AF105</f>
        <v>42.140939476722394</v>
      </c>
      <c r="AJ45" s="26">
        <f>'Données capacités de production'!AG105</f>
        <v>43.528062408619185</v>
      </c>
      <c r="AK45" s="26">
        <f>'Données capacités de production'!AH105</f>
        <v>44.915185340515983</v>
      </c>
      <c r="AL45" s="26">
        <f>'Données capacités de production'!AI105</f>
        <v>46.302308272412766</v>
      </c>
      <c r="AM45" s="26">
        <f>'Données capacités de production'!AJ105</f>
        <v>47.689431204309543</v>
      </c>
      <c r="AN45" s="26">
        <f>'Données capacités de production'!AK105</f>
        <v>49.076554136206326</v>
      </c>
      <c r="AO45" s="26">
        <f>'Données capacités de production'!AL105</f>
        <v>50.463677068103095</v>
      </c>
      <c r="AP45" s="26">
        <f>'Données capacités de production'!AM105</f>
        <v>51.85079999999985</v>
      </c>
    </row>
    <row r="46" spans="1:42" x14ac:dyDescent="0.25">
      <c r="A46" s="1" t="s">
        <v>25</v>
      </c>
      <c r="B46" s="52"/>
      <c r="C46" s="13"/>
      <c r="D46" s="13"/>
      <c r="E46" s="26">
        <f>'Données capacités de production'!B104</f>
        <v>0.17022284018264883</v>
      </c>
      <c r="F46" s="26">
        <f>'Données capacités de production'!C104</f>
        <v>0.61805465531285897</v>
      </c>
      <c r="G46" s="26">
        <f>'Données capacités de production'!D104</f>
        <v>1.0663120275435258</v>
      </c>
      <c r="H46" s="26">
        <f>'Données capacités de production'!E104</f>
        <v>1.5145693997741918</v>
      </c>
      <c r="I46" s="26">
        <f>'Données capacités de production'!F104</f>
        <v>1.9628267720048578</v>
      </c>
      <c r="J46" s="26">
        <f>'Données capacités de production'!G104</f>
        <v>2.4110841442355233</v>
      </c>
      <c r="K46" s="26">
        <f>'Données capacités de production'!H104</f>
        <v>2.8593415164661886</v>
      </c>
      <c r="L46" s="26">
        <f>'Données capacités de production'!I104</f>
        <v>3.3075988886968535</v>
      </c>
      <c r="M46" s="26">
        <f>'Données capacités de production'!J104</f>
        <v>3.7558562609275188</v>
      </c>
      <c r="N46" s="26">
        <f>'Données capacités de production'!K104</f>
        <v>4.2041136331581823</v>
      </c>
      <c r="O46" s="26">
        <f>'Données capacités de production'!L104</f>
        <v>4.6523710053888463</v>
      </c>
      <c r="P46" s="26">
        <f>'Données capacités de production'!M104</f>
        <v>5.1006283776195103</v>
      </c>
      <c r="Q46" s="26">
        <f>'Données capacités de production'!N104</f>
        <v>5.5488857498501734</v>
      </c>
      <c r="R46" s="26">
        <f>'Données capacités de production'!O104</f>
        <v>5.9971431220808347</v>
      </c>
      <c r="S46" s="26">
        <f>'Données capacités de production'!P104</f>
        <v>6.4454004943114969</v>
      </c>
      <c r="T46" s="26">
        <f>'Données capacités de production'!Q104</f>
        <v>6.8936578665421582</v>
      </c>
      <c r="U46" s="26">
        <f>'Données capacités de production'!R104</f>
        <v>7.3419152387728204</v>
      </c>
      <c r="V46" s="26">
        <f>'Données capacités de production'!S104</f>
        <v>7.7901726110034808</v>
      </c>
      <c r="W46" s="26">
        <f>'Données capacités de production'!T104</f>
        <v>8.2384299832341394</v>
      </c>
      <c r="X46" s="26">
        <f>'Données capacités de production'!U104</f>
        <v>8.6866873554647981</v>
      </c>
      <c r="Y46" s="26">
        <f>'Données capacités de production'!V104</f>
        <v>9.1268591427867776</v>
      </c>
      <c r="Z46" s="26">
        <f>'Données capacités de production'!W104</f>
        <v>9.5746909579169746</v>
      </c>
      <c r="AA46" s="26">
        <f>'Données capacités de production'!X104</f>
        <v>10.022522773047173</v>
      </c>
      <c r="AB46" s="26">
        <f>'Données capacités de production'!Y104</f>
        <v>10.470354588177369</v>
      </c>
      <c r="AC46" s="26">
        <f>'Données capacités de production'!Z104</f>
        <v>10.918186403307562</v>
      </c>
      <c r="AD46" s="26">
        <f>'Données capacités de production'!AA104</f>
        <v>11.366018218437755</v>
      </c>
      <c r="AE46" s="26">
        <f>'Données capacités de production'!AB104</f>
        <v>11.813850033567951</v>
      </c>
      <c r="AF46" s="26">
        <f>'Données capacités de production'!AC104</f>
        <v>12.261681848698142</v>
      </c>
      <c r="AG46" s="26">
        <f>'Données capacités de production'!AD104</f>
        <v>12.70951366382833</v>
      </c>
      <c r="AH46" s="26">
        <f>'Données capacités de production'!AE104</f>
        <v>13.157345478958522</v>
      </c>
      <c r="AI46" s="26">
        <f>'Données capacités de production'!AF104</f>
        <v>13.60517729408871</v>
      </c>
      <c r="AJ46" s="26">
        <f>'Données capacités de production'!AG104</f>
        <v>14.053009109218898</v>
      </c>
      <c r="AK46" s="26">
        <f>'Données capacités de production'!AH104</f>
        <v>14.500840924349086</v>
      </c>
      <c r="AL46" s="26">
        <f>'Données capacités de production'!AI104</f>
        <v>14.948672739479273</v>
      </c>
      <c r="AM46" s="26">
        <f>'Données capacités de production'!AJ104</f>
        <v>15.396504554609457</v>
      </c>
      <c r="AN46" s="26">
        <f>'Données capacités de production'!AK104</f>
        <v>15.84433636973964</v>
      </c>
      <c r="AO46" s="26">
        <f>'Données capacités de production'!AL104</f>
        <v>16.292168184869823</v>
      </c>
      <c r="AP46" s="26">
        <f>'Données capacités de production'!AM104</f>
        <v>16.739999999999998</v>
      </c>
    </row>
    <row r="49" spans="1:42" x14ac:dyDescent="0.25">
      <c r="A49" s="40" t="s">
        <v>190</v>
      </c>
      <c r="B49" s="40"/>
      <c r="C49" s="40"/>
      <c r="D49" s="40"/>
      <c r="E49" s="61">
        <f>E50+E51</f>
        <v>5167.2261685953299</v>
      </c>
      <c r="F49" s="61">
        <f t="shared" ref="F49:AP49" si="14">F50+F51</f>
        <v>5151.5377750501502</v>
      </c>
      <c r="G49" s="61">
        <f t="shared" si="14"/>
        <v>5134.9514808428958</v>
      </c>
      <c r="H49" s="61">
        <f t="shared" si="14"/>
        <v>5117.4672859735547</v>
      </c>
      <c r="I49" s="61">
        <f t="shared" si="14"/>
        <v>5099.0851904421097</v>
      </c>
      <c r="J49" s="61">
        <f t="shared" si="14"/>
        <v>5079.805194248549</v>
      </c>
      <c r="K49" s="61">
        <f t="shared" si="14"/>
        <v>5059.627297392859</v>
      </c>
      <c r="L49" s="61">
        <f t="shared" si="14"/>
        <v>5038.5514998750295</v>
      </c>
      <c r="M49" s="61">
        <f t="shared" si="14"/>
        <v>5016.5778016950489</v>
      </c>
      <c r="N49" s="61">
        <f t="shared" si="14"/>
        <v>4993.706202852909</v>
      </c>
      <c r="O49" s="61">
        <f t="shared" si="14"/>
        <v>4969.9367033486005</v>
      </c>
      <c r="P49" s="61">
        <f t="shared" si="14"/>
        <v>4945.2693031821154</v>
      </c>
      <c r="Q49" s="61">
        <f t="shared" si="14"/>
        <v>4919.704002353451</v>
      </c>
      <c r="R49" s="61">
        <f t="shared" si="14"/>
        <v>4893.2408008626007</v>
      </c>
      <c r="S49" s="61">
        <f t="shared" si="14"/>
        <v>4865.8796987095602</v>
      </c>
      <c r="T49" s="61">
        <f t="shared" si="14"/>
        <v>4837.6206958943285</v>
      </c>
      <c r="U49" s="61">
        <f t="shared" si="14"/>
        <v>4808.4637924169056</v>
      </c>
      <c r="V49" s="61">
        <f t="shared" si="14"/>
        <v>4778.4089882772896</v>
      </c>
      <c r="W49" s="61">
        <f t="shared" si="14"/>
        <v>4748.3541841375145</v>
      </c>
      <c r="X49" s="61">
        <f t="shared" si="14"/>
        <v>4718.2993799975793</v>
      </c>
      <c r="Y49" s="61">
        <f t="shared" si="14"/>
        <v>4688.2445758574841</v>
      </c>
      <c r="Z49" s="61">
        <f t="shared" si="14"/>
        <v>4658.1897717172342</v>
      </c>
      <c r="AA49" s="61">
        <f t="shared" si="14"/>
        <v>4628.1349675768324</v>
      </c>
      <c r="AB49" s="61">
        <f t="shared" si="14"/>
        <v>4598.0801634362842</v>
      </c>
      <c r="AC49" s="61">
        <f t="shared" si="14"/>
        <v>4568.025359295596</v>
      </c>
      <c r="AD49" s="61">
        <f t="shared" si="14"/>
        <v>4537.9705551547731</v>
      </c>
      <c r="AE49" s="61">
        <f t="shared" si="14"/>
        <v>4507.9157510138248</v>
      </c>
      <c r="AF49" s="61">
        <f t="shared" si="14"/>
        <v>4477.86094687276</v>
      </c>
      <c r="AG49" s="61">
        <f t="shared" si="14"/>
        <v>4447.8061427315879</v>
      </c>
      <c r="AH49" s="61">
        <f t="shared" si="14"/>
        <v>4417.7513385903185</v>
      </c>
      <c r="AI49" s="61">
        <f t="shared" si="14"/>
        <v>4387.6965344489645</v>
      </c>
      <c r="AJ49" s="61">
        <f t="shared" si="14"/>
        <v>4359.9735220013699</v>
      </c>
      <c r="AK49" s="61">
        <f t="shared" si="14"/>
        <v>4338.0596461823789</v>
      </c>
      <c r="AL49" s="61">
        <f t="shared" si="14"/>
        <v>4317.0436710253816</v>
      </c>
      <c r="AM49" s="61">
        <f t="shared" si="14"/>
        <v>4296.9255965303946</v>
      </c>
      <c r="AN49" s="61">
        <f t="shared" si="14"/>
        <v>4277.7054226974287</v>
      </c>
      <c r="AO49" s="61">
        <f t="shared" si="14"/>
        <v>4259.3831495264967</v>
      </c>
      <c r="AP49" s="61">
        <f t="shared" si="14"/>
        <v>4241.9587770176104</v>
      </c>
    </row>
    <row r="50" spans="1:42" x14ac:dyDescent="0.25">
      <c r="A50" s="1" t="s">
        <v>26</v>
      </c>
      <c r="B50" s="52"/>
      <c r="C50" s="13"/>
      <c r="D50" s="13"/>
      <c r="E50" s="26">
        <f>'Données capacités de production'!B118</f>
        <v>4074.9632669002049</v>
      </c>
      <c r="F50" s="26">
        <f>'Données capacités de production'!C118</f>
        <v>4062.5911304139363</v>
      </c>
      <c r="G50" s="26">
        <f>'Données capacités de production'!D118</f>
        <v>4049.5108940504997</v>
      </c>
      <c r="H50" s="26">
        <f>'Données capacités de production'!E118</f>
        <v>4035.722557809886</v>
      </c>
      <c r="I50" s="26">
        <f>'Données capacités de production'!F118</f>
        <v>4021.2261216920815</v>
      </c>
      <c r="J50" s="26">
        <f>'Données capacités de production'!G118</f>
        <v>4006.0215856970772</v>
      </c>
      <c r="K50" s="26">
        <f>'Données capacités de production'!H118</f>
        <v>3990.1089498248625</v>
      </c>
      <c r="L50" s="26">
        <f>'Données capacités de production'!I118</f>
        <v>3973.4882140754289</v>
      </c>
      <c r="M50" s="26">
        <f>'Données capacités de production'!J118</f>
        <v>3956.1593784487673</v>
      </c>
      <c r="N50" s="26">
        <f>'Données capacités de production'!K118</f>
        <v>3938.1224429448712</v>
      </c>
      <c r="O50" s="26">
        <f>'Données capacités de production'!L118</f>
        <v>3919.3774075637339</v>
      </c>
      <c r="P50" s="26">
        <f>'Données capacités de production'!M118</f>
        <v>3899.924272305348</v>
      </c>
      <c r="Q50" s="26">
        <f>'Données capacités de production'!N118</f>
        <v>3879.7630371697123</v>
      </c>
      <c r="R50" s="26">
        <f>'Données capacités de production'!O118</f>
        <v>3858.8937021568208</v>
      </c>
      <c r="S50" s="26">
        <f>'Données capacités de production'!P118</f>
        <v>3837.3162672666713</v>
      </c>
      <c r="T50" s="26">
        <f>'Données capacités de production'!Q118</f>
        <v>3815.0307324992618</v>
      </c>
      <c r="U50" s="26">
        <f>'Données capacités de production'!R118</f>
        <v>3792.037097854593</v>
      </c>
      <c r="V50" s="26">
        <f>'Données capacités de production'!S118</f>
        <v>3768.3353633326633</v>
      </c>
      <c r="W50" s="26">
        <f>'Données capacités de production'!T118</f>
        <v>3744.6336288106077</v>
      </c>
      <c r="X50" s="26">
        <f>'Données capacités de production'!U118</f>
        <v>3720.9318942884261</v>
      </c>
      <c r="Y50" s="26">
        <f>'Données capacités de production'!V118</f>
        <v>3697.230159766118</v>
      </c>
      <c r="Z50" s="26">
        <f>'Données capacités de production'!W118</f>
        <v>3673.5284252436886</v>
      </c>
      <c r="AA50" s="26">
        <f>'Données capacités de production'!X118</f>
        <v>3649.8266907211391</v>
      </c>
      <c r="AB50" s="26">
        <f>'Données capacités de production'!Y118</f>
        <v>3626.1249561984741</v>
      </c>
      <c r="AC50" s="26">
        <f>'Données capacités de production'!Z118</f>
        <v>3602.4232216756986</v>
      </c>
      <c r="AD50" s="26">
        <f>'Données capacités de production'!AA118</f>
        <v>3578.7214871528167</v>
      </c>
      <c r="AE50" s="26">
        <f>'Données capacités de production'!AB118</f>
        <v>3555.0197526298361</v>
      </c>
      <c r="AF50" s="26">
        <f>'Données capacités de production'!AC118</f>
        <v>3531.3180181067637</v>
      </c>
      <c r="AG50" s="26">
        <f>'Données capacités de production'!AD118</f>
        <v>3507.6162835836067</v>
      </c>
      <c r="AH50" s="26">
        <f>'Données capacités de production'!AE118</f>
        <v>3483.9145490603732</v>
      </c>
      <c r="AI50" s="26">
        <f>'Données capacités de production'!AF118</f>
        <v>3460.2128145370725</v>
      </c>
      <c r="AJ50" s="26">
        <f>'Données capacités de production'!AG118</f>
        <v>3438.3499709754028</v>
      </c>
      <c r="AK50" s="26">
        <f>'Données capacités de production'!AH118</f>
        <v>3421.0683122896412</v>
      </c>
      <c r="AL50" s="26">
        <f>'Données capacités de production'!AI118</f>
        <v>3404.494753480983</v>
      </c>
      <c r="AM50" s="26">
        <f>'Données capacités de production'!AJ118</f>
        <v>3388.629294549442</v>
      </c>
      <c r="AN50" s="26">
        <f>'Données capacités de production'!AK118</f>
        <v>3373.4719354950262</v>
      </c>
      <c r="AO50" s="26">
        <f>'Données capacités de production'!AL118</f>
        <v>3359.0226763177461</v>
      </c>
      <c r="AP50" s="26">
        <f>'Données capacités de production'!AM118</f>
        <v>3345.2815170176104</v>
      </c>
    </row>
    <row r="51" spans="1:42" x14ac:dyDescent="0.25">
      <c r="A51" s="1" t="s">
        <v>25</v>
      </c>
      <c r="B51" s="52"/>
      <c r="C51" s="13"/>
      <c r="D51" s="13"/>
      <c r="E51" s="26">
        <f>'Données capacités de production'!B117</f>
        <v>1092.262901695125</v>
      </c>
      <c r="F51" s="26">
        <f>'Données capacités de production'!C117</f>
        <v>1088.9466446362142</v>
      </c>
      <c r="G51" s="26">
        <f>'Données capacités de production'!D117</f>
        <v>1085.4405867923963</v>
      </c>
      <c r="H51" s="26">
        <f>'Données capacités de production'!E117</f>
        <v>1081.7447281636687</v>
      </c>
      <c r="I51" s="26">
        <f>'Données capacités de production'!F117</f>
        <v>1077.859068750028</v>
      </c>
      <c r="J51" s="26">
        <f>'Données capacités de production'!G117</f>
        <v>1073.7836085514716</v>
      </c>
      <c r="K51" s="26">
        <f>'Données capacités de production'!H117</f>
        <v>1069.5183475679964</v>
      </c>
      <c r="L51" s="26">
        <f>'Données capacités de production'!I117</f>
        <v>1065.0632857996006</v>
      </c>
      <c r="M51" s="26">
        <f>'Données capacités de production'!J117</f>
        <v>1060.4184232462817</v>
      </c>
      <c r="N51" s="26">
        <f>'Données capacités de production'!K117</f>
        <v>1055.5837599080378</v>
      </c>
      <c r="O51" s="26">
        <f>'Données capacités de production'!L117</f>
        <v>1050.5592957848669</v>
      </c>
      <c r="P51" s="26">
        <f>'Données capacités de production'!M117</f>
        <v>1045.3450308767674</v>
      </c>
      <c r="Q51" s="26">
        <f>'Données capacités de production'!N117</f>
        <v>1039.9409651837389</v>
      </c>
      <c r="R51" s="26">
        <f>'Données capacités de production'!O117</f>
        <v>1034.3470987057797</v>
      </c>
      <c r="S51" s="26">
        <f>'Données capacités de production'!P117</f>
        <v>1028.5634314428889</v>
      </c>
      <c r="T51" s="26">
        <f>'Données capacités de production'!Q117</f>
        <v>1022.5899633950667</v>
      </c>
      <c r="U51" s="26">
        <f>'Données capacités de production'!R117</f>
        <v>1016.4266945623126</v>
      </c>
      <c r="V51" s="26">
        <f>'Données capacités de production'!S117</f>
        <v>1010.0736249446265</v>
      </c>
      <c r="W51" s="26">
        <f>'Données capacités de production'!T117</f>
        <v>1003.7205553269067</v>
      </c>
      <c r="X51" s="26">
        <f>'Données capacités de production'!U117</f>
        <v>997.36748570915313</v>
      </c>
      <c r="Y51" s="26">
        <f>'Données capacités de production'!V117</f>
        <v>991.01441609136577</v>
      </c>
      <c r="Z51" s="26">
        <f>'Données capacités de production'!W117</f>
        <v>984.66134647354568</v>
      </c>
      <c r="AA51" s="26">
        <f>'Données capacités de production'!X117</f>
        <v>978.30827685569341</v>
      </c>
      <c r="AB51" s="26">
        <f>'Données capacités de production'!Y117</f>
        <v>971.95520723781021</v>
      </c>
      <c r="AC51" s="26">
        <f>'Données capacités de production'!Z117</f>
        <v>965.60213761989746</v>
      </c>
      <c r="AD51" s="26">
        <f>'Données capacités de production'!AA117</f>
        <v>959.24906800195629</v>
      </c>
      <c r="AE51" s="26">
        <f>'Données capacités de production'!AB117</f>
        <v>952.89599838398851</v>
      </c>
      <c r="AF51" s="26">
        <f>'Données capacités de production'!AC117</f>
        <v>946.54292876599618</v>
      </c>
      <c r="AG51" s="26">
        <f>'Données capacités de production'!AD117</f>
        <v>940.18985914798111</v>
      </c>
      <c r="AH51" s="26">
        <f>'Données capacités de production'!AE117</f>
        <v>933.83678952994546</v>
      </c>
      <c r="AI51" s="26">
        <f>'Données capacités de production'!AF117</f>
        <v>927.48371991189197</v>
      </c>
      <c r="AJ51" s="26">
        <f>'Données capacités de production'!AG117</f>
        <v>921.623551025967</v>
      </c>
      <c r="AK51" s="26">
        <f>'Données capacités de production'!AH117</f>
        <v>916.99133389273777</v>
      </c>
      <c r="AL51" s="26">
        <f>'Données capacités de production'!AI117</f>
        <v>912.54891754439848</v>
      </c>
      <c r="AM51" s="26">
        <f>'Données capacités de production'!AJ117</f>
        <v>908.29630198095265</v>
      </c>
      <c r="AN51" s="26">
        <f>'Données capacités de production'!AK117</f>
        <v>904.23348720240244</v>
      </c>
      <c r="AO51" s="26">
        <f>'Données capacités de production'!AL117</f>
        <v>900.36047320875082</v>
      </c>
      <c r="AP51" s="26">
        <f>'Données capacités de production'!AM117</f>
        <v>896.67726000000005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S51"/>
  <sheetViews>
    <sheetView topLeftCell="N10" workbookViewId="0">
      <selection activeCell="P36" sqref="P36"/>
    </sheetView>
  </sheetViews>
  <sheetFormatPr baseColWidth="10" defaultColWidth="9.140625" defaultRowHeight="15" x14ac:dyDescent="0.25"/>
  <cols>
    <col min="1" max="1" width="45.140625" bestFit="1" customWidth="1"/>
    <col min="2" max="41" width="8.7109375" customWidth="1"/>
    <col min="42" max="42" width="7.85546875" bestFit="1" customWidth="1"/>
    <col min="44" max="44" width="27.28515625" bestFit="1" customWidth="1"/>
  </cols>
  <sheetData>
    <row r="1" spans="1:45" x14ac:dyDescent="0.25">
      <c r="A1" s="3" t="s">
        <v>78</v>
      </c>
      <c r="B1" s="3">
        <v>2010</v>
      </c>
      <c r="C1" s="3">
        <v>2011</v>
      </c>
      <c r="D1" s="3">
        <v>2012</v>
      </c>
      <c r="E1" s="3">
        <v>2013</v>
      </c>
      <c r="F1" s="3">
        <v>2014</v>
      </c>
      <c r="G1" s="3">
        <v>2015</v>
      </c>
      <c r="H1" s="3">
        <v>2016</v>
      </c>
      <c r="I1" s="3">
        <v>2017</v>
      </c>
      <c r="J1" s="3">
        <v>2018</v>
      </c>
      <c r="K1" s="3">
        <v>2019</v>
      </c>
      <c r="L1" s="3">
        <v>2020</v>
      </c>
      <c r="M1" s="3">
        <v>2021</v>
      </c>
      <c r="N1" s="3">
        <v>2022</v>
      </c>
      <c r="O1" s="3">
        <v>2023</v>
      </c>
      <c r="P1" s="3">
        <v>2024</v>
      </c>
      <c r="Q1" s="3">
        <v>2025</v>
      </c>
      <c r="R1" s="3">
        <v>2026</v>
      </c>
      <c r="S1" s="3">
        <v>2027</v>
      </c>
      <c r="T1" s="3">
        <v>2028</v>
      </c>
      <c r="U1" s="3">
        <v>2029</v>
      </c>
      <c r="V1" s="3">
        <v>2030</v>
      </c>
      <c r="W1" s="3">
        <v>2031</v>
      </c>
      <c r="X1" s="3">
        <v>2032</v>
      </c>
      <c r="Y1" s="3">
        <v>2033</v>
      </c>
      <c r="Z1" s="3">
        <v>2034</v>
      </c>
      <c r="AA1" s="3">
        <v>2035</v>
      </c>
      <c r="AB1" s="3">
        <v>2036</v>
      </c>
      <c r="AC1" s="3">
        <v>2037</v>
      </c>
      <c r="AD1" s="3">
        <v>2038</v>
      </c>
      <c r="AE1" s="3">
        <v>2039</v>
      </c>
      <c r="AF1" s="3">
        <v>2040</v>
      </c>
      <c r="AG1" s="3">
        <v>2041</v>
      </c>
      <c r="AH1" s="3">
        <v>2042</v>
      </c>
      <c r="AI1" s="3">
        <v>2043</v>
      </c>
      <c r="AJ1" s="3">
        <v>2044</v>
      </c>
      <c r="AK1" s="3">
        <v>2045</v>
      </c>
      <c r="AL1" s="3">
        <v>2046</v>
      </c>
      <c r="AM1" s="3">
        <v>2047</v>
      </c>
      <c r="AN1" s="3">
        <v>2048</v>
      </c>
      <c r="AO1" s="3">
        <v>2049</v>
      </c>
      <c r="AP1" s="3">
        <v>2050</v>
      </c>
      <c r="AR1" t="s">
        <v>116</v>
      </c>
    </row>
    <row r="2" spans="1:45" x14ac:dyDescent="0.25">
      <c r="A2" s="29" t="s">
        <v>79</v>
      </c>
      <c r="B2" s="29"/>
      <c r="C2" s="29"/>
      <c r="D2" s="29"/>
      <c r="E2" s="29"/>
      <c r="F2" s="29"/>
      <c r="G2" s="29"/>
      <c r="H2" s="29"/>
      <c r="I2" s="29"/>
      <c r="J2" s="29"/>
      <c r="K2" s="29"/>
      <c r="L2" s="29"/>
      <c r="M2" s="29"/>
      <c r="N2" s="29"/>
      <c r="O2" s="29"/>
      <c r="P2" s="30">
        <v>0.4</v>
      </c>
      <c r="Q2" s="30"/>
      <c r="R2" s="29"/>
      <c r="S2" s="29"/>
      <c r="T2" s="30"/>
      <c r="U2" s="29"/>
      <c r="V2" s="29"/>
      <c r="W2" s="29"/>
      <c r="X2" s="29"/>
      <c r="Y2" s="29"/>
      <c r="Z2" s="29"/>
      <c r="AA2" s="29"/>
      <c r="AB2" s="29"/>
      <c r="AC2" s="29"/>
      <c r="AD2" s="29"/>
      <c r="AE2" s="29"/>
      <c r="AF2" s="29"/>
      <c r="AG2" s="29"/>
      <c r="AH2" s="30">
        <v>0.8</v>
      </c>
      <c r="AI2" s="29"/>
      <c r="AJ2" s="29"/>
      <c r="AK2" s="29"/>
      <c r="AL2" s="29"/>
      <c r="AM2" s="29"/>
      <c r="AN2" s="30">
        <v>0.95</v>
      </c>
      <c r="AO2" s="29"/>
      <c r="AP2" s="30">
        <v>1</v>
      </c>
    </row>
    <row r="3" spans="1:45" s="23" customFormat="1" x14ac:dyDescent="0.25">
      <c r="A3" s="106"/>
      <c r="B3" s="106"/>
      <c r="C3" s="106"/>
      <c r="D3" s="106"/>
      <c r="E3" s="106"/>
      <c r="F3" s="106"/>
      <c r="G3" s="106"/>
      <c r="H3" s="106"/>
      <c r="I3" s="106"/>
      <c r="J3" s="106"/>
      <c r="K3" s="106"/>
      <c r="L3" s="106"/>
      <c r="M3" s="106"/>
      <c r="N3" s="106"/>
      <c r="O3" s="106"/>
      <c r="P3" s="107"/>
      <c r="Q3" s="107"/>
      <c r="R3" s="106"/>
      <c r="S3" s="106"/>
      <c r="T3" s="106"/>
      <c r="U3" s="106"/>
      <c r="V3" s="106"/>
      <c r="W3" s="106"/>
      <c r="X3" s="106"/>
      <c r="Y3" s="106"/>
      <c r="Z3" s="106"/>
      <c r="AA3" s="106"/>
      <c r="AB3" s="106"/>
      <c r="AC3" s="106"/>
      <c r="AD3" s="106"/>
      <c r="AE3" s="106"/>
      <c r="AF3" s="106"/>
      <c r="AG3" s="106"/>
      <c r="AH3" s="107"/>
      <c r="AI3" s="106"/>
      <c r="AJ3" s="106"/>
      <c r="AK3" s="106"/>
      <c r="AL3" s="106"/>
      <c r="AM3" s="106"/>
      <c r="AN3" s="107"/>
      <c r="AO3" s="106"/>
      <c r="AP3" s="107"/>
    </row>
    <row r="4" spans="1:45" s="23" customFormat="1" x14ac:dyDescent="0.25">
      <c r="A4" s="106" t="s">
        <v>203</v>
      </c>
      <c r="B4" s="106"/>
      <c r="C4" s="106"/>
      <c r="D4" s="106"/>
      <c r="E4" s="108">
        <f>E9</f>
        <v>12760</v>
      </c>
      <c r="F4" s="108">
        <f t="shared" ref="F4:AP4" si="0">F9</f>
        <v>12740.354795417366</v>
      </c>
      <c r="G4" s="108">
        <f t="shared" si="0"/>
        <v>12720.709590834735</v>
      </c>
      <c r="H4" s="108">
        <f t="shared" si="0"/>
        <v>12701.064386252101</v>
      </c>
      <c r="I4" s="108">
        <f t="shared" si="0"/>
        <v>12681.419181669469</v>
      </c>
      <c r="J4" s="108">
        <f t="shared" si="0"/>
        <v>12661.773977086836</v>
      </c>
      <c r="K4" s="108">
        <f t="shared" si="0"/>
        <v>12642.128772504202</v>
      </c>
      <c r="L4" s="108">
        <f t="shared" si="0"/>
        <v>12622.483567921568</v>
      </c>
      <c r="M4" s="108">
        <f t="shared" si="0"/>
        <v>12602.838363338937</v>
      </c>
      <c r="N4" s="108">
        <f t="shared" si="0"/>
        <v>12583.193158756303</v>
      </c>
      <c r="O4" s="108">
        <f t="shared" si="0"/>
        <v>12563.547954173671</v>
      </c>
      <c r="P4" s="108">
        <f t="shared" si="0"/>
        <v>12543.902749591038</v>
      </c>
      <c r="Q4" s="108">
        <f t="shared" si="0"/>
        <v>12567.425779703544</v>
      </c>
      <c r="R4" s="108">
        <f t="shared" si="0"/>
        <v>12590.948809816053</v>
      </c>
      <c r="S4" s="108">
        <f t="shared" si="0"/>
        <v>12614.471839928559</v>
      </c>
      <c r="T4" s="108">
        <f t="shared" si="0"/>
        <v>12543.902749591038</v>
      </c>
      <c r="U4" s="108">
        <f t="shared" si="0"/>
        <v>12661.517900153573</v>
      </c>
      <c r="V4" s="108">
        <f t="shared" si="0"/>
        <v>12685.040930266081</v>
      </c>
      <c r="W4" s="108">
        <f t="shared" si="0"/>
        <v>12708.563960378588</v>
      </c>
      <c r="X4" s="108">
        <f t="shared" si="0"/>
        <v>12732.086990491096</v>
      </c>
      <c r="Y4" s="108">
        <f t="shared" si="0"/>
        <v>12755.610020603603</v>
      </c>
      <c r="Z4" s="108">
        <f t="shared" si="0"/>
        <v>12779.133050716109</v>
      </c>
      <c r="AA4" s="108">
        <f t="shared" si="0"/>
        <v>12802.656080828618</v>
      </c>
      <c r="AB4" s="108">
        <f t="shared" si="0"/>
        <v>12826.179110941124</v>
      </c>
      <c r="AC4" s="108">
        <f t="shared" si="0"/>
        <v>12849.702141053631</v>
      </c>
      <c r="AD4" s="108">
        <f t="shared" si="0"/>
        <v>12873.225171166139</v>
      </c>
      <c r="AE4" s="108">
        <f t="shared" si="0"/>
        <v>12896.748201278646</v>
      </c>
      <c r="AF4" s="108">
        <f t="shared" si="0"/>
        <v>12920.271231391152</v>
      </c>
      <c r="AG4" s="108">
        <f t="shared" si="0"/>
        <v>12943.794261503661</v>
      </c>
      <c r="AH4" s="108">
        <f t="shared" si="0"/>
        <v>12967.317291616167</v>
      </c>
      <c r="AI4" s="108">
        <f t="shared" si="0"/>
        <v>13015.704037534131</v>
      </c>
      <c r="AJ4" s="108">
        <f t="shared" si="0"/>
        <v>13064.090783452093</v>
      </c>
      <c r="AK4" s="108">
        <f t="shared" si="0"/>
        <v>13112.477529370057</v>
      </c>
      <c r="AL4" s="108">
        <f t="shared" si="0"/>
        <v>13160.864275288019</v>
      </c>
      <c r="AM4" s="108">
        <f t="shared" si="0"/>
        <v>13209.251021205982</v>
      </c>
      <c r="AN4" s="108">
        <f t="shared" si="0"/>
        <v>13257.637767123946</v>
      </c>
      <c r="AO4" s="108">
        <f t="shared" si="0"/>
        <v>13511.027308779208</v>
      </c>
      <c r="AP4" s="108">
        <f t="shared" si="0"/>
        <v>13764.416850434471</v>
      </c>
      <c r="AR4" s="108"/>
    </row>
    <row r="5" spans="1:45" s="23" customFormat="1" x14ac:dyDescent="0.25">
      <c r="A5" s="106" t="s">
        <v>204</v>
      </c>
      <c r="B5" s="106"/>
      <c r="C5" s="106"/>
      <c r="D5" s="106"/>
      <c r="E5" s="108">
        <f>E20</f>
        <v>1.3001748251748251</v>
      </c>
      <c r="F5" s="108">
        <f t="shared" ref="F5:AP5" si="1">F20</f>
        <v>1.7335664335664336</v>
      </c>
      <c r="G5" s="108">
        <f t="shared" si="1"/>
        <v>5.5241008991008993</v>
      </c>
      <c r="H5" s="108">
        <f t="shared" si="1"/>
        <v>22.743206793206792</v>
      </c>
      <c r="I5" s="108">
        <f t="shared" si="1"/>
        <v>53.390884115884113</v>
      </c>
      <c r="J5" s="108">
        <f t="shared" si="1"/>
        <v>107.53856143856143</v>
      </c>
      <c r="K5" s="108">
        <f t="shared" si="1"/>
        <v>161.68623876123874</v>
      </c>
      <c r="L5" s="108">
        <f t="shared" si="1"/>
        <v>212.47677322677322</v>
      </c>
      <c r="M5" s="108">
        <f t="shared" si="1"/>
        <v>239.7673076923077</v>
      </c>
      <c r="N5" s="108">
        <f t="shared" si="1"/>
        <v>240.20069930069931</v>
      </c>
      <c r="O5" s="108">
        <f t="shared" si="1"/>
        <v>240.6340909090909</v>
      </c>
      <c r="P5" s="108">
        <f t="shared" si="1"/>
        <v>241.06748251748252</v>
      </c>
      <c r="Q5" s="108">
        <f t="shared" si="1"/>
        <v>241.50087412587413</v>
      </c>
      <c r="R5" s="108">
        <f t="shared" si="1"/>
        <v>241.93426573426572</v>
      </c>
      <c r="S5" s="108">
        <f t="shared" si="1"/>
        <v>242.36765734265734</v>
      </c>
      <c r="T5" s="108">
        <f t="shared" si="1"/>
        <v>242.80104895104895</v>
      </c>
      <c r="U5" s="108">
        <f t="shared" si="1"/>
        <v>243.23444055944057</v>
      </c>
      <c r="V5" s="108">
        <f t="shared" si="1"/>
        <v>243.66783216783216</v>
      </c>
      <c r="W5" s="108">
        <f t="shared" si="1"/>
        <v>244.90944055944055</v>
      </c>
      <c r="X5" s="108">
        <f t="shared" si="1"/>
        <v>246.15104895104895</v>
      </c>
      <c r="Y5" s="108">
        <f t="shared" si="1"/>
        <v>247.39265734265734</v>
      </c>
      <c r="Z5" s="108">
        <f t="shared" si="1"/>
        <v>248.63426573426574</v>
      </c>
      <c r="AA5" s="108">
        <f t="shared" si="1"/>
        <v>306.51873126873124</v>
      </c>
      <c r="AB5" s="108">
        <f t="shared" si="1"/>
        <v>350.97462537462536</v>
      </c>
      <c r="AC5" s="108">
        <f t="shared" si="1"/>
        <v>382.00194805194803</v>
      </c>
      <c r="AD5" s="108">
        <f t="shared" si="1"/>
        <v>389.52927072927076</v>
      </c>
      <c r="AE5" s="108">
        <f t="shared" si="1"/>
        <v>397.05659340659344</v>
      </c>
      <c r="AF5" s="108">
        <f t="shared" si="1"/>
        <v>407.941058941059</v>
      </c>
      <c r="AG5" s="108">
        <f t="shared" si="1"/>
        <v>442.3255244755245</v>
      </c>
      <c r="AH5" s="108">
        <f t="shared" si="1"/>
        <v>443.56713286713284</v>
      </c>
      <c r="AI5" s="108">
        <f t="shared" si="1"/>
        <v>444.80874125874124</v>
      </c>
      <c r="AJ5" s="108">
        <f t="shared" si="1"/>
        <v>446.05034965034963</v>
      </c>
      <c r="AK5" s="108">
        <f t="shared" si="1"/>
        <v>447.29195804195803</v>
      </c>
      <c r="AL5" s="108">
        <f t="shared" si="1"/>
        <v>448.53356643356642</v>
      </c>
      <c r="AM5" s="108">
        <f t="shared" si="1"/>
        <v>449.77517482517482</v>
      </c>
      <c r="AN5" s="108">
        <f t="shared" si="1"/>
        <v>451.01678321678321</v>
      </c>
      <c r="AO5" s="108">
        <f t="shared" si="1"/>
        <v>452.25839160839161</v>
      </c>
      <c r="AP5" s="108">
        <f t="shared" si="1"/>
        <v>453.5</v>
      </c>
      <c r="AS5" s="120"/>
    </row>
    <row r="6" spans="1:45" s="23" customFormat="1" x14ac:dyDescent="0.25">
      <c r="A6" s="106" t="s">
        <v>205</v>
      </c>
      <c r="B6" s="106"/>
      <c r="C6" s="106"/>
      <c r="D6" s="106"/>
      <c r="E6" s="108">
        <f>E30</f>
        <v>841.28705739348379</v>
      </c>
      <c r="F6" s="108">
        <f t="shared" ref="F6:AP6" si="2">F30</f>
        <v>852.88270342630585</v>
      </c>
      <c r="G6" s="108">
        <f t="shared" si="2"/>
        <v>864.36725214582066</v>
      </c>
      <c r="H6" s="108">
        <f t="shared" si="2"/>
        <v>875.74070355202798</v>
      </c>
      <c r="I6" s="108">
        <f t="shared" si="2"/>
        <v>887.00305764492759</v>
      </c>
      <c r="J6" s="108">
        <f t="shared" si="2"/>
        <v>898.15431442451995</v>
      </c>
      <c r="K6" s="108">
        <f t="shared" si="2"/>
        <v>909.1944738908046</v>
      </c>
      <c r="L6" s="108">
        <f t="shared" si="2"/>
        <v>920.12353604378177</v>
      </c>
      <c r="M6" s="108">
        <f t="shared" si="2"/>
        <v>930.94150088345145</v>
      </c>
      <c r="N6" s="108">
        <f t="shared" si="2"/>
        <v>941.64836840981354</v>
      </c>
      <c r="O6" s="108">
        <f t="shared" si="2"/>
        <v>952.24413862286815</v>
      </c>
      <c r="P6" s="108">
        <f t="shared" si="2"/>
        <v>962.72881152261527</v>
      </c>
      <c r="Q6" s="108">
        <f t="shared" si="2"/>
        <v>981.82477651729937</v>
      </c>
      <c r="R6" s="108">
        <f t="shared" si="2"/>
        <v>1000.7378540376899</v>
      </c>
      <c r="S6" s="108">
        <f t="shared" si="2"/>
        <v>1019.4680191738603</v>
      </c>
      <c r="T6" s="108">
        <f t="shared" si="2"/>
        <v>1038.0152508307892</v>
      </c>
      <c r="U6" s="108">
        <f t="shared" si="2"/>
        <v>1041.5681036342899</v>
      </c>
      <c r="V6" s="108">
        <f t="shared" si="2"/>
        <v>1044.9379939712449</v>
      </c>
      <c r="W6" s="108">
        <f t="shared" si="2"/>
        <v>1066.1547755410468</v>
      </c>
      <c r="X6" s="108">
        <f t="shared" si="2"/>
        <v>1087.2863463319361</v>
      </c>
      <c r="Y6" s="108">
        <f t="shared" si="2"/>
        <v>1108.3327073156156</v>
      </c>
      <c r="Z6" s="108">
        <f t="shared" si="2"/>
        <v>1128.040612387299</v>
      </c>
      <c r="AA6" s="108">
        <f t="shared" si="2"/>
        <v>1147.7008434319503</v>
      </c>
      <c r="AB6" s="108">
        <f t="shared" si="2"/>
        <v>1167.3134137565312</v>
      </c>
      <c r="AC6" s="108">
        <f t="shared" si="2"/>
        <v>1186.8783398390281</v>
      </c>
      <c r="AD6" s="108">
        <f t="shared" si="2"/>
        <v>1206.3956407148476</v>
      </c>
      <c r="AE6" s="108">
        <f t="shared" si="2"/>
        <v>1225.8653373082691</v>
      </c>
      <c r="AF6" s="108">
        <f t="shared" si="2"/>
        <v>1245.287451731178</v>
      </c>
      <c r="AG6" s="108">
        <f t="shared" si="2"/>
        <v>1264.6620065714974</v>
      </c>
      <c r="AH6" s="108">
        <f t="shared" si="2"/>
        <v>1752.184392842019</v>
      </c>
      <c r="AI6" s="108">
        <f t="shared" si="2"/>
        <v>2317.1449575007859</v>
      </c>
      <c r="AJ6" s="108">
        <f t="shared" si="2"/>
        <v>2880.9735976240222</v>
      </c>
      <c r="AK6" s="108">
        <f t="shared" si="2"/>
        <v>3443.1275901237536</v>
      </c>
      <c r="AL6" s="108">
        <f t="shared" si="2"/>
        <v>4004.1738896437</v>
      </c>
      <c r="AM6" s="108">
        <f t="shared" si="2"/>
        <v>4564.1124976656656</v>
      </c>
      <c r="AN6" s="108">
        <f t="shared" si="2"/>
        <v>5122.9434151572877</v>
      </c>
      <c r="AO6" s="108">
        <f t="shared" si="2"/>
        <v>5680.6666425817348</v>
      </c>
      <c r="AP6" s="108">
        <f t="shared" si="2"/>
        <v>6237.2821799263811</v>
      </c>
      <c r="AS6" s="120"/>
    </row>
    <row r="7" spans="1:45" s="23" customFormat="1" x14ac:dyDescent="0.25">
      <c r="A7" s="106"/>
      <c r="B7" s="106"/>
      <c r="C7" s="106"/>
      <c r="D7" s="106"/>
      <c r="E7" s="108"/>
      <c r="F7" s="108"/>
      <c r="G7" s="108"/>
      <c r="H7" s="108"/>
      <c r="I7" s="108"/>
      <c r="J7" s="108"/>
      <c r="K7" s="108"/>
      <c r="L7" s="108"/>
      <c r="M7" s="108"/>
      <c r="N7" s="108"/>
      <c r="O7" s="108"/>
      <c r="P7" s="108"/>
      <c r="Q7" s="108"/>
      <c r="R7" s="108"/>
      <c r="S7" s="108"/>
      <c r="T7" s="108"/>
      <c r="U7" s="108"/>
      <c r="V7" s="108"/>
      <c r="W7" s="108"/>
      <c r="X7" s="108"/>
      <c r="Y7" s="108"/>
      <c r="Z7" s="108"/>
      <c r="AA7" s="108"/>
      <c r="AB7" s="108"/>
      <c r="AC7" s="108"/>
      <c r="AD7" s="108"/>
      <c r="AE7" s="108"/>
      <c r="AF7" s="108"/>
      <c r="AG7" s="108"/>
      <c r="AH7" s="108"/>
      <c r="AI7" s="108"/>
      <c r="AJ7" s="108"/>
      <c r="AK7" s="108"/>
      <c r="AL7" s="108"/>
      <c r="AM7" s="108"/>
      <c r="AN7" s="108"/>
      <c r="AO7" s="108"/>
      <c r="AP7" s="108"/>
      <c r="AS7" s="120"/>
    </row>
    <row r="8" spans="1:45" s="23" customFormat="1" x14ac:dyDescent="0.25">
      <c r="A8" s="106"/>
      <c r="B8" s="106"/>
      <c r="C8" s="106"/>
      <c r="D8" s="106"/>
      <c r="E8" s="106"/>
      <c r="F8" s="106"/>
      <c r="G8" s="106"/>
      <c r="H8" s="106"/>
      <c r="I8" s="106"/>
      <c r="J8" s="106"/>
      <c r="K8" s="106"/>
      <c r="L8" s="106"/>
      <c r="M8" s="106"/>
      <c r="N8" s="106"/>
      <c r="O8" s="106"/>
      <c r="P8" s="107"/>
      <c r="Q8" s="107"/>
      <c r="R8" s="106"/>
      <c r="S8" s="106"/>
      <c r="T8" s="106"/>
      <c r="U8" s="106"/>
      <c r="V8" s="106"/>
      <c r="W8" s="106"/>
      <c r="X8" s="106"/>
      <c r="Y8" s="106"/>
      <c r="Z8" s="106"/>
      <c r="AA8" s="106"/>
      <c r="AB8" s="106"/>
      <c r="AC8" s="106"/>
      <c r="AD8" s="106"/>
      <c r="AE8" s="106"/>
      <c r="AF8" s="106"/>
      <c r="AG8" s="106"/>
      <c r="AH8" s="107"/>
      <c r="AI8" s="106"/>
      <c r="AJ8" s="106"/>
      <c r="AK8" s="106"/>
      <c r="AL8" s="106"/>
      <c r="AM8" s="106"/>
      <c r="AN8" s="107"/>
      <c r="AO8" s="106"/>
      <c r="AP8" s="107"/>
    </row>
    <row r="9" spans="1:45" x14ac:dyDescent="0.25">
      <c r="A9" s="38" t="s">
        <v>115</v>
      </c>
      <c r="B9" s="39"/>
      <c r="C9" s="39"/>
      <c r="D9" s="39"/>
      <c r="E9" s="39">
        <f>E10+E15</f>
        <v>12760</v>
      </c>
      <c r="F9" s="39">
        <f t="shared" ref="F9:AO9" si="3">F10+F15</f>
        <v>12740.354795417366</v>
      </c>
      <c r="G9" s="39">
        <f t="shared" si="3"/>
        <v>12720.709590834735</v>
      </c>
      <c r="H9" s="39">
        <f t="shared" si="3"/>
        <v>12701.064386252101</v>
      </c>
      <c r="I9" s="39">
        <f t="shared" si="3"/>
        <v>12681.419181669469</v>
      </c>
      <c r="J9" s="39">
        <f t="shared" si="3"/>
        <v>12661.773977086836</v>
      </c>
      <c r="K9" s="39">
        <f t="shared" si="3"/>
        <v>12642.128772504202</v>
      </c>
      <c r="L9" s="39">
        <f t="shared" si="3"/>
        <v>12622.483567921568</v>
      </c>
      <c r="M9" s="39">
        <f t="shared" si="3"/>
        <v>12602.838363338937</v>
      </c>
      <c r="N9" s="39">
        <f t="shared" si="3"/>
        <v>12583.193158756303</v>
      </c>
      <c r="O9" s="39">
        <f t="shared" si="3"/>
        <v>12563.547954173671</v>
      </c>
      <c r="P9" s="39">
        <f t="shared" si="3"/>
        <v>12543.902749591038</v>
      </c>
      <c r="Q9" s="39">
        <f t="shared" si="3"/>
        <v>12567.425779703544</v>
      </c>
      <c r="R9" s="39">
        <f t="shared" si="3"/>
        <v>12590.948809816053</v>
      </c>
      <c r="S9" s="39">
        <f t="shared" si="3"/>
        <v>12614.471839928559</v>
      </c>
      <c r="T9" s="39">
        <f t="shared" si="3"/>
        <v>12543.902749591038</v>
      </c>
      <c r="U9" s="39">
        <f t="shared" si="3"/>
        <v>12661.517900153573</v>
      </c>
      <c r="V9" s="39">
        <f t="shared" si="3"/>
        <v>12685.040930266081</v>
      </c>
      <c r="W9" s="39">
        <f t="shared" si="3"/>
        <v>12708.563960378588</v>
      </c>
      <c r="X9" s="39">
        <f t="shared" si="3"/>
        <v>12732.086990491096</v>
      </c>
      <c r="Y9" s="39">
        <f t="shared" si="3"/>
        <v>12755.610020603603</v>
      </c>
      <c r="Z9" s="39">
        <f t="shared" si="3"/>
        <v>12779.133050716109</v>
      </c>
      <c r="AA9" s="39">
        <f t="shared" si="3"/>
        <v>12802.656080828618</v>
      </c>
      <c r="AB9" s="39">
        <f t="shared" si="3"/>
        <v>12826.179110941124</v>
      </c>
      <c r="AC9" s="39">
        <f t="shared" si="3"/>
        <v>12849.702141053631</v>
      </c>
      <c r="AD9" s="39">
        <f t="shared" si="3"/>
        <v>12873.225171166139</v>
      </c>
      <c r="AE9" s="39">
        <f t="shared" si="3"/>
        <v>12896.748201278646</v>
      </c>
      <c r="AF9" s="39">
        <f t="shared" si="3"/>
        <v>12920.271231391152</v>
      </c>
      <c r="AG9" s="39">
        <f t="shared" si="3"/>
        <v>12943.794261503661</v>
      </c>
      <c r="AH9" s="39">
        <f t="shared" si="3"/>
        <v>12967.317291616167</v>
      </c>
      <c r="AI9" s="39">
        <f t="shared" si="3"/>
        <v>13015.704037534131</v>
      </c>
      <c r="AJ9" s="39">
        <f t="shared" si="3"/>
        <v>13064.090783452093</v>
      </c>
      <c r="AK9" s="39">
        <f t="shared" si="3"/>
        <v>13112.477529370057</v>
      </c>
      <c r="AL9" s="39">
        <f t="shared" si="3"/>
        <v>13160.864275288019</v>
      </c>
      <c r="AM9" s="39">
        <f t="shared" si="3"/>
        <v>13209.251021205982</v>
      </c>
      <c r="AN9" s="39">
        <f t="shared" si="3"/>
        <v>13257.637767123946</v>
      </c>
      <c r="AO9" s="39">
        <f t="shared" si="3"/>
        <v>13511.027308779208</v>
      </c>
      <c r="AP9" s="39">
        <f>AP10+AP15</f>
        <v>13764.416850434471</v>
      </c>
    </row>
    <row r="10" spans="1:45" x14ac:dyDescent="0.25">
      <c r="A10" s="18" t="s">
        <v>32</v>
      </c>
      <c r="B10" s="19"/>
      <c r="C10" s="19"/>
      <c r="D10" s="19"/>
      <c r="E10" s="114">
        <v>11117.5</v>
      </c>
      <c r="F10" s="114">
        <v>11117.5</v>
      </c>
      <c r="G10" s="114">
        <v>11117.5</v>
      </c>
      <c r="H10" s="114">
        <v>11117.5</v>
      </c>
      <c r="I10" s="114">
        <v>11117.5</v>
      </c>
      <c r="J10" s="114">
        <v>11117.5</v>
      </c>
      <c r="K10" s="114">
        <v>11117.5</v>
      </c>
      <c r="L10" s="114">
        <v>11117.5</v>
      </c>
      <c r="M10" s="114">
        <v>11117.5</v>
      </c>
      <c r="N10" s="114">
        <v>11117.5</v>
      </c>
      <c r="O10" s="114">
        <v>11117.5</v>
      </c>
      <c r="P10" s="114">
        <v>11117.5</v>
      </c>
      <c r="Q10" s="114">
        <v>11117.5</v>
      </c>
      <c r="R10" s="114">
        <v>11117.5</v>
      </c>
      <c r="S10" s="114">
        <v>11117.5</v>
      </c>
      <c r="T10" s="114">
        <v>11117.5</v>
      </c>
      <c r="U10" s="114">
        <v>11117.5</v>
      </c>
      <c r="V10" s="114">
        <v>11117.5</v>
      </c>
      <c r="W10" s="114">
        <v>11117.5</v>
      </c>
      <c r="X10" s="114">
        <v>11117.5</v>
      </c>
      <c r="Y10" s="114">
        <v>11117.5</v>
      </c>
      <c r="Z10" s="114">
        <v>11117.5</v>
      </c>
      <c r="AA10" s="114">
        <v>11117.5</v>
      </c>
      <c r="AB10" s="114">
        <v>11117.5</v>
      </c>
      <c r="AC10" s="114">
        <v>11117.5</v>
      </c>
      <c r="AD10" s="114">
        <v>11117.5</v>
      </c>
      <c r="AE10" s="114">
        <v>11117.5</v>
      </c>
      <c r="AF10" s="114">
        <v>11117.5</v>
      </c>
      <c r="AG10" s="114">
        <v>11117.5</v>
      </c>
      <c r="AH10" s="114">
        <v>11117.5</v>
      </c>
      <c r="AI10" s="114">
        <v>11117.5</v>
      </c>
      <c r="AJ10" s="114">
        <v>11117.5</v>
      </c>
      <c r="AK10" s="114">
        <v>11117.5</v>
      </c>
      <c r="AL10" s="114">
        <v>11117.5</v>
      </c>
      <c r="AM10" s="114">
        <v>11117.5</v>
      </c>
      <c r="AN10" s="114">
        <v>11117.5</v>
      </c>
      <c r="AO10" s="114">
        <v>11117.5</v>
      </c>
      <c r="AP10" s="114">
        <v>11117.5</v>
      </c>
    </row>
    <row r="11" spans="1:45" x14ac:dyDescent="0.25">
      <c r="A11" s="1" t="s">
        <v>26</v>
      </c>
      <c r="B11" s="1"/>
      <c r="C11" s="1"/>
      <c r="D11" s="1"/>
      <c r="E11" s="34">
        <f>'Structure de coûts RTE'!C23+'Structure de coûts RTE'!B23/2</f>
        <v>2550</v>
      </c>
      <c r="F11" s="34">
        <f>E11</f>
        <v>2550</v>
      </c>
      <c r="G11" s="34">
        <f t="shared" ref="G11:AP11" si="4">F11</f>
        <v>2550</v>
      </c>
      <c r="H11" s="34">
        <f t="shared" si="4"/>
        <v>2550</v>
      </c>
      <c r="I11" s="34">
        <f t="shared" si="4"/>
        <v>2550</v>
      </c>
      <c r="J11" s="34">
        <f t="shared" si="4"/>
        <v>2550</v>
      </c>
      <c r="K11" s="34">
        <f t="shared" si="4"/>
        <v>2550</v>
      </c>
      <c r="L11" s="34">
        <f t="shared" si="4"/>
        <v>2550</v>
      </c>
      <c r="M11" s="34">
        <f t="shared" si="4"/>
        <v>2550</v>
      </c>
      <c r="N11" s="34">
        <f t="shared" si="4"/>
        <v>2550</v>
      </c>
      <c r="O11" s="34">
        <f t="shared" si="4"/>
        <v>2550</v>
      </c>
      <c r="P11" s="34">
        <f t="shared" si="4"/>
        <v>2550</v>
      </c>
      <c r="Q11" s="34">
        <f t="shared" si="4"/>
        <v>2550</v>
      </c>
      <c r="R11" s="34">
        <f t="shared" si="4"/>
        <v>2550</v>
      </c>
      <c r="S11" s="34">
        <f t="shared" si="4"/>
        <v>2550</v>
      </c>
      <c r="T11" s="34">
        <f t="shared" si="4"/>
        <v>2550</v>
      </c>
      <c r="U11" s="34">
        <f t="shared" si="4"/>
        <v>2550</v>
      </c>
      <c r="V11" s="34">
        <f t="shared" si="4"/>
        <v>2550</v>
      </c>
      <c r="W11" s="34">
        <f t="shared" si="4"/>
        <v>2550</v>
      </c>
      <c r="X11" s="34">
        <f t="shared" si="4"/>
        <v>2550</v>
      </c>
      <c r="Y11" s="34">
        <f t="shared" si="4"/>
        <v>2550</v>
      </c>
      <c r="Z11" s="34">
        <f t="shared" si="4"/>
        <v>2550</v>
      </c>
      <c r="AA11" s="34">
        <f t="shared" si="4"/>
        <v>2550</v>
      </c>
      <c r="AB11" s="34">
        <f t="shared" si="4"/>
        <v>2550</v>
      </c>
      <c r="AC11" s="34">
        <f t="shared" si="4"/>
        <v>2550</v>
      </c>
      <c r="AD11" s="34">
        <f t="shared" si="4"/>
        <v>2550</v>
      </c>
      <c r="AE11" s="34">
        <f t="shared" si="4"/>
        <v>2550</v>
      </c>
      <c r="AF11" s="34">
        <f t="shared" si="4"/>
        <v>2550</v>
      </c>
      <c r="AG11" s="34">
        <f t="shared" si="4"/>
        <v>2550</v>
      </c>
      <c r="AH11" s="34">
        <f t="shared" si="4"/>
        <v>2550</v>
      </c>
      <c r="AI11" s="34">
        <f t="shared" si="4"/>
        <v>2550</v>
      </c>
      <c r="AJ11" s="34">
        <f t="shared" si="4"/>
        <v>2550</v>
      </c>
      <c r="AK11" s="34">
        <f t="shared" si="4"/>
        <v>2550</v>
      </c>
      <c r="AL11" s="34">
        <f t="shared" si="4"/>
        <v>2550</v>
      </c>
      <c r="AM11" s="34">
        <f t="shared" si="4"/>
        <v>2550</v>
      </c>
      <c r="AN11" s="34">
        <f t="shared" si="4"/>
        <v>2550</v>
      </c>
      <c r="AO11" s="34">
        <f t="shared" si="4"/>
        <v>2550</v>
      </c>
      <c r="AP11" s="34">
        <f t="shared" si="4"/>
        <v>2550</v>
      </c>
    </row>
    <row r="12" spans="1:45" x14ac:dyDescent="0.25">
      <c r="A12" s="1" t="s">
        <v>54</v>
      </c>
      <c r="B12" s="1"/>
      <c r="C12" s="1"/>
      <c r="D12" s="1"/>
      <c r="E12" s="34">
        <f>(E10-E11)*'Structure de coûts RTE'!$B$16</f>
        <v>3766.5518372703414</v>
      </c>
      <c r="F12" s="34">
        <f>E12</f>
        <v>3766.5518372703414</v>
      </c>
      <c r="G12" s="34">
        <f t="shared" ref="G12:AP12" si="5">F12</f>
        <v>3766.5518372703414</v>
      </c>
      <c r="H12" s="34">
        <f t="shared" si="5"/>
        <v>3766.5518372703414</v>
      </c>
      <c r="I12" s="34">
        <f t="shared" si="5"/>
        <v>3766.5518372703414</v>
      </c>
      <c r="J12" s="34">
        <f t="shared" si="5"/>
        <v>3766.5518372703414</v>
      </c>
      <c r="K12" s="34">
        <f t="shared" si="5"/>
        <v>3766.5518372703414</v>
      </c>
      <c r="L12" s="34">
        <f t="shared" si="5"/>
        <v>3766.5518372703414</v>
      </c>
      <c r="M12" s="34">
        <f t="shared" si="5"/>
        <v>3766.5518372703414</v>
      </c>
      <c r="N12" s="34">
        <f t="shared" si="5"/>
        <v>3766.5518372703414</v>
      </c>
      <c r="O12" s="34">
        <f t="shared" si="5"/>
        <v>3766.5518372703414</v>
      </c>
      <c r="P12" s="34">
        <f t="shared" si="5"/>
        <v>3766.5518372703414</v>
      </c>
      <c r="Q12" s="34">
        <f t="shared" si="5"/>
        <v>3766.5518372703414</v>
      </c>
      <c r="R12" s="34">
        <f t="shared" si="5"/>
        <v>3766.5518372703414</v>
      </c>
      <c r="S12" s="34">
        <f t="shared" si="5"/>
        <v>3766.5518372703414</v>
      </c>
      <c r="T12" s="34">
        <f t="shared" si="5"/>
        <v>3766.5518372703414</v>
      </c>
      <c r="U12" s="34">
        <f t="shared" si="5"/>
        <v>3766.5518372703414</v>
      </c>
      <c r="V12" s="34">
        <f t="shared" si="5"/>
        <v>3766.5518372703414</v>
      </c>
      <c r="W12" s="34">
        <f t="shared" si="5"/>
        <v>3766.5518372703414</v>
      </c>
      <c r="X12" s="34">
        <f t="shared" si="5"/>
        <v>3766.5518372703414</v>
      </c>
      <c r="Y12" s="34">
        <f t="shared" si="5"/>
        <v>3766.5518372703414</v>
      </c>
      <c r="Z12" s="34">
        <f t="shared" si="5"/>
        <v>3766.5518372703414</v>
      </c>
      <c r="AA12" s="34">
        <f t="shared" si="5"/>
        <v>3766.5518372703414</v>
      </c>
      <c r="AB12" s="34">
        <f t="shared" si="5"/>
        <v>3766.5518372703414</v>
      </c>
      <c r="AC12" s="34">
        <f t="shared" si="5"/>
        <v>3766.5518372703414</v>
      </c>
      <c r="AD12" s="34">
        <f t="shared" si="5"/>
        <v>3766.5518372703414</v>
      </c>
      <c r="AE12" s="34">
        <f t="shared" si="5"/>
        <v>3766.5518372703414</v>
      </c>
      <c r="AF12" s="34">
        <f t="shared" si="5"/>
        <v>3766.5518372703414</v>
      </c>
      <c r="AG12" s="34">
        <f t="shared" si="5"/>
        <v>3766.5518372703414</v>
      </c>
      <c r="AH12" s="34">
        <f t="shared" si="5"/>
        <v>3766.5518372703414</v>
      </c>
      <c r="AI12" s="34">
        <f t="shared" si="5"/>
        <v>3766.5518372703414</v>
      </c>
      <c r="AJ12" s="34">
        <f t="shared" si="5"/>
        <v>3766.5518372703414</v>
      </c>
      <c r="AK12" s="34">
        <f t="shared" si="5"/>
        <v>3766.5518372703414</v>
      </c>
      <c r="AL12" s="34">
        <f t="shared" si="5"/>
        <v>3766.5518372703414</v>
      </c>
      <c r="AM12" s="34">
        <f t="shared" si="5"/>
        <v>3766.5518372703414</v>
      </c>
      <c r="AN12" s="34">
        <f t="shared" si="5"/>
        <v>3766.5518372703414</v>
      </c>
      <c r="AO12" s="34">
        <f t="shared" si="5"/>
        <v>3766.5518372703414</v>
      </c>
      <c r="AP12" s="34">
        <f t="shared" si="5"/>
        <v>3766.5518372703414</v>
      </c>
    </row>
    <row r="13" spans="1:45" x14ac:dyDescent="0.25">
      <c r="A13" s="1" t="s">
        <v>55</v>
      </c>
      <c r="B13" s="1"/>
      <c r="C13" s="1"/>
      <c r="D13" s="1"/>
      <c r="E13" s="34">
        <f>(E10-E11)*(1-'Structure de coûts RTE'!$B$16)</f>
        <v>4800.9481627296591</v>
      </c>
      <c r="F13" s="34">
        <f>(F10-F11)*(1-'Structure de coûts RTE'!$B$16)</f>
        <v>4800.9481627296591</v>
      </c>
      <c r="G13" s="34">
        <f>(G10-G11)*(1-'Structure de coûts RTE'!$B$16)</f>
        <v>4800.9481627296591</v>
      </c>
      <c r="H13" s="34">
        <f>(H10-H11)*(1-'Structure de coûts RTE'!$B$16)</f>
        <v>4800.9481627296591</v>
      </c>
      <c r="I13" s="34">
        <f>(I10-I11)*(1-'Structure de coûts RTE'!$B$16)</f>
        <v>4800.9481627296591</v>
      </c>
      <c r="J13" s="34">
        <f>(J10-J11)*(1-'Structure de coûts RTE'!$B$16)</f>
        <v>4800.9481627296591</v>
      </c>
      <c r="K13" s="34">
        <f>(K10-K11)*(1-'Structure de coûts RTE'!$B$16)</f>
        <v>4800.9481627296591</v>
      </c>
      <c r="L13" s="34">
        <f>(L10-L11)*(1-'Structure de coûts RTE'!$B$16)</f>
        <v>4800.9481627296591</v>
      </c>
      <c r="M13" s="34">
        <f>(M10-M11)*(1-'Structure de coûts RTE'!$B$16)</f>
        <v>4800.9481627296591</v>
      </c>
      <c r="N13" s="34">
        <f>(N10-N11)*(1-'Structure de coûts RTE'!$B$16)</f>
        <v>4800.9481627296591</v>
      </c>
      <c r="O13" s="34">
        <f>(O10-O11)*(1-'Structure de coûts RTE'!$B$16)</f>
        <v>4800.9481627296591</v>
      </c>
      <c r="P13" s="34">
        <f>(P10-P11)*(1-'Structure de coûts RTE'!$B$16)</f>
        <v>4800.9481627296591</v>
      </c>
      <c r="Q13" s="34">
        <f>(Q10-Q11)*(1-'Structure de coûts RTE'!$B$16)</f>
        <v>4800.9481627296591</v>
      </c>
      <c r="R13" s="34">
        <f>(R10-R11)*(1-'Structure de coûts RTE'!$B$16)</f>
        <v>4800.9481627296591</v>
      </c>
      <c r="S13" s="34">
        <f>(S10-S11)*(1-'Structure de coûts RTE'!$B$16)</f>
        <v>4800.9481627296591</v>
      </c>
      <c r="T13" s="34">
        <f>(T10-T11)*(1-'Structure de coûts RTE'!$B$16)</f>
        <v>4800.9481627296591</v>
      </c>
      <c r="U13" s="34">
        <f>(U10-U11)*(1-'Structure de coûts RTE'!$B$16)</f>
        <v>4800.9481627296591</v>
      </c>
      <c r="V13" s="34">
        <f>(V10-V11)*(1-'Structure de coûts RTE'!$B$16)</f>
        <v>4800.9481627296591</v>
      </c>
      <c r="W13" s="34">
        <f>(W10-W11)*(1-'Structure de coûts RTE'!$B$16)</f>
        <v>4800.9481627296591</v>
      </c>
      <c r="X13" s="34">
        <f>(X10-X11)*(1-'Structure de coûts RTE'!$B$16)</f>
        <v>4800.9481627296591</v>
      </c>
      <c r="Y13" s="34">
        <f>(Y10-Y11)*(1-'Structure de coûts RTE'!$B$16)</f>
        <v>4800.9481627296591</v>
      </c>
      <c r="Z13" s="34">
        <f>(Z10-Z11)*(1-'Structure de coûts RTE'!$B$16)</f>
        <v>4800.9481627296591</v>
      </c>
      <c r="AA13" s="34">
        <f>(AA10-AA11)*(1-'Structure de coûts RTE'!$B$16)</f>
        <v>4800.9481627296591</v>
      </c>
      <c r="AB13" s="34">
        <f>(AB10-AB11)*(1-'Structure de coûts RTE'!$B$16)</f>
        <v>4800.9481627296591</v>
      </c>
      <c r="AC13" s="34">
        <f>(AC10-AC11)*(1-'Structure de coûts RTE'!$B$16)</f>
        <v>4800.9481627296591</v>
      </c>
      <c r="AD13" s="34">
        <f>(AD10-AD11)*(1-'Structure de coûts RTE'!$B$16)</f>
        <v>4800.9481627296591</v>
      </c>
      <c r="AE13" s="34">
        <f>(AE10-AE11)*(1-'Structure de coûts RTE'!$B$16)</f>
        <v>4800.9481627296591</v>
      </c>
      <c r="AF13" s="34">
        <f>(AF10-AF11)*(1-'Structure de coûts RTE'!$B$16)</f>
        <v>4800.9481627296591</v>
      </c>
      <c r="AG13" s="34">
        <f>(AG10-AG11)*(1-'Structure de coûts RTE'!$B$16)</f>
        <v>4800.9481627296591</v>
      </c>
      <c r="AH13" s="34">
        <f>(AH10-AH11)*(1-'Structure de coûts RTE'!$B$16)</f>
        <v>4800.9481627296591</v>
      </c>
      <c r="AI13" s="34">
        <f>(AI10-AI11)*(1-'Structure de coûts RTE'!$B$16)</f>
        <v>4800.9481627296591</v>
      </c>
      <c r="AJ13" s="34">
        <f>(AJ10-AJ11)*(1-'Structure de coûts RTE'!$B$16)</f>
        <v>4800.9481627296591</v>
      </c>
      <c r="AK13" s="34">
        <f>(AK10-AK11)*(1-'Structure de coûts RTE'!$B$16)</f>
        <v>4800.9481627296591</v>
      </c>
      <c r="AL13" s="34">
        <f>(AL10-AL11)*(1-'Structure de coûts RTE'!$B$16)</f>
        <v>4800.9481627296591</v>
      </c>
      <c r="AM13" s="34">
        <f>(AM10-AM11)*(1-'Structure de coûts RTE'!$B$16)</f>
        <v>4800.9481627296591</v>
      </c>
      <c r="AN13" s="34">
        <f>(AN10-AN11)*(1-'Structure de coûts RTE'!$B$16)</f>
        <v>4800.9481627296591</v>
      </c>
      <c r="AO13" s="34">
        <f>(AO10-AO11)*(1-'Structure de coûts RTE'!$B$16)</f>
        <v>4800.9481627296591</v>
      </c>
      <c r="AP13" s="34">
        <f>(AP10-AP11)*(1-'Structure de coûts RTE'!$B$16)</f>
        <v>4800.9481627296591</v>
      </c>
    </row>
    <row r="14" spans="1:45" ht="6" customHeight="1" x14ac:dyDescent="0.25">
      <c r="A14" s="1"/>
      <c r="B14" s="1"/>
      <c r="C14" s="1"/>
      <c r="D14" s="1"/>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row>
    <row r="15" spans="1:45" x14ac:dyDescent="0.25">
      <c r="A15" s="16" t="s">
        <v>5</v>
      </c>
      <c r="B15" s="17"/>
      <c r="C15" s="17"/>
      <c r="D15" s="17"/>
      <c r="E15" s="56">
        <f>SUM(E16:E18)</f>
        <v>1642.5</v>
      </c>
      <c r="F15" s="56">
        <f t="shared" ref="F15:AO15" si="6">SUM(F16:F18)</f>
        <v>1622.8547954173671</v>
      </c>
      <c r="G15" s="56">
        <f t="shared" si="6"/>
        <v>1603.2095908347342</v>
      </c>
      <c r="H15" s="56">
        <f t="shared" si="6"/>
        <v>1583.564386252101</v>
      </c>
      <c r="I15" s="56">
        <f t="shared" si="6"/>
        <v>1563.9191816694683</v>
      </c>
      <c r="J15" s="56">
        <f t="shared" si="6"/>
        <v>1544.2739770868352</v>
      </c>
      <c r="K15" s="56">
        <f t="shared" si="6"/>
        <v>1524.6287725042021</v>
      </c>
      <c r="L15" s="56">
        <f t="shared" si="6"/>
        <v>1504.9835679215694</v>
      </c>
      <c r="M15" s="56">
        <f t="shared" si="6"/>
        <v>1485.3383633389362</v>
      </c>
      <c r="N15" s="56">
        <f t="shared" si="6"/>
        <v>1465.6931587563033</v>
      </c>
      <c r="O15" s="56">
        <f t="shared" si="6"/>
        <v>1446.0479541736704</v>
      </c>
      <c r="P15" s="56">
        <v>1426.4027495910375</v>
      </c>
      <c r="Q15" s="56">
        <f t="shared" si="6"/>
        <v>1449.9257797035448</v>
      </c>
      <c r="R15" s="56">
        <f t="shared" si="6"/>
        <v>1473.4488098160521</v>
      </c>
      <c r="S15" s="56">
        <f t="shared" si="6"/>
        <v>1496.9718399285591</v>
      </c>
      <c r="T15" s="56">
        <v>1426.4027495910375</v>
      </c>
      <c r="U15" s="56">
        <f t="shared" si="6"/>
        <v>1544.0179001535735</v>
      </c>
      <c r="V15" s="56">
        <f t="shared" si="6"/>
        <v>1567.540930266081</v>
      </c>
      <c r="W15" s="56">
        <f t="shared" si="6"/>
        <v>1591.063960378588</v>
      </c>
      <c r="X15" s="56">
        <f t="shared" si="6"/>
        <v>1614.5869904910953</v>
      </c>
      <c r="Y15" s="56">
        <f t="shared" si="6"/>
        <v>1638.1100206036026</v>
      </c>
      <c r="Z15" s="56">
        <f t="shared" si="6"/>
        <v>1661.6330507161099</v>
      </c>
      <c r="AA15" s="56">
        <f t="shared" si="6"/>
        <v>1685.1560808286172</v>
      </c>
      <c r="AB15" s="56">
        <f t="shared" si="6"/>
        <v>1708.6791109411242</v>
      </c>
      <c r="AC15" s="56">
        <f t="shared" si="6"/>
        <v>1732.2021410536313</v>
      </c>
      <c r="AD15" s="56">
        <f t="shared" si="6"/>
        <v>1755.7251711661388</v>
      </c>
      <c r="AE15" s="56">
        <f t="shared" si="6"/>
        <v>1779.2482012786459</v>
      </c>
      <c r="AF15" s="56">
        <f t="shared" si="6"/>
        <v>1802.7712313911532</v>
      </c>
      <c r="AG15" s="56">
        <f t="shared" si="6"/>
        <v>1826.2942615036604</v>
      </c>
      <c r="AH15" s="56">
        <v>1849.8172916161673</v>
      </c>
      <c r="AI15" s="56">
        <f t="shared" si="6"/>
        <v>1898.2040375341303</v>
      </c>
      <c r="AJ15" s="56">
        <f t="shared" si="6"/>
        <v>1946.5907834520935</v>
      </c>
      <c r="AK15" s="56">
        <f t="shared" si="6"/>
        <v>1994.9775293700563</v>
      </c>
      <c r="AL15" s="56">
        <f t="shared" si="6"/>
        <v>2043.3642752880196</v>
      </c>
      <c r="AM15" s="56">
        <f t="shared" si="6"/>
        <v>2091.7510212059824</v>
      </c>
      <c r="AN15" s="56">
        <v>2140.1377671239452</v>
      </c>
      <c r="AO15" s="56">
        <f t="shared" si="6"/>
        <v>2393.5273087792084</v>
      </c>
      <c r="AP15" s="56">
        <v>2646.9168504344711</v>
      </c>
    </row>
    <row r="16" spans="1:45" x14ac:dyDescent="0.25">
      <c r="A16" s="1" t="s">
        <v>26</v>
      </c>
      <c r="B16" s="1"/>
      <c r="C16" s="1"/>
      <c r="D16" s="1"/>
      <c r="E16" s="34">
        <f>'Structure de coûts RTE'!B23/2</f>
        <v>750</v>
      </c>
      <c r="F16" s="52">
        <f>E16+($P16-$E16)/(2024-2013)</f>
        <v>741.02958694856943</v>
      </c>
      <c r="G16" s="52">
        <f t="shared" ref="G16:O16" si="7">F16+($P16-$E16)/(2024-2013)</f>
        <v>732.05917389713886</v>
      </c>
      <c r="H16" s="52">
        <f t="shared" si="7"/>
        <v>723.08876084570829</v>
      </c>
      <c r="I16" s="52">
        <f t="shared" si="7"/>
        <v>714.11834779427772</v>
      </c>
      <c r="J16" s="52">
        <f t="shared" si="7"/>
        <v>705.14793474284716</v>
      </c>
      <c r="K16" s="52">
        <f t="shared" si="7"/>
        <v>696.17752169141659</v>
      </c>
      <c r="L16" s="52">
        <f t="shared" si="7"/>
        <v>687.20710863998602</v>
      </c>
      <c r="M16" s="52">
        <f t="shared" si="7"/>
        <v>678.23669558855545</v>
      </c>
      <c r="N16" s="52">
        <f t="shared" si="7"/>
        <v>669.26628253712488</v>
      </c>
      <c r="O16" s="52">
        <f t="shared" si="7"/>
        <v>660.29586948569431</v>
      </c>
      <c r="P16" s="41">
        <f>$E16/$E$15*P$15</f>
        <v>651.32545643426363</v>
      </c>
      <c r="Q16" s="52">
        <f>P16+($AH16-$P16)/(2042-2024)</f>
        <v>662.06656607467789</v>
      </c>
      <c r="R16" s="52">
        <f t="shared" ref="R16:AG18" si="8">Q16+($AH16-$P16)/(2042-2024)</f>
        <v>672.80767571509216</v>
      </c>
      <c r="S16" s="52">
        <f t="shared" si="8"/>
        <v>683.54878535550642</v>
      </c>
      <c r="T16" s="52">
        <f t="shared" si="8"/>
        <v>694.28989499592069</v>
      </c>
      <c r="U16" s="52">
        <f t="shared" si="8"/>
        <v>705.03100463633496</v>
      </c>
      <c r="V16" s="52">
        <f t="shared" si="8"/>
        <v>715.77211427674922</v>
      </c>
      <c r="W16" s="52">
        <f t="shared" si="8"/>
        <v>726.51322391716349</v>
      </c>
      <c r="X16" s="52">
        <f t="shared" si="8"/>
        <v>737.25433355757775</v>
      </c>
      <c r="Y16" s="52">
        <f t="shared" si="8"/>
        <v>747.99544319799202</v>
      </c>
      <c r="Z16" s="52">
        <f t="shared" si="8"/>
        <v>758.73655283840628</v>
      </c>
      <c r="AA16" s="52">
        <f t="shared" si="8"/>
        <v>769.47766247882055</v>
      </c>
      <c r="AB16" s="52">
        <f t="shared" si="8"/>
        <v>780.21877211923481</v>
      </c>
      <c r="AC16" s="52">
        <f t="shared" si="8"/>
        <v>790.95988175964908</v>
      </c>
      <c r="AD16" s="52">
        <f t="shared" si="8"/>
        <v>801.70099140006334</v>
      </c>
      <c r="AE16" s="52">
        <f t="shared" si="8"/>
        <v>812.44210104047761</v>
      </c>
      <c r="AF16" s="52">
        <f t="shared" si="8"/>
        <v>823.18321068089188</v>
      </c>
      <c r="AG16" s="52">
        <f t="shared" si="8"/>
        <v>833.92432032130614</v>
      </c>
      <c r="AH16" s="41">
        <f>$E16/$E$15*AH$15</f>
        <v>844.66542996172018</v>
      </c>
      <c r="AI16" s="52">
        <f>AH16+($AN16-$AH16)/(2048-2042)</f>
        <v>866.75983449047044</v>
      </c>
      <c r="AJ16" s="52">
        <f t="shared" ref="AJ16:AM16" si="9">AI16+($AN16-$AH16)/(2048-2042)</f>
        <v>888.8542390192207</v>
      </c>
      <c r="AK16" s="52">
        <f t="shared" si="9"/>
        <v>910.94864354797096</v>
      </c>
      <c r="AL16" s="52">
        <f t="shared" si="9"/>
        <v>933.04304807672122</v>
      </c>
      <c r="AM16" s="52">
        <f t="shared" si="9"/>
        <v>955.13745260547148</v>
      </c>
      <c r="AN16" s="41">
        <f>$E16/$E$15*AN$15</f>
        <v>977.23185713422151</v>
      </c>
      <c r="AO16" s="52">
        <f t="shared" ref="AO16:AO18" si="10">(AN16+AP16)/2</f>
        <v>1092.9348441914192</v>
      </c>
      <c r="AP16" s="41">
        <f>$E16/$E$15*AP$15</f>
        <v>1208.637831248617</v>
      </c>
    </row>
    <row r="17" spans="1:42" x14ac:dyDescent="0.25">
      <c r="A17" s="1" t="s">
        <v>54</v>
      </c>
      <c r="B17" s="1"/>
      <c r="C17" s="1"/>
      <c r="D17" s="1"/>
      <c r="E17" s="34">
        <f>'Structure de coûts RTE'!$B$24/2*'Structure de coûts RTE'!$B$16</f>
        <v>392.37204724409452</v>
      </c>
      <c r="F17" s="52">
        <f t="shared" ref="F17:O17" si="11">E17+($P17-$E17)/(2024-2013)</f>
        <v>387.67906146594123</v>
      </c>
      <c r="G17" s="52">
        <f t="shared" si="11"/>
        <v>382.98607568778795</v>
      </c>
      <c r="H17" s="52">
        <f t="shared" si="11"/>
        <v>378.29308990963466</v>
      </c>
      <c r="I17" s="52">
        <f t="shared" si="11"/>
        <v>373.60010413148137</v>
      </c>
      <c r="J17" s="52">
        <f t="shared" si="11"/>
        <v>368.90711835332809</v>
      </c>
      <c r="K17" s="52">
        <f t="shared" si="11"/>
        <v>364.2141325751748</v>
      </c>
      <c r="L17" s="52">
        <f t="shared" si="11"/>
        <v>359.52114679702152</v>
      </c>
      <c r="M17" s="52">
        <f t="shared" si="11"/>
        <v>354.82816101886823</v>
      </c>
      <c r="N17" s="52">
        <f t="shared" si="11"/>
        <v>350.13517524071494</v>
      </c>
      <c r="O17" s="52">
        <f t="shared" si="11"/>
        <v>345.44218946256166</v>
      </c>
      <c r="P17" s="41">
        <f>$E17/$E$15*P$15</f>
        <v>340.74920368440843</v>
      </c>
      <c r="Q17" s="52">
        <f t="shared" ref="Q17:AF18" si="12">P17+($AH17-$P17)/(2042-2024)</f>
        <v>346.36855192345195</v>
      </c>
      <c r="R17" s="52">
        <f t="shared" si="12"/>
        <v>351.98790016249546</v>
      </c>
      <c r="S17" s="52">
        <f t="shared" si="12"/>
        <v>357.60724840153898</v>
      </c>
      <c r="T17" s="52">
        <f t="shared" si="12"/>
        <v>363.2265966405825</v>
      </c>
      <c r="U17" s="52">
        <f t="shared" si="12"/>
        <v>368.84594487962602</v>
      </c>
      <c r="V17" s="52">
        <f t="shared" si="12"/>
        <v>374.46529311866954</v>
      </c>
      <c r="W17" s="52">
        <f t="shared" si="12"/>
        <v>380.08464135771305</v>
      </c>
      <c r="X17" s="52">
        <f t="shared" si="12"/>
        <v>385.70398959675657</v>
      </c>
      <c r="Y17" s="52">
        <f t="shared" si="12"/>
        <v>391.32333783580009</v>
      </c>
      <c r="Z17" s="52">
        <f t="shared" si="12"/>
        <v>396.94268607484361</v>
      </c>
      <c r="AA17" s="52">
        <f t="shared" si="12"/>
        <v>402.56203431388712</v>
      </c>
      <c r="AB17" s="52">
        <f t="shared" si="12"/>
        <v>408.18138255293064</v>
      </c>
      <c r="AC17" s="52">
        <f t="shared" si="12"/>
        <v>413.80073079197416</v>
      </c>
      <c r="AD17" s="52">
        <f t="shared" si="12"/>
        <v>419.42007903101768</v>
      </c>
      <c r="AE17" s="52">
        <f t="shared" si="12"/>
        <v>425.0394272700612</v>
      </c>
      <c r="AF17" s="52">
        <f t="shared" si="12"/>
        <v>430.65877550910471</v>
      </c>
      <c r="AG17" s="52">
        <f t="shared" si="8"/>
        <v>436.27812374814823</v>
      </c>
      <c r="AH17" s="41">
        <f>$E17/$E$15*AH$15</f>
        <v>441.8974719871913</v>
      </c>
      <c r="AI17" s="52">
        <f t="shared" ref="AI17:AM18" si="13">AH17+($AN17-$AH17)/(2048-2042)</f>
        <v>453.45644097063786</v>
      </c>
      <c r="AJ17" s="52">
        <f t="shared" si="13"/>
        <v>465.01540995408442</v>
      </c>
      <c r="AK17" s="52">
        <f t="shared" si="13"/>
        <v>476.57437893753098</v>
      </c>
      <c r="AL17" s="52">
        <f t="shared" si="13"/>
        <v>488.13334792097754</v>
      </c>
      <c r="AM17" s="52">
        <f t="shared" si="13"/>
        <v>499.6923169044241</v>
      </c>
      <c r="AN17" s="41">
        <f>$E17/$E$15*AN$15</f>
        <v>511.25128588787067</v>
      </c>
      <c r="AO17" s="52">
        <f t="shared" si="10"/>
        <v>571.78277642639023</v>
      </c>
      <c r="AP17" s="41">
        <f>$E17/$E$15*AP$15</f>
        <v>632.31426696490973</v>
      </c>
    </row>
    <row r="18" spans="1:42" x14ac:dyDescent="0.25">
      <c r="A18" s="1" t="s">
        <v>55</v>
      </c>
      <c r="B18" s="1"/>
      <c r="C18" s="1"/>
      <c r="D18" s="1"/>
      <c r="E18" s="34">
        <f>'Structure de coûts RTE'!$B$24/2*(1-'Structure de coûts RTE'!$B$16)</f>
        <v>500.12795275590554</v>
      </c>
      <c r="F18" s="52">
        <f>E18+($P18-$E18)/(2024-2013)</f>
        <v>494.14614700285642</v>
      </c>
      <c r="G18" s="52">
        <f t="shared" ref="G18:O18" si="14">F18+($P18-$E18)/(2024-2013)</f>
        <v>488.16434124980731</v>
      </c>
      <c r="H18" s="52">
        <f t="shared" si="14"/>
        <v>482.18253549675819</v>
      </c>
      <c r="I18" s="52">
        <f t="shared" si="14"/>
        <v>476.20072974370908</v>
      </c>
      <c r="J18" s="52">
        <f t="shared" si="14"/>
        <v>470.21892399065996</v>
      </c>
      <c r="K18" s="52">
        <f t="shared" si="14"/>
        <v>464.23711823761084</v>
      </c>
      <c r="L18" s="52">
        <f t="shared" si="14"/>
        <v>458.25531248456173</v>
      </c>
      <c r="M18" s="52">
        <f t="shared" si="14"/>
        <v>452.27350673151261</v>
      </c>
      <c r="N18" s="52">
        <f t="shared" si="14"/>
        <v>446.2917009784635</v>
      </c>
      <c r="O18" s="52">
        <f t="shared" si="14"/>
        <v>440.30989522541438</v>
      </c>
      <c r="P18" s="41">
        <f>$E18/$E$15*P$15</f>
        <v>434.32808947236543</v>
      </c>
      <c r="Q18" s="52">
        <f t="shared" si="12"/>
        <v>441.49066170541488</v>
      </c>
      <c r="R18" s="52">
        <f t="shared" si="8"/>
        <v>448.65323393846433</v>
      </c>
      <c r="S18" s="52">
        <f t="shared" si="8"/>
        <v>455.81580617151377</v>
      </c>
      <c r="T18" s="52">
        <f t="shared" si="8"/>
        <v>462.97837840456322</v>
      </c>
      <c r="U18" s="52">
        <f t="shared" si="8"/>
        <v>470.14095063761266</v>
      </c>
      <c r="V18" s="52">
        <f t="shared" si="8"/>
        <v>477.30352287066211</v>
      </c>
      <c r="W18" s="52">
        <f t="shared" si="8"/>
        <v>484.46609510371155</v>
      </c>
      <c r="X18" s="52">
        <f t="shared" si="8"/>
        <v>491.628667336761</v>
      </c>
      <c r="Y18" s="52">
        <f t="shared" si="8"/>
        <v>498.79123956981044</v>
      </c>
      <c r="Z18" s="52">
        <f t="shared" si="8"/>
        <v>505.95381180285989</v>
      </c>
      <c r="AA18" s="52">
        <f t="shared" si="8"/>
        <v>513.11638403590939</v>
      </c>
      <c r="AB18" s="52">
        <f t="shared" si="8"/>
        <v>520.27895626895884</v>
      </c>
      <c r="AC18" s="52">
        <f t="shared" si="8"/>
        <v>527.44152850200828</v>
      </c>
      <c r="AD18" s="52">
        <f t="shared" si="8"/>
        <v>534.60410073505773</v>
      </c>
      <c r="AE18" s="52">
        <f t="shared" si="8"/>
        <v>541.76667296810717</v>
      </c>
      <c r="AF18" s="52">
        <f t="shared" si="8"/>
        <v>548.92924520115662</v>
      </c>
      <c r="AG18" s="52">
        <f t="shared" si="8"/>
        <v>556.09181743420606</v>
      </c>
      <c r="AH18" s="41">
        <f>$E18/$E$15*AH$15</f>
        <v>563.25438966725585</v>
      </c>
      <c r="AI18" s="52">
        <f t="shared" si="13"/>
        <v>577.98776207302205</v>
      </c>
      <c r="AJ18" s="52">
        <f t="shared" si="13"/>
        <v>592.72113447878826</v>
      </c>
      <c r="AK18" s="52">
        <f t="shared" si="13"/>
        <v>607.45450688455446</v>
      </c>
      <c r="AL18" s="52">
        <f t="shared" si="13"/>
        <v>622.18787929032067</v>
      </c>
      <c r="AM18" s="52">
        <f t="shared" si="13"/>
        <v>636.92125169608687</v>
      </c>
      <c r="AN18" s="41">
        <f>$E18/$E$15*AN$15</f>
        <v>651.65462410185307</v>
      </c>
      <c r="AO18" s="52">
        <f t="shared" si="10"/>
        <v>728.80968816139887</v>
      </c>
      <c r="AP18" s="41">
        <f>$E18/$E$15*AP$15</f>
        <v>805.96475222094466</v>
      </c>
    </row>
    <row r="19" spans="1:42" x14ac:dyDescent="0.25">
      <c r="A19" s="1"/>
      <c r="B19" s="1"/>
      <c r="C19" s="1"/>
      <c r="D19" s="1"/>
      <c r="E19" s="34"/>
      <c r="F19" s="52"/>
      <c r="G19" s="52"/>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41"/>
    </row>
    <row r="20" spans="1:42" x14ac:dyDescent="0.25">
      <c r="A20" s="38" t="s">
        <v>114</v>
      </c>
      <c r="B20" s="39">
        <f t="shared" ref="B20:AO20" si="15">B21+B26</f>
        <v>0</v>
      </c>
      <c r="C20" s="39">
        <f t="shared" si="15"/>
        <v>0.4333916083916084</v>
      </c>
      <c r="D20" s="39">
        <f t="shared" si="15"/>
        <v>0.86678321678321679</v>
      </c>
      <c r="E20" s="39">
        <f t="shared" si="15"/>
        <v>1.3001748251748251</v>
      </c>
      <c r="F20" s="39">
        <f t="shared" si="15"/>
        <v>1.7335664335664336</v>
      </c>
      <c r="G20" s="39">
        <f t="shared" si="15"/>
        <v>5.5241008991008993</v>
      </c>
      <c r="H20" s="39">
        <f t="shared" si="15"/>
        <v>22.743206793206792</v>
      </c>
      <c r="I20" s="39">
        <f t="shared" si="15"/>
        <v>53.390884115884113</v>
      </c>
      <c r="J20" s="39">
        <f t="shared" si="15"/>
        <v>107.53856143856143</v>
      </c>
      <c r="K20" s="39">
        <f t="shared" si="15"/>
        <v>161.68623876123874</v>
      </c>
      <c r="L20" s="39">
        <f t="shared" si="15"/>
        <v>212.47677322677322</v>
      </c>
      <c r="M20" s="39">
        <f t="shared" si="15"/>
        <v>239.7673076923077</v>
      </c>
      <c r="N20" s="39">
        <f t="shared" si="15"/>
        <v>240.20069930069931</v>
      </c>
      <c r="O20" s="39">
        <f t="shared" si="15"/>
        <v>240.6340909090909</v>
      </c>
      <c r="P20" s="39">
        <f t="shared" si="15"/>
        <v>241.06748251748252</v>
      </c>
      <c r="Q20" s="39">
        <f t="shared" si="15"/>
        <v>241.50087412587413</v>
      </c>
      <c r="R20" s="39">
        <f t="shared" si="15"/>
        <v>241.93426573426572</v>
      </c>
      <c r="S20" s="39">
        <f t="shared" si="15"/>
        <v>242.36765734265734</v>
      </c>
      <c r="T20" s="39">
        <f t="shared" si="15"/>
        <v>242.80104895104895</v>
      </c>
      <c r="U20" s="39">
        <f t="shared" si="15"/>
        <v>243.23444055944057</v>
      </c>
      <c r="V20" s="39">
        <f t="shared" si="15"/>
        <v>243.66783216783216</v>
      </c>
      <c r="W20" s="39">
        <f t="shared" si="15"/>
        <v>244.90944055944055</v>
      </c>
      <c r="X20" s="39">
        <f t="shared" si="15"/>
        <v>246.15104895104895</v>
      </c>
      <c r="Y20" s="39">
        <f t="shared" si="15"/>
        <v>247.39265734265734</v>
      </c>
      <c r="Z20" s="39">
        <f t="shared" si="15"/>
        <v>248.63426573426574</v>
      </c>
      <c r="AA20" s="39">
        <f t="shared" si="15"/>
        <v>306.51873126873124</v>
      </c>
      <c r="AB20" s="39">
        <f t="shared" si="15"/>
        <v>350.97462537462536</v>
      </c>
      <c r="AC20" s="39">
        <f t="shared" si="15"/>
        <v>382.00194805194803</v>
      </c>
      <c r="AD20" s="39">
        <f t="shared" si="15"/>
        <v>389.52927072927076</v>
      </c>
      <c r="AE20" s="39">
        <f t="shared" si="15"/>
        <v>397.05659340659344</v>
      </c>
      <c r="AF20" s="39">
        <f t="shared" si="15"/>
        <v>407.941058941059</v>
      </c>
      <c r="AG20" s="39">
        <f t="shared" si="15"/>
        <v>442.3255244755245</v>
      </c>
      <c r="AH20" s="39">
        <f t="shared" si="15"/>
        <v>443.56713286713284</v>
      </c>
      <c r="AI20" s="39">
        <f t="shared" si="15"/>
        <v>444.80874125874124</v>
      </c>
      <c r="AJ20" s="39">
        <f t="shared" si="15"/>
        <v>446.05034965034963</v>
      </c>
      <c r="AK20" s="39">
        <f t="shared" si="15"/>
        <v>447.29195804195803</v>
      </c>
      <c r="AL20" s="39">
        <f t="shared" si="15"/>
        <v>448.53356643356642</v>
      </c>
      <c r="AM20" s="39">
        <f t="shared" si="15"/>
        <v>449.77517482517482</v>
      </c>
      <c r="AN20" s="39">
        <f t="shared" si="15"/>
        <v>451.01678321678321</v>
      </c>
      <c r="AO20" s="39">
        <f t="shared" si="15"/>
        <v>452.25839160839161</v>
      </c>
      <c r="AP20" s="39">
        <f>AP21+AP26</f>
        <v>453.5</v>
      </c>
    </row>
    <row r="21" spans="1:42" x14ac:dyDescent="0.25">
      <c r="A21" s="18" t="s">
        <v>0</v>
      </c>
      <c r="B21" s="114"/>
      <c r="C21" s="114"/>
      <c r="D21" s="114"/>
      <c r="E21" s="114">
        <f>E22+E24</f>
        <v>0</v>
      </c>
      <c r="F21" s="114">
        <f t="shared" ref="F21:AP21" si="16">F22+F24</f>
        <v>0</v>
      </c>
      <c r="G21" s="114">
        <f t="shared" si="16"/>
        <v>3.3571428571428568</v>
      </c>
      <c r="H21" s="114">
        <f t="shared" si="16"/>
        <v>20.142857142857142</v>
      </c>
      <c r="I21" s="114">
        <f t="shared" si="16"/>
        <v>50.357142857142854</v>
      </c>
      <c r="J21" s="114">
        <f t="shared" si="16"/>
        <v>104.07142857142857</v>
      </c>
      <c r="K21" s="114">
        <f t="shared" si="16"/>
        <v>157.78571428571428</v>
      </c>
      <c r="L21" s="114">
        <f t="shared" si="16"/>
        <v>208.14285714285714</v>
      </c>
      <c r="M21" s="114">
        <f t="shared" si="16"/>
        <v>235</v>
      </c>
      <c r="N21" s="114">
        <f t="shared" si="16"/>
        <v>235</v>
      </c>
      <c r="O21" s="114">
        <f t="shared" si="16"/>
        <v>235</v>
      </c>
      <c r="P21" s="114">
        <f t="shared" si="16"/>
        <v>235</v>
      </c>
      <c r="Q21" s="114">
        <f t="shared" si="16"/>
        <v>235</v>
      </c>
      <c r="R21" s="114">
        <f t="shared" si="16"/>
        <v>235</v>
      </c>
      <c r="S21" s="114">
        <f t="shared" si="16"/>
        <v>235</v>
      </c>
      <c r="T21" s="114">
        <f t="shared" si="16"/>
        <v>235</v>
      </c>
      <c r="U21" s="114">
        <f t="shared" si="16"/>
        <v>235</v>
      </c>
      <c r="V21" s="114">
        <f t="shared" si="16"/>
        <v>235</v>
      </c>
      <c r="W21" s="114">
        <f t="shared" si="16"/>
        <v>235</v>
      </c>
      <c r="X21" s="114">
        <f t="shared" si="16"/>
        <v>235</v>
      </c>
      <c r="Y21" s="114">
        <f t="shared" si="16"/>
        <v>235</v>
      </c>
      <c r="Z21" s="114">
        <f t="shared" si="16"/>
        <v>235</v>
      </c>
      <c r="AA21" s="114">
        <f t="shared" si="16"/>
        <v>291.64285714285711</v>
      </c>
      <c r="AB21" s="114">
        <f t="shared" si="16"/>
        <v>334.85714285714283</v>
      </c>
      <c r="AC21" s="114">
        <f t="shared" si="16"/>
        <v>364.64285714285711</v>
      </c>
      <c r="AD21" s="114">
        <f t="shared" si="16"/>
        <v>370.92857142857144</v>
      </c>
      <c r="AE21" s="114">
        <f t="shared" si="16"/>
        <v>377.21428571428572</v>
      </c>
      <c r="AF21" s="114">
        <f t="shared" si="16"/>
        <v>386.85714285714289</v>
      </c>
      <c r="AG21" s="114">
        <f t="shared" si="16"/>
        <v>420</v>
      </c>
      <c r="AH21" s="114">
        <f t="shared" si="16"/>
        <v>420</v>
      </c>
      <c r="AI21" s="114">
        <f t="shared" si="16"/>
        <v>420</v>
      </c>
      <c r="AJ21" s="114">
        <f t="shared" si="16"/>
        <v>420</v>
      </c>
      <c r="AK21" s="114">
        <f t="shared" si="16"/>
        <v>420</v>
      </c>
      <c r="AL21" s="114">
        <f t="shared" si="16"/>
        <v>420</v>
      </c>
      <c r="AM21" s="114">
        <f t="shared" si="16"/>
        <v>420</v>
      </c>
      <c r="AN21" s="114">
        <f t="shared" si="16"/>
        <v>420</v>
      </c>
      <c r="AO21" s="114">
        <f t="shared" si="16"/>
        <v>420</v>
      </c>
      <c r="AP21" s="114">
        <f t="shared" si="16"/>
        <v>420</v>
      </c>
    </row>
    <row r="22" spans="1:42" x14ac:dyDescent="0.25">
      <c r="A22" s="1" t="s">
        <v>26</v>
      </c>
      <c r="B22" s="52"/>
      <c r="C22" s="52"/>
      <c r="D22" s="52"/>
      <c r="E22" s="28">
        <v>0</v>
      </c>
      <c r="F22" s="28">
        <v>0</v>
      </c>
      <c r="G22" s="28">
        <f>'Données Linky'!B22</f>
        <v>3.3571428571428568</v>
      </c>
      <c r="H22" s="28">
        <f>'Données Linky'!C22</f>
        <v>20.142857142857142</v>
      </c>
      <c r="I22" s="28">
        <f>'Données Linky'!D22</f>
        <v>50.357142857142854</v>
      </c>
      <c r="J22" s="28">
        <f>'Données Linky'!E22</f>
        <v>104.07142857142857</v>
      </c>
      <c r="K22" s="28">
        <f>'Données Linky'!F22</f>
        <v>157.78571428571428</v>
      </c>
      <c r="L22" s="28">
        <f>'Données Linky'!G22</f>
        <v>208.14285714285714</v>
      </c>
      <c r="M22" s="28">
        <f>'Données Linky'!H22</f>
        <v>235</v>
      </c>
      <c r="N22" s="28">
        <f>'Données Linky'!I22</f>
        <v>235</v>
      </c>
      <c r="O22" s="28">
        <f>'Données Linky'!J22</f>
        <v>235</v>
      </c>
      <c r="P22" s="28">
        <f>'Données Linky'!K22</f>
        <v>235</v>
      </c>
      <c r="Q22" s="28">
        <f>'Données Linky'!L22</f>
        <v>235</v>
      </c>
      <c r="R22" s="28">
        <f>'Données Linky'!M22</f>
        <v>235</v>
      </c>
      <c r="S22" s="28">
        <f>'Données Linky'!N22</f>
        <v>235</v>
      </c>
      <c r="T22" s="28">
        <f>'Données Linky'!O22</f>
        <v>235</v>
      </c>
      <c r="U22" s="28">
        <f>'Données Linky'!P22</f>
        <v>235</v>
      </c>
      <c r="V22" s="28">
        <f>'Données Linky'!Q22</f>
        <v>235</v>
      </c>
      <c r="W22" s="28">
        <f>'Données Linky'!R22</f>
        <v>235</v>
      </c>
      <c r="X22" s="28">
        <f>'Données Linky'!S22</f>
        <v>235</v>
      </c>
      <c r="Y22" s="28">
        <f>'Données Linky'!T22</f>
        <v>235</v>
      </c>
      <c r="Z22" s="28">
        <f>'Données Linky'!U22</f>
        <v>235</v>
      </c>
      <c r="AA22" s="28">
        <f>'Données Linky'!V22</f>
        <v>291.64285714285711</v>
      </c>
      <c r="AB22" s="28">
        <f>'Données Linky'!W22</f>
        <v>334.85714285714283</v>
      </c>
      <c r="AC22" s="28">
        <f>'Données Linky'!X22</f>
        <v>364.64285714285711</v>
      </c>
      <c r="AD22" s="28">
        <f>'Données Linky'!Y22</f>
        <v>370.92857142857144</v>
      </c>
      <c r="AE22" s="28">
        <f>'Données Linky'!Z22</f>
        <v>377.21428571428572</v>
      </c>
      <c r="AF22" s="28">
        <f>'Données Linky'!AA22</f>
        <v>386.85714285714289</v>
      </c>
      <c r="AG22" s="28">
        <v>420</v>
      </c>
      <c r="AH22" s="28">
        <v>420</v>
      </c>
      <c r="AI22" s="28">
        <v>420</v>
      </c>
      <c r="AJ22" s="28">
        <v>420</v>
      </c>
      <c r="AK22" s="28">
        <v>420</v>
      </c>
      <c r="AL22" s="28">
        <v>420</v>
      </c>
      <c r="AM22" s="28">
        <v>420</v>
      </c>
      <c r="AN22" s="28">
        <v>420</v>
      </c>
      <c r="AO22" s="28">
        <v>420</v>
      </c>
      <c r="AP22" s="28">
        <v>420</v>
      </c>
    </row>
    <row r="23" spans="1:42" x14ac:dyDescent="0.25">
      <c r="A23" s="1" t="s">
        <v>117</v>
      </c>
      <c r="B23" s="52"/>
      <c r="C23" s="52"/>
      <c r="D23" s="52"/>
      <c r="E23" s="28">
        <v>0</v>
      </c>
      <c r="F23" s="28">
        <v>0</v>
      </c>
      <c r="G23" s="28">
        <f>'Données Linky'!B12/1000000</f>
        <v>67.142857142857139</v>
      </c>
      <c r="H23" s="28">
        <f>'Données Linky'!C12/1000000</f>
        <v>335.71428571428567</v>
      </c>
      <c r="I23" s="28">
        <f>'Données Linky'!D12/1000000</f>
        <v>604.28571428571411</v>
      </c>
      <c r="J23" s="28">
        <f>'Données Linky'!E12/1000000</f>
        <v>1074.2857142857142</v>
      </c>
      <c r="K23" s="28">
        <f>'Données Linky'!F12/1000000</f>
        <v>1074.2857142857142</v>
      </c>
      <c r="L23" s="28">
        <f>'Données Linky'!G12/1000000</f>
        <v>1007.1428571428571</v>
      </c>
      <c r="M23" s="28">
        <f>'Données Linky'!H12/1000000</f>
        <v>537.14285714285711</v>
      </c>
      <c r="N23" s="28">
        <f>'Données Linky'!I12/1000000</f>
        <v>0</v>
      </c>
      <c r="O23" s="28">
        <f>'Données Linky'!J12/1000000</f>
        <v>0</v>
      </c>
      <c r="P23" s="28">
        <f>'Données Linky'!K12/1000000</f>
        <v>0</v>
      </c>
      <c r="Q23" s="28">
        <f>'Données Linky'!L12/1000000</f>
        <v>0</v>
      </c>
      <c r="R23" s="28">
        <f>'Données Linky'!M12/1000000</f>
        <v>0</v>
      </c>
      <c r="S23" s="28">
        <f>'Données Linky'!N12/1000000</f>
        <v>0</v>
      </c>
      <c r="T23" s="28">
        <f>'Données Linky'!O12/1000000</f>
        <v>0</v>
      </c>
      <c r="U23" s="28">
        <f>'Données Linky'!P12/1000000</f>
        <v>0</v>
      </c>
      <c r="V23" s="28">
        <f>'Données Linky'!Q12/1000000</f>
        <v>0</v>
      </c>
      <c r="W23" s="28">
        <f>'Données Linky'!R12/1000000</f>
        <v>0</v>
      </c>
      <c r="X23" s="28">
        <f>'Données Linky'!S12/1000000</f>
        <v>0</v>
      </c>
      <c r="Y23" s="28">
        <f>'Données Linky'!T12/1000000</f>
        <v>0</v>
      </c>
      <c r="Z23" s="28">
        <f>'Données Linky'!U12/1000000</f>
        <v>0</v>
      </c>
      <c r="AA23" s="28">
        <f>'Données Linky'!V12/1000000</f>
        <v>0</v>
      </c>
      <c r="AB23" s="28">
        <f>G23/134*150</f>
        <v>75.159914712153508</v>
      </c>
      <c r="AC23" s="28">
        <f t="shared" ref="AC23:AH23" si="17">H23/134*150</f>
        <v>375.7995735607675</v>
      </c>
      <c r="AD23" s="28">
        <f t="shared" si="17"/>
        <v>676.43923240938148</v>
      </c>
      <c r="AE23" s="28">
        <f t="shared" si="17"/>
        <v>1202.5586353944561</v>
      </c>
      <c r="AF23" s="28">
        <f t="shared" si="17"/>
        <v>1202.5586353944561</v>
      </c>
      <c r="AG23" s="28">
        <f t="shared" si="17"/>
        <v>1127.3987206823028</v>
      </c>
      <c r="AH23" s="28">
        <f t="shared" si="17"/>
        <v>601.27931769722807</v>
      </c>
      <c r="AI23" s="28">
        <f>N23/134*150</f>
        <v>0</v>
      </c>
      <c r="AJ23" s="28">
        <f t="shared" ref="AJ23:AP23" si="18">O23/134*150</f>
        <v>0</v>
      </c>
      <c r="AK23" s="28">
        <f t="shared" si="18"/>
        <v>0</v>
      </c>
      <c r="AL23" s="28">
        <f t="shared" si="18"/>
        <v>0</v>
      </c>
      <c r="AM23" s="28">
        <f t="shared" si="18"/>
        <v>0</v>
      </c>
      <c r="AN23" s="28">
        <f t="shared" si="18"/>
        <v>0</v>
      </c>
      <c r="AO23" s="28">
        <f t="shared" si="18"/>
        <v>0</v>
      </c>
      <c r="AP23" s="28">
        <f t="shared" si="18"/>
        <v>0</v>
      </c>
    </row>
    <row r="24" spans="1:42" x14ac:dyDescent="0.25">
      <c r="A24" s="1" t="s">
        <v>25</v>
      </c>
      <c r="B24" s="41"/>
      <c r="C24" s="41"/>
      <c r="D24" s="41"/>
      <c r="E24" s="28">
        <v>0</v>
      </c>
      <c r="F24" s="28">
        <v>0</v>
      </c>
      <c r="G24" s="28">
        <v>0</v>
      </c>
      <c r="H24" s="28">
        <v>0</v>
      </c>
      <c r="I24" s="28">
        <v>0</v>
      </c>
      <c r="J24" s="28">
        <v>0</v>
      </c>
      <c r="K24" s="28">
        <v>0</v>
      </c>
      <c r="L24" s="28">
        <v>0</v>
      </c>
      <c r="M24" s="28">
        <v>0</v>
      </c>
      <c r="N24" s="28">
        <v>0</v>
      </c>
      <c r="O24" s="28">
        <v>0</v>
      </c>
      <c r="P24" s="28">
        <v>0</v>
      </c>
      <c r="Q24" s="28">
        <v>0</v>
      </c>
      <c r="R24" s="28">
        <v>0</v>
      </c>
      <c r="S24" s="28">
        <v>0</v>
      </c>
      <c r="T24" s="28">
        <v>0</v>
      </c>
      <c r="U24" s="28">
        <v>0</v>
      </c>
      <c r="V24" s="28">
        <v>0</v>
      </c>
      <c r="W24" s="28">
        <v>0</v>
      </c>
      <c r="X24" s="28">
        <v>0</v>
      </c>
      <c r="Y24" s="28">
        <v>0</v>
      </c>
      <c r="Z24" s="28">
        <v>0</v>
      </c>
      <c r="AA24" s="28">
        <v>0</v>
      </c>
      <c r="AB24" s="28">
        <v>0</v>
      </c>
      <c r="AC24" s="28">
        <v>0</v>
      </c>
      <c r="AD24" s="28">
        <v>0</v>
      </c>
      <c r="AE24" s="28">
        <v>0</v>
      </c>
      <c r="AF24" s="28">
        <v>0</v>
      </c>
      <c r="AG24" s="28">
        <v>0</v>
      </c>
      <c r="AH24" s="28">
        <v>0</v>
      </c>
      <c r="AI24" s="28">
        <v>0</v>
      </c>
      <c r="AJ24" s="28">
        <v>0</v>
      </c>
      <c r="AK24" s="28">
        <v>0</v>
      </c>
      <c r="AL24" s="28">
        <v>0</v>
      </c>
      <c r="AM24" s="28">
        <v>0</v>
      </c>
      <c r="AN24" s="28">
        <v>0</v>
      </c>
      <c r="AO24" s="28">
        <v>0</v>
      </c>
      <c r="AP24" s="28">
        <v>0</v>
      </c>
    </row>
    <row r="25" spans="1:42" ht="6.75" customHeight="1" x14ac:dyDescent="0.25">
      <c r="A25" s="1"/>
      <c r="B25" s="41"/>
      <c r="C25" s="41"/>
      <c r="D25" s="41"/>
      <c r="E25" s="41"/>
      <c r="F25" s="41"/>
      <c r="G25" s="41"/>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row>
    <row r="26" spans="1:42" s="24" customFormat="1" x14ac:dyDescent="0.25">
      <c r="A26" s="16" t="s">
        <v>1</v>
      </c>
      <c r="B26" s="56">
        <f>SUM(B27:B28)</f>
        <v>0</v>
      </c>
      <c r="C26" s="56">
        <f t="shared" ref="C26:AP26" si="19">SUM(C27:C28)</f>
        <v>0.4333916083916084</v>
      </c>
      <c r="D26" s="56">
        <f t="shared" si="19"/>
        <v>0.86678321678321679</v>
      </c>
      <c r="E26" s="56">
        <f t="shared" si="19"/>
        <v>1.3001748251748251</v>
      </c>
      <c r="F26" s="56">
        <f t="shared" si="19"/>
        <v>1.7335664335664336</v>
      </c>
      <c r="G26" s="56">
        <f t="shared" si="19"/>
        <v>2.1669580419580421</v>
      </c>
      <c r="H26" s="56">
        <f t="shared" si="19"/>
        <v>2.6003496503496506</v>
      </c>
      <c r="I26" s="56">
        <f t="shared" si="19"/>
        <v>3.0337412587412591</v>
      </c>
      <c r="J26" s="56">
        <f t="shared" si="19"/>
        <v>3.4671328671328676</v>
      </c>
      <c r="K26" s="56">
        <f t="shared" si="19"/>
        <v>3.9005244755244761</v>
      </c>
      <c r="L26" s="56">
        <f t="shared" si="19"/>
        <v>4.3339160839160842</v>
      </c>
      <c r="M26" s="56">
        <f t="shared" si="19"/>
        <v>4.7673076923076927</v>
      </c>
      <c r="N26" s="56">
        <f t="shared" si="19"/>
        <v>5.2006993006993012</v>
      </c>
      <c r="O26" s="56">
        <f t="shared" si="19"/>
        <v>5.6340909090909097</v>
      </c>
      <c r="P26" s="56">
        <f t="shared" si="19"/>
        <v>6.0674825174825182</v>
      </c>
      <c r="Q26" s="56">
        <f t="shared" si="19"/>
        <v>6.5008741258741267</v>
      </c>
      <c r="R26" s="56">
        <f t="shared" si="19"/>
        <v>6.9342657342657352</v>
      </c>
      <c r="S26" s="56">
        <f t="shared" si="19"/>
        <v>7.3676573426573437</v>
      </c>
      <c r="T26" s="56">
        <f t="shared" si="19"/>
        <v>7.8010489510489522</v>
      </c>
      <c r="U26" s="56">
        <f t="shared" si="19"/>
        <v>8.2344405594405607</v>
      </c>
      <c r="V26" s="56">
        <f t="shared" si="19"/>
        <v>8.6678321678321684</v>
      </c>
      <c r="W26" s="56">
        <f t="shared" si="19"/>
        <v>9.9094405594405597</v>
      </c>
      <c r="X26" s="56">
        <f t="shared" si="19"/>
        <v>11.151048951048951</v>
      </c>
      <c r="Y26" s="56">
        <f t="shared" si="19"/>
        <v>12.392657342657342</v>
      </c>
      <c r="Z26" s="56">
        <f t="shared" si="19"/>
        <v>13.634265734265734</v>
      </c>
      <c r="AA26" s="56">
        <f t="shared" si="19"/>
        <v>14.875874125874125</v>
      </c>
      <c r="AB26" s="56">
        <f t="shared" si="19"/>
        <v>16.117482517482518</v>
      </c>
      <c r="AC26" s="56">
        <f t="shared" si="19"/>
        <v>17.359090909090909</v>
      </c>
      <c r="AD26" s="56">
        <f t="shared" si="19"/>
        <v>18.600699300699301</v>
      </c>
      <c r="AE26" s="56">
        <f t="shared" si="19"/>
        <v>19.842307692307692</v>
      </c>
      <c r="AF26" s="56">
        <f t="shared" si="19"/>
        <v>21.083916083916083</v>
      </c>
      <c r="AG26" s="56">
        <f t="shared" si="19"/>
        <v>22.325524475524475</v>
      </c>
      <c r="AH26" s="56">
        <f t="shared" si="19"/>
        <v>23.567132867132866</v>
      </c>
      <c r="AI26" s="56">
        <f t="shared" si="19"/>
        <v>24.808741258741257</v>
      </c>
      <c r="AJ26" s="56">
        <f t="shared" si="19"/>
        <v>26.050349650349649</v>
      </c>
      <c r="AK26" s="56">
        <f t="shared" si="19"/>
        <v>27.29195804195804</v>
      </c>
      <c r="AL26" s="56">
        <f t="shared" si="19"/>
        <v>28.533566433566431</v>
      </c>
      <c r="AM26" s="56">
        <f t="shared" si="19"/>
        <v>29.775174825174823</v>
      </c>
      <c r="AN26" s="56">
        <f t="shared" si="19"/>
        <v>31.016783216783214</v>
      </c>
      <c r="AO26" s="56">
        <f t="shared" si="19"/>
        <v>32.258391608391605</v>
      </c>
      <c r="AP26" s="56">
        <f t="shared" si="19"/>
        <v>33.5</v>
      </c>
    </row>
    <row r="27" spans="1:42" x14ac:dyDescent="0.25">
      <c r="A27" s="1" t="s">
        <v>26</v>
      </c>
      <c r="B27" s="28">
        <v>0</v>
      </c>
      <c r="C27" s="28">
        <f>B27+($V$27-$B$27)/(2030-2010)</f>
        <v>0.4333916083916084</v>
      </c>
      <c r="D27" s="28">
        <f t="shared" ref="D27:U27" si="20">C27+($V$27-$B$27)/(2030-2010)</f>
        <v>0.86678321678321679</v>
      </c>
      <c r="E27" s="28">
        <f t="shared" si="20"/>
        <v>1.3001748251748251</v>
      </c>
      <c r="F27" s="28">
        <f t="shared" si="20"/>
        <v>1.7335664335664336</v>
      </c>
      <c r="G27" s="28">
        <f t="shared" si="20"/>
        <v>2.1669580419580421</v>
      </c>
      <c r="H27" s="28">
        <f t="shared" si="20"/>
        <v>2.6003496503496506</v>
      </c>
      <c r="I27" s="28">
        <f t="shared" si="20"/>
        <v>3.0337412587412591</v>
      </c>
      <c r="J27" s="28">
        <f t="shared" si="20"/>
        <v>3.4671328671328676</v>
      </c>
      <c r="K27" s="28">
        <f t="shared" si="20"/>
        <v>3.9005244755244761</v>
      </c>
      <c r="L27" s="28">
        <f t="shared" si="20"/>
        <v>4.3339160839160842</v>
      </c>
      <c r="M27" s="28">
        <f t="shared" si="20"/>
        <v>4.7673076923076927</v>
      </c>
      <c r="N27" s="28">
        <f t="shared" si="20"/>
        <v>5.2006993006993012</v>
      </c>
      <c r="O27" s="28">
        <f t="shared" si="20"/>
        <v>5.6340909090909097</v>
      </c>
      <c r="P27" s="28">
        <f t="shared" si="20"/>
        <v>6.0674825174825182</v>
      </c>
      <c r="Q27" s="28">
        <f t="shared" si="20"/>
        <v>6.5008741258741267</v>
      </c>
      <c r="R27" s="28">
        <f t="shared" si="20"/>
        <v>6.9342657342657352</v>
      </c>
      <c r="S27" s="28">
        <f t="shared" si="20"/>
        <v>7.3676573426573437</v>
      </c>
      <c r="T27" s="28">
        <f t="shared" si="20"/>
        <v>7.8010489510489522</v>
      </c>
      <c r="U27" s="28">
        <f t="shared" si="20"/>
        <v>8.2344405594405607</v>
      </c>
      <c r="V27" s="28">
        <f>3.7/14.3*AP27</f>
        <v>8.6678321678321684</v>
      </c>
      <c r="W27" s="28">
        <f>V27+($AP$27-$V$27)/(2050-2030)</f>
        <v>9.9094405594405597</v>
      </c>
      <c r="X27" s="28">
        <f t="shared" ref="X27:AO27" si="21">W27+($AP$27-$V$27)/(2050-2030)</f>
        <v>11.151048951048951</v>
      </c>
      <c r="Y27" s="28">
        <f t="shared" si="21"/>
        <v>12.392657342657342</v>
      </c>
      <c r="Z27" s="28">
        <f t="shared" si="21"/>
        <v>13.634265734265734</v>
      </c>
      <c r="AA27" s="28">
        <f t="shared" si="21"/>
        <v>14.875874125874125</v>
      </c>
      <c r="AB27" s="28">
        <f t="shared" si="21"/>
        <v>16.117482517482518</v>
      </c>
      <c r="AC27" s="28">
        <f t="shared" si="21"/>
        <v>17.359090909090909</v>
      </c>
      <c r="AD27" s="28">
        <f t="shared" si="21"/>
        <v>18.600699300699301</v>
      </c>
      <c r="AE27" s="28">
        <f t="shared" si="21"/>
        <v>19.842307692307692</v>
      </c>
      <c r="AF27" s="28">
        <f t="shared" si="21"/>
        <v>21.083916083916083</v>
      </c>
      <c r="AG27" s="28">
        <f t="shared" si="21"/>
        <v>22.325524475524475</v>
      </c>
      <c r="AH27" s="28">
        <f t="shared" si="21"/>
        <v>23.567132867132866</v>
      </c>
      <c r="AI27" s="28">
        <f t="shared" si="21"/>
        <v>24.808741258741257</v>
      </c>
      <c r="AJ27" s="28">
        <f t="shared" si="21"/>
        <v>26.050349650349649</v>
      </c>
      <c r="AK27" s="28">
        <f t="shared" si="21"/>
        <v>27.29195804195804</v>
      </c>
      <c r="AL27" s="28">
        <f t="shared" si="21"/>
        <v>28.533566433566431</v>
      </c>
      <c r="AM27" s="28">
        <f t="shared" si="21"/>
        <v>29.775174825174823</v>
      </c>
      <c r="AN27" s="28">
        <f t="shared" si="21"/>
        <v>31.016783216783214</v>
      </c>
      <c r="AO27" s="28">
        <f t="shared" si="21"/>
        <v>32.258391608391605</v>
      </c>
      <c r="AP27" s="28">
        <v>33.5</v>
      </c>
    </row>
    <row r="28" spans="1:42" x14ac:dyDescent="0.25">
      <c r="A28" s="1" t="s">
        <v>25</v>
      </c>
      <c r="B28" s="28">
        <v>0</v>
      </c>
      <c r="C28" s="28">
        <v>0</v>
      </c>
      <c r="D28" s="28">
        <v>0</v>
      </c>
      <c r="E28" s="28">
        <v>0</v>
      </c>
      <c r="F28" s="28">
        <v>0</v>
      </c>
      <c r="G28" s="28">
        <v>0</v>
      </c>
      <c r="H28" s="28">
        <v>0</v>
      </c>
      <c r="I28" s="28">
        <v>0</v>
      </c>
      <c r="J28" s="28">
        <v>0</v>
      </c>
      <c r="K28" s="28">
        <v>0</v>
      </c>
      <c r="L28" s="28">
        <v>0</v>
      </c>
      <c r="M28" s="28">
        <v>0</v>
      </c>
      <c r="N28" s="28">
        <v>0</v>
      </c>
      <c r="O28" s="28">
        <v>0</v>
      </c>
      <c r="P28" s="28">
        <v>0</v>
      </c>
      <c r="Q28" s="28">
        <v>0</v>
      </c>
      <c r="R28" s="28">
        <v>0</v>
      </c>
      <c r="S28" s="28">
        <v>0</v>
      </c>
      <c r="T28" s="28">
        <v>0</v>
      </c>
      <c r="U28" s="28">
        <v>0</v>
      </c>
      <c r="V28" s="28">
        <v>0</v>
      </c>
      <c r="W28" s="28">
        <v>0</v>
      </c>
      <c r="X28" s="28">
        <v>0</v>
      </c>
      <c r="Y28" s="28">
        <v>0</v>
      </c>
      <c r="Z28" s="28">
        <v>0</v>
      </c>
      <c r="AA28" s="28">
        <v>0</v>
      </c>
      <c r="AB28" s="28">
        <v>0</v>
      </c>
      <c r="AC28" s="28">
        <v>0</v>
      </c>
      <c r="AD28" s="28">
        <v>0</v>
      </c>
      <c r="AE28" s="28">
        <v>0</v>
      </c>
      <c r="AF28" s="28">
        <v>0</v>
      </c>
      <c r="AG28" s="28">
        <v>0</v>
      </c>
      <c r="AH28" s="28">
        <v>0</v>
      </c>
      <c r="AI28" s="28">
        <v>0</v>
      </c>
      <c r="AJ28" s="28">
        <v>0</v>
      </c>
      <c r="AK28" s="28">
        <v>0</v>
      </c>
      <c r="AL28" s="28">
        <v>0</v>
      </c>
      <c r="AM28" s="28">
        <v>0</v>
      </c>
      <c r="AN28" s="28">
        <v>0</v>
      </c>
      <c r="AO28" s="28">
        <v>0</v>
      </c>
      <c r="AP28" s="28">
        <v>0</v>
      </c>
    </row>
    <row r="29" spans="1:42" x14ac:dyDescent="0.25">
      <c r="A29" s="1"/>
      <c r="B29" s="41"/>
      <c r="C29" s="41"/>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row>
    <row r="30" spans="1:42" x14ac:dyDescent="0.25">
      <c r="A30" s="40" t="s">
        <v>113</v>
      </c>
      <c r="B30" s="39">
        <f t="shared" ref="B30:D30" si="22">B31+B35+B40</f>
        <v>0</v>
      </c>
      <c r="C30" s="39">
        <f t="shared" si="22"/>
        <v>0</v>
      </c>
      <c r="D30" s="39">
        <f t="shared" si="22"/>
        <v>0</v>
      </c>
      <c r="E30" s="39">
        <f>E31+E35+E40+E44</f>
        <v>841.28705739348379</v>
      </c>
      <c r="F30" s="39">
        <f t="shared" ref="F30:AP30" si="23">F31+F35+F40+F44</f>
        <v>852.88270342630585</v>
      </c>
      <c r="G30" s="39">
        <f t="shared" si="23"/>
        <v>864.36725214582066</v>
      </c>
      <c r="H30" s="39">
        <f t="shared" si="23"/>
        <v>875.74070355202798</v>
      </c>
      <c r="I30" s="39">
        <f t="shared" si="23"/>
        <v>887.00305764492759</v>
      </c>
      <c r="J30" s="39">
        <f t="shared" si="23"/>
        <v>898.15431442451995</v>
      </c>
      <c r="K30" s="39">
        <f t="shared" si="23"/>
        <v>909.1944738908046</v>
      </c>
      <c r="L30" s="39">
        <f t="shared" si="23"/>
        <v>920.12353604378177</v>
      </c>
      <c r="M30" s="39">
        <f t="shared" si="23"/>
        <v>930.94150088345145</v>
      </c>
      <c r="N30" s="39">
        <f t="shared" si="23"/>
        <v>941.64836840981354</v>
      </c>
      <c r="O30" s="39">
        <f t="shared" si="23"/>
        <v>952.24413862286815</v>
      </c>
      <c r="P30" s="39">
        <f t="shared" si="23"/>
        <v>962.72881152261527</v>
      </c>
      <c r="Q30" s="39">
        <f t="shared" si="23"/>
        <v>981.82477651729937</v>
      </c>
      <c r="R30" s="39">
        <f t="shared" si="23"/>
        <v>1000.7378540376899</v>
      </c>
      <c r="S30" s="39">
        <f t="shared" si="23"/>
        <v>1019.4680191738603</v>
      </c>
      <c r="T30" s="39">
        <f t="shared" si="23"/>
        <v>1038.0152508307892</v>
      </c>
      <c r="U30" s="39">
        <f t="shared" si="23"/>
        <v>1041.5681036342899</v>
      </c>
      <c r="V30" s="39">
        <f t="shared" si="23"/>
        <v>1044.9379939712449</v>
      </c>
      <c r="W30" s="39">
        <f t="shared" si="23"/>
        <v>1066.1547755410468</v>
      </c>
      <c r="X30" s="39">
        <f t="shared" si="23"/>
        <v>1087.2863463319361</v>
      </c>
      <c r="Y30" s="39">
        <f t="shared" si="23"/>
        <v>1108.3327073156156</v>
      </c>
      <c r="Z30" s="39">
        <f t="shared" si="23"/>
        <v>1128.040612387299</v>
      </c>
      <c r="AA30" s="39">
        <f t="shared" si="23"/>
        <v>1147.7008434319503</v>
      </c>
      <c r="AB30" s="39">
        <f t="shared" si="23"/>
        <v>1167.3134137565312</v>
      </c>
      <c r="AC30" s="39">
        <f t="shared" si="23"/>
        <v>1186.8783398390281</v>
      </c>
      <c r="AD30" s="39">
        <f t="shared" si="23"/>
        <v>1206.3956407148476</v>
      </c>
      <c r="AE30" s="39">
        <f t="shared" si="23"/>
        <v>1225.8653373082691</v>
      </c>
      <c r="AF30" s="39">
        <f t="shared" si="23"/>
        <v>1245.287451731178</v>
      </c>
      <c r="AG30" s="39">
        <f t="shared" si="23"/>
        <v>1264.6620065714974</v>
      </c>
      <c r="AH30" s="39">
        <f t="shared" si="23"/>
        <v>1752.184392842019</v>
      </c>
      <c r="AI30" s="39">
        <f t="shared" si="23"/>
        <v>2317.1449575007859</v>
      </c>
      <c r="AJ30" s="39">
        <f t="shared" si="23"/>
        <v>2880.9735976240222</v>
      </c>
      <c r="AK30" s="39">
        <f t="shared" si="23"/>
        <v>3443.1275901237536</v>
      </c>
      <c r="AL30" s="39">
        <f t="shared" si="23"/>
        <v>4004.1738896437</v>
      </c>
      <c r="AM30" s="39">
        <f t="shared" si="23"/>
        <v>4564.1124976656656</v>
      </c>
      <c r="AN30" s="39">
        <f t="shared" si="23"/>
        <v>5122.9434151572877</v>
      </c>
      <c r="AO30" s="39">
        <f t="shared" si="23"/>
        <v>5680.6666425817348</v>
      </c>
      <c r="AP30" s="39">
        <f t="shared" si="23"/>
        <v>6237.2821799263811</v>
      </c>
    </row>
    <row r="31" spans="1:42" x14ac:dyDescent="0.25">
      <c r="A31" s="18" t="s">
        <v>4</v>
      </c>
      <c r="B31" s="53"/>
      <c r="C31" s="53"/>
      <c r="D31" s="53"/>
      <c r="E31" s="53">
        <f t="shared" ref="E31:AP31" si="24">SUM(E32:E33)</f>
        <v>0</v>
      </c>
      <c r="F31" s="53">
        <f t="shared" si="24"/>
        <v>14.505893106388511</v>
      </c>
      <c r="G31" s="53">
        <f t="shared" si="24"/>
        <v>28.900688899469515</v>
      </c>
      <c r="H31" s="53">
        <f t="shared" si="24"/>
        <v>43.184387379243013</v>
      </c>
      <c r="I31" s="53">
        <f t="shared" si="24"/>
        <v>57.356988545708994</v>
      </c>
      <c r="J31" s="53">
        <f t="shared" si="24"/>
        <v>71.418492398867471</v>
      </c>
      <c r="K31" s="53">
        <f t="shared" si="24"/>
        <v>85.368898938718431</v>
      </c>
      <c r="L31" s="53">
        <f t="shared" si="24"/>
        <v>99.208208165261865</v>
      </c>
      <c r="M31" s="53">
        <f t="shared" si="24"/>
        <v>112.93642007849778</v>
      </c>
      <c r="N31" s="53">
        <f t="shared" si="24"/>
        <v>126.55353467842617</v>
      </c>
      <c r="O31" s="53">
        <f t="shared" si="24"/>
        <v>140.05955196504704</v>
      </c>
      <c r="P31" s="53">
        <f t="shared" si="24"/>
        <v>153.45447193836043</v>
      </c>
      <c r="Q31" s="53">
        <f t="shared" si="24"/>
        <v>175.46068400661085</v>
      </c>
      <c r="R31" s="53">
        <f t="shared" si="24"/>
        <v>197.28400860056757</v>
      </c>
      <c r="S31" s="53">
        <f t="shared" si="24"/>
        <v>218.9244208103043</v>
      </c>
      <c r="T31" s="53">
        <f t="shared" si="24"/>
        <v>240.38189954079951</v>
      </c>
      <c r="U31" s="53">
        <f t="shared" si="24"/>
        <v>261.65642798929503</v>
      </c>
      <c r="V31" s="53">
        <f t="shared" si="24"/>
        <v>282.74799397124485</v>
      </c>
      <c r="W31" s="53">
        <f t="shared" si="24"/>
        <v>303.96477554104678</v>
      </c>
      <c r="X31" s="53">
        <f t="shared" si="24"/>
        <v>325.09634633193616</v>
      </c>
      <c r="Y31" s="53">
        <f t="shared" si="24"/>
        <v>346.14270731561555</v>
      </c>
      <c r="Z31" s="53">
        <f t="shared" si="24"/>
        <v>365.85061238729907</v>
      </c>
      <c r="AA31" s="53">
        <f t="shared" si="24"/>
        <v>385.51084343195021</v>
      </c>
      <c r="AB31" s="53">
        <f t="shared" si="24"/>
        <v>405.12341375653125</v>
      </c>
      <c r="AC31" s="53">
        <f t="shared" si="24"/>
        <v>424.688339839028</v>
      </c>
      <c r="AD31" s="53">
        <f t="shared" si="24"/>
        <v>444.20564071484762</v>
      </c>
      <c r="AE31" s="53">
        <f t="shared" si="24"/>
        <v>463.67533730826904</v>
      </c>
      <c r="AF31" s="53">
        <f t="shared" si="24"/>
        <v>483.09745173117778</v>
      </c>
      <c r="AG31" s="53">
        <f t="shared" si="24"/>
        <v>502.47200657149722</v>
      </c>
      <c r="AH31" s="53">
        <f t="shared" si="24"/>
        <v>521.799024193224</v>
      </c>
      <c r="AI31" s="53">
        <f t="shared" si="24"/>
        <v>619.32524197791179</v>
      </c>
      <c r="AJ31" s="53">
        <f t="shared" si="24"/>
        <v>716.48055700178452</v>
      </c>
      <c r="AK31" s="53">
        <f t="shared" si="24"/>
        <v>812.72224617686743</v>
      </c>
      <c r="AL31" s="53">
        <f t="shared" si="24"/>
        <v>908.61726414688121</v>
      </c>
      <c r="AM31" s="53">
        <f t="shared" si="24"/>
        <v>1004.1656123936297</v>
      </c>
      <c r="AN31" s="53">
        <f t="shared" si="24"/>
        <v>1099.3672918847501</v>
      </c>
      <c r="AO31" s="53">
        <f t="shared" si="24"/>
        <v>1194.2223030834105</v>
      </c>
      <c r="AP31" s="53">
        <f t="shared" si="24"/>
        <v>1288.730645976987</v>
      </c>
    </row>
    <row r="32" spans="1:42" x14ac:dyDescent="0.25">
      <c r="A32" s="1" t="s">
        <v>26</v>
      </c>
      <c r="B32" s="52"/>
      <c r="C32" s="41"/>
      <c r="D32" s="41"/>
      <c r="E32" s="28">
        <f>'Données capacités de stockage'!B17</f>
        <v>0</v>
      </c>
      <c r="F32" s="28">
        <f>'Données capacités de stockage'!C17</f>
        <v>11.230368856558853</v>
      </c>
      <c r="G32" s="28">
        <f>'Données capacités de stockage'!D17</f>
        <v>22.390570988923493</v>
      </c>
      <c r="H32" s="28">
        <f>'Données capacités de stockage'!E17</f>
        <v>33.480606397093922</v>
      </c>
      <c r="I32" s="28">
        <f>'Données capacités de stockage'!F17</f>
        <v>44.500475081070128</v>
      </c>
      <c r="J32" s="28">
        <f>'Données capacités de stockage'!G17</f>
        <v>55.450177040852118</v>
      </c>
      <c r="K32" s="28">
        <f>'Données capacités de stockage'!H17</f>
        <v>66.329712276439892</v>
      </c>
      <c r="L32" s="28">
        <f>'Données capacités de stockage'!I17</f>
        <v>77.139080787833436</v>
      </c>
      <c r="M32" s="28">
        <f>'Données capacités de stockage'!J17</f>
        <v>87.878282575032742</v>
      </c>
      <c r="N32" s="28">
        <f>'Données capacités de stockage'!K17</f>
        <v>98.547317638037839</v>
      </c>
      <c r="O32" s="28">
        <f>'Données capacités de stockage'!L17</f>
        <v>109.1461859768487</v>
      </c>
      <c r="P32" s="28">
        <f>'Données capacités de stockage'!M17</f>
        <v>119.67488759146534</v>
      </c>
      <c r="Q32" s="28">
        <f>'Données capacités de stockage'!N17</f>
        <v>136.88646195988798</v>
      </c>
      <c r="R32" s="28">
        <f>'Données capacités de stockage'!O17</f>
        <v>153.98250433626202</v>
      </c>
      <c r="S32" s="28">
        <f>'Données capacités de stockage'!P17</f>
        <v>170.96298981066121</v>
      </c>
      <c r="T32" s="28">
        <f>'Données capacités de stockage'!Q17</f>
        <v>187.82789728806395</v>
      </c>
      <c r="U32" s="28">
        <f>'Données capacités de stockage'!R17</f>
        <v>204.57720996571211</v>
      </c>
      <c r="V32" s="28">
        <f>'Données capacités de stockage'!S17</f>
        <v>221.21091565905971</v>
      </c>
      <c r="W32" s="28">
        <f>'Données capacités de stockage'!T17</f>
        <v>237.790752303121</v>
      </c>
      <c r="X32" s="28">
        <f>'Données capacités de stockage'!U17</f>
        <v>254.31671619264057</v>
      </c>
      <c r="Y32" s="28">
        <f>'Données capacités de stockage'!V17</f>
        <v>270.78880829932109</v>
      </c>
      <c r="Z32" s="28">
        <f>'Données capacités de stockage'!W17</f>
        <v>285.95378251837656</v>
      </c>
      <c r="AA32" s="28">
        <f>'Données capacités de stockage'!X17</f>
        <v>301.10242073477059</v>
      </c>
      <c r="AB32" s="28">
        <f>'Données capacités de stockage'!Y17</f>
        <v>316.23473625546535</v>
      </c>
      <c r="AC32" s="28">
        <f>'Données capacités de stockage'!Z17</f>
        <v>331.3507455584467</v>
      </c>
      <c r="AD32" s="28">
        <f>'Données capacités de stockage'!AA17</f>
        <v>346.45046767912186</v>
      </c>
      <c r="AE32" s="28">
        <f>'Données capacités de stockage'!AB17</f>
        <v>361.53392354176964</v>
      </c>
      <c r="AF32" s="28">
        <f>'Données capacités de stockage'!AC17</f>
        <v>376.60113525827563</v>
      </c>
      <c r="AG32" s="28">
        <f>'Données capacités de stockage'!AD17</f>
        <v>391.65212541656325</v>
      </c>
      <c r="AH32" s="28">
        <f>'Données capacités de stockage'!AE17</f>
        <v>406.68691638062904</v>
      </c>
      <c r="AI32" s="28">
        <f>'Données capacités de stockage'!AF17</f>
        <v>482.28378821048562</v>
      </c>
      <c r="AJ32" s="28">
        <f>'Données capacités de stockage'!AG17</f>
        <v>557.66022909289188</v>
      </c>
      <c r="AK32" s="28">
        <f>'Données capacités de stockage'!AH17</f>
        <v>632.27351593987305</v>
      </c>
      <c r="AL32" s="28">
        <f>'Données capacités de stockage'!AI17</f>
        <v>706.69060339514965</v>
      </c>
      <c r="AM32" s="28">
        <f>'Données capacités de stockage'!AJ17</f>
        <v>780.9114929405257</v>
      </c>
      <c r="AN32" s="28">
        <f>'Données capacités de stockage'!AK17</f>
        <v>854.93618554363832</v>
      </c>
      <c r="AO32" s="28">
        <f>'Données capacités de stockage'!AL17</f>
        <v>928.76468166765562</v>
      </c>
      <c r="AP32" s="28">
        <f>'Données capacités de stockage'!AM17</f>
        <v>1002.3969812999535</v>
      </c>
    </row>
    <row r="33" spans="1:42" x14ac:dyDescent="0.25">
      <c r="A33" s="1" t="s">
        <v>25</v>
      </c>
      <c r="B33" s="52"/>
      <c r="C33" s="41"/>
      <c r="D33" s="41"/>
      <c r="E33" s="28">
        <f>'Données capacités de stockage'!B18</f>
        <v>0</v>
      </c>
      <c r="F33" s="28">
        <f>'Données capacités de stockage'!C18</f>
        <v>3.2755242498296577</v>
      </c>
      <c r="G33" s="28">
        <f>'Données capacités de stockage'!D18</f>
        <v>6.5101179105460218</v>
      </c>
      <c r="H33" s="28">
        <f>'Données capacités de stockage'!E18</f>
        <v>9.703780982149091</v>
      </c>
      <c r="I33" s="28">
        <f>'Données capacités de stockage'!F18</f>
        <v>12.856513464638867</v>
      </c>
      <c r="J33" s="28">
        <f>'Données capacités de stockage'!G18</f>
        <v>15.968315358015351</v>
      </c>
      <c r="K33" s="28">
        <f>'Données capacités de stockage'!H18</f>
        <v>19.039186662278542</v>
      </c>
      <c r="L33" s="28">
        <f>'Données capacités de stockage'!I18</f>
        <v>22.06912737742843</v>
      </c>
      <c r="M33" s="28">
        <f>'Données capacités de stockage'!J18</f>
        <v>25.058137503465034</v>
      </c>
      <c r="N33" s="28">
        <f>'Données capacités de stockage'!K18</f>
        <v>28.006217040388339</v>
      </c>
      <c r="O33" s="28">
        <f>'Données capacités de stockage'!L18</f>
        <v>30.91336598819835</v>
      </c>
      <c r="P33" s="28">
        <f>'Données capacités de stockage'!M18</f>
        <v>33.779584346895078</v>
      </c>
      <c r="Q33" s="28">
        <f>'Données capacités de stockage'!N18</f>
        <v>38.574222046722852</v>
      </c>
      <c r="R33" s="28">
        <f>'Données capacités de stockage'!O18</f>
        <v>43.301504264305535</v>
      </c>
      <c r="S33" s="28">
        <f>'Données capacités de stockage'!P18</f>
        <v>47.961430999643099</v>
      </c>
      <c r="T33" s="28">
        <f>'Données capacités de stockage'!Q18</f>
        <v>52.554002252735572</v>
      </c>
      <c r="U33" s="28">
        <f>'Données capacités de stockage'!R18</f>
        <v>57.079218023582925</v>
      </c>
      <c r="V33" s="28">
        <f>'Données capacités de stockage'!S18</f>
        <v>61.537078312185137</v>
      </c>
      <c r="W33" s="28">
        <f>'Données capacités de stockage'!T18</f>
        <v>66.174023237925795</v>
      </c>
      <c r="X33" s="28">
        <f>'Données capacités de stockage'!U18</f>
        <v>70.779630139295577</v>
      </c>
      <c r="Y33" s="28">
        <f>'Données capacités de stockage'!V18</f>
        <v>75.353899016294463</v>
      </c>
      <c r="Z33" s="28">
        <f>'Données capacités de stockage'!W18</f>
        <v>79.896829868922481</v>
      </c>
      <c r="AA33" s="28">
        <f>'Données capacités de stockage'!X18</f>
        <v>84.408422697179631</v>
      </c>
      <c r="AB33" s="28">
        <f>'Données capacités de stockage'!Y18</f>
        <v>88.888677501065885</v>
      </c>
      <c r="AC33" s="28">
        <f>'Données capacités de stockage'!Z18</f>
        <v>93.337594280581271</v>
      </c>
      <c r="AD33" s="28">
        <f>'Données capacités de stockage'!AA18</f>
        <v>97.755173035725761</v>
      </c>
      <c r="AE33" s="28">
        <f>'Données capacités de stockage'!AB18</f>
        <v>102.14141376649937</v>
      </c>
      <c r="AF33" s="28">
        <f>'Données capacités de stockage'!AC18</f>
        <v>106.49631647290212</v>
      </c>
      <c r="AG33" s="28">
        <f>'Données capacités de stockage'!AD18</f>
        <v>110.81988115493398</v>
      </c>
      <c r="AH33" s="28">
        <f>'Données capacités de stockage'!AE18</f>
        <v>115.11210781259499</v>
      </c>
      <c r="AI33" s="28">
        <f>'Données capacités de stockage'!AF18</f>
        <v>137.04145376742613</v>
      </c>
      <c r="AJ33" s="28">
        <f>'Données capacités de stockage'!AG18</f>
        <v>158.82032790889264</v>
      </c>
      <c r="AK33" s="28">
        <f>'Données capacités de stockage'!AH18</f>
        <v>180.44873023699441</v>
      </c>
      <c r="AL33" s="28">
        <f>'Données capacités de stockage'!AI18</f>
        <v>201.92666075173153</v>
      </c>
      <c r="AM33" s="28">
        <f>'Données capacités de stockage'!AJ18</f>
        <v>223.25411945310398</v>
      </c>
      <c r="AN33" s="28">
        <f>'Données capacités de stockage'!AK18</f>
        <v>244.43110634111176</v>
      </c>
      <c r="AO33" s="28">
        <f>'Données capacités de stockage'!AL18</f>
        <v>265.45762141575483</v>
      </c>
      <c r="AP33" s="28">
        <f>'Données capacités de stockage'!AM18</f>
        <v>286.33366467703343</v>
      </c>
    </row>
    <row r="34" spans="1:42" ht="6" customHeight="1" x14ac:dyDescent="0.25">
      <c r="A34" s="1"/>
      <c r="B34" s="52"/>
      <c r="C34" s="52"/>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41"/>
    </row>
    <row r="35" spans="1:42" x14ac:dyDescent="0.25">
      <c r="A35" s="16" t="s">
        <v>3</v>
      </c>
      <c r="B35" s="53"/>
      <c r="C35" s="53"/>
      <c r="D35" s="53"/>
      <c r="E35" s="53">
        <f t="shared" ref="E35:AP35" si="25">SUM(E36:E38)</f>
        <v>0</v>
      </c>
      <c r="F35" s="53">
        <f t="shared" si="25"/>
        <v>0</v>
      </c>
      <c r="G35" s="53">
        <f t="shared" si="25"/>
        <v>0</v>
      </c>
      <c r="H35" s="53">
        <f t="shared" si="25"/>
        <v>0</v>
      </c>
      <c r="I35" s="53">
        <f t="shared" si="25"/>
        <v>0</v>
      </c>
      <c r="J35" s="53">
        <f t="shared" si="25"/>
        <v>0</v>
      </c>
      <c r="K35" s="53">
        <f t="shared" si="25"/>
        <v>0</v>
      </c>
      <c r="L35" s="53">
        <f t="shared" si="25"/>
        <v>0</v>
      </c>
      <c r="M35" s="53">
        <f t="shared" si="25"/>
        <v>0</v>
      </c>
      <c r="N35" s="53">
        <f t="shared" si="25"/>
        <v>0</v>
      </c>
      <c r="O35" s="53">
        <f t="shared" si="25"/>
        <v>0</v>
      </c>
      <c r="P35" s="53">
        <f t="shared" si="25"/>
        <v>0</v>
      </c>
      <c r="Q35" s="53">
        <f t="shared" si="25"/>
        <v>0</v>
      </c>
      <c r="R35" s="53">
        <f t="shared" si="25"/>
        <v>0</v>
      </c>
      <c r="S35" s="53">
        <f t="shared" si="25"/>
        <v>0</v>
      </c>
      <c r="T35" s="53">
        <f t="shared" si="25"/>
        <v>0</v>
      </c>
      <c r="U35" s="53">
        <f t="shared" si="25"/>
        <v>0</v>
      </c>
      <c r="V35" s="53">
        <f t="shared" si="25"/>
        <v>0</v>
      </c>
      <c r="W35" s="53">
        <f t="shared" si="25"/>
        <v>0</v>
      </c>
      <c r="X35" s="53">
        <f t="shared" si="25"/>
        <v>0</v>
      </c>
      <c r="Y35" s="53">
        <f t="shared" si="25"/>
        <v>0</v>
      </c>
      <c r="Z35" s="53">
        <f t="shared" si="25"/>
        <v>0</v>
      </c>
      <c r="AA35" s="53">
        <f t="shared" si="25"/>
        <v>0</v>
      </c>
      <c r="AB35" s="53">
        <f t="shared" si="25"/>
        <v>0</v>
      </c>
      <c r="AC35" s="53">
        <f t="shared" si="25"/>
        <v>0</v>
      </c>
      <c r="AD35" s="53">
        <f t="shared" si="25"/>
        <v>0</v>
      </c>
      <c r="AE35" s="53">
        <f t="shared" si="25"/>
        <v>0</v>
      </c>
      <c r="AF35" s="53">
        <f t="shared" si="25"/>
        <v>0</v>
      </c>
      <c r="AG35" s="53">
        <f t="shared" si="25"/>
        <v>0</v>
      </c>
      <c r="AH35" s="53">
        <f t="shared" si="25"/>
        <v>468.19536864879478</v>
      </c>
      <c r="AI35" s="53">
        <f t="shared" si="25"/>
        <v>935.62971552287399</v>
      </c>
      <c r="AJ35" s="53">
        <f t="shared" si="25"/>
        <v>1402.3030406222379</v>
      </c>
      <c r="AK35" s="53">
        <f t="shared" si="25"/>
        <v>1868.2153439468862</v>
      </c>
      <c r="AL35" s="53">
        <f t="shared" si="25"/>
        <v>2333.3666254968189</v>
      </c>
      <c r="AM35" s="53">
        <f t="shared" si="25"/>
        <v>2797.756885272036</v>
      </c>
      <c r="AN35" s="53">
        <f t="shared" si="25"/>
        <v>3261.386123272538</v>
      </c>
      <c r="AO35" s="53">
        <f t="shared" si="25"/>
        <v>3724.2543394983245</v>
      </c>
      <c r="AP35" s="53">
        <f t="shared" si="25"/>
        <v>4186.3615339493945</v>
      </c>
    </row>
    <row r="36" spans="1:42" x14ac:dyDescent="0.25">
      <c r="A36" s="1" t="s">
        <v>26</v>
      </c>
      <c r="B36" s="52"/>
      <c r="C36" s="115"/>
      <c r="D36" s="115"/>
      <c r="E36" s="34">
        <f>'Données capacités de stockage'!B29+'Données capacités de stockage'!B65</f>
        <v>0</v>
      </c>
      <c r="F36" s="34">
        <f>'Données capacités de stockage'!C29+'Données capacités de stockage'!C65</f>
        <v>0</v>
      </c>
      <c r="G36" s="34">
        <f>'Données capacités de stockage'!D29+'Données capacités de stockage'!D65</f>
        <v>0</v>
      </c>
      <c r="H36" s="34">
        <f>'Données capacités de stockage'!E29+'Données capacités de stockage'!E65</f>
        <v>0</v>
      </c>
      <c r="I36" s="34">
        <f>'Données capacités de stockage'!F29+'Données capacités de stockage'!F65</f>
        <v>0</v>
      </c>
      <c r="J36" s="34">
        <f>'Données capacités de stockage'!G29+'Données capacités de stockage'!G65</f>
        <v>0</v>
      </c>
      <c r="K36" s="34">
        <f>'Données capacités de stockage'!H29+'Données capacités de stockage'!H65</f>
        <v>0</v>
      </c>
      <c r="L36" s="34">
        <f>'Données capacités de stockage'!I29+'Données capacités de stockage'!I65</f>
        <v>0</v>
      </c>
      <c r="M36" s="34">
        <f>'Données capacités de stockage'!J29+'Données capacités de stockage'!J65</f>
        <v>0</v>
      </c>
      <c r="N36" s="34">
        <f>'Données capacités de stockage'!K29+'Données capacités de stockage'!K65</f>
        <v>0</v>
      </c>
      <c r="O36" s="34">
        <f>'Données capacités de stockage'!L29+'Données capacités de stockage'!L65</f>
        <v>0</v>
      </c>
      <c r="P36" s="34">
        <f>'Données capacités de stockage'!M29+'Données capacités de stockage'!M65</f>
        <v>0</v>
      </c>
      <c r="Q36" s="34">
        <f>'Données capacités de stockage'!N29+'Données capacités de stockage'!N65</f>
        <v>0</v>
      </c>
      <c r="R36" s="34">
        <f>'Données capacités de stockage'!O29+'Données capacités de stockage'!O65</f>
        <v>0</v>
      </c>
      <c r="S36" s="34">
        <f>'Données capacités de stockage'!P29+'Données capacités de stockage'!P65</f>
        <v>0</v>
      </c>
      <c r="T36" s="34">
        <f>'Données capacités de stockage'!Q29+'Données capacités de stockage'!Q65</f>
        <v>0</v>
      </c>
      <c r="U36" s="34">
        <f>'Données capacités de stockage'!R29+'Données capacités de stockage'!R65</f>
        <v>0</v>
      </c>
      <c r="V36" s="34">
        <f>'Données capacités de stockage'!S29+'Données capacités de stockage'!S65</f>
        <v>0</v>
      </c>
      <c r="W36" s="34">
        <f>'Données capacités de stockage'!T29+'Données capacités de stockage'!T65</f>
        <v>0</v>
      </c>
      <c r="X36" s="34">
        <f>'Données capacités de stockage'!U29+'Données capacités de stockage'!U65</f>
        <v>0</v>
      </c>
      <c r="Y36" s="34">
        <f>'Données capacités de stockage'!V29+'Données capacités de stockage'!V65</f>
        <v>0</v>
      </c>
      <c r="Z36" s="34">
        <f>'Données capacités de stockage'!W29+'Données capacités de stockage'!W65</f>
        <v>0</v>
      </c>
      <c r="AA36" s="34">
        <f>'Données capacités de stockage'!X29+'Données capacités de stockage'!X65</f>
        <v>0</v>
      </c>
      <c r="AB36" s="34">
        <f>'Données capacités de stockage'!Y29+'Données capacités de stockage'!Y65</f>
        <v>0</v>
      </c>
      <c r="AC36" s="34">
        <f>'Données capacités de stockage'!Z29+'Données capacités de stockage'!Z65</f>
        <v>0</v>
      </c>
      <c r="AD36" s="34">
        <f>'Données capacités de stockage'!AA29+'Données capacités de stockage'!AA65</f>
        <v>0</v>
      </c>
      <c r="AE36" s="34">
        <f>'Données capacités de stockage'!AB29+'Données capacités de stockage'!AB65</f>
        <v>0</v>
      </c>
      <c r="AF36" s="34">
        <f>'Données capacités de stockage'!AC29+'Données capacités de stockage'!AC65</f>
        <v>0</v>
      </c>
      <c r="AG36" s="34">
        <f>'Données capacités de stockage'!AD29+'Données capacités de stockage'!AD65</f>
        <v>0</v>
      </c>
      <c r="AH36" s="34">
        <f>'Données capacités de stockage'!AE29+'Données capacités de stockage'!AE65</f>
        <v>231.84256526276886</v>
      </c>
      <c r="AI36" s="34">
        <f>'Données capacités de stockage'!AF29+'Données capacités de stockage'!AF65</f>
        <v>462.70518467864377</v>
      </c>
      <c r="AJ36" s="34">
        <f>'Données capacités de stockage'!AG29+'Données capacités de stockage'!AG65</f>
        <v>692.58785824762458</v>
      </c>
      <c r="AK36" s="34">
        <f>'Données capacités de stockage'!AH29+'Données capacités de stockage'!AH65</f>
        <v>921.4905859697119</v>
      </c>
      <c r="AL36" s="34">
        <f>'Données capacités de stockage'!AI29+'Données capacités de stockage'!AI65</f>
        <v>1149.4133678449048</v>
      </c>
      <c r="AM36" s="34">
        <f>'Données capacités de stockage'!AJ29+'Données capacités de stockage'!AJ65</f>
        <v>1376.3562038732039</v>
      </c>
      <c r="AN36" s="34">
        <f>'Données capacités de stockage'!AK29+'Données capacités de stockage'!AK65</f>
        <v>1602.3190940546094</v>
      </c>
      <c r="AO36" s="34">
        <f>'Données capacités de stockage'!AL29+'Données capacités de stockage'!AL65</f>
        <v>1827.3020383891212</v>
      </c>
      <c r="AP36" s="34">
        <f>'Données capacités de stockage'!AM29+'Données capacités de stockage'!AM65</f>
        <v>2051.3050368767372</v>
      </c>
    </row>
    <row r="37" spans="1:42" x14ac:dyDescent="0.25">
      <c r="A37" s="1" t="s">
        <v>200</v>
      </c>
      <c r="B37" s="52"/>
      <c r="C37" s="115"/>
      <c r="D37" s="115"/>
      <c r="E37" s="34">
        <f>'Données capacités de stockage'!B30+'Données capacités de stockage'!B63+'Données capacités de stockage'!B64</f>
        <v>0</v>
      </c>
      <c r="F37" s="34">
        <f>'Données capacités de stockage'!C30+'Données capacités de stockage'!C63+'Données capacités de stockage'!C64</f>
        <v>0</v>
      </c>
      <c r="G37" s="34">
        <f>'Données capacités de stockage'!D30+'Données capacités de stockage'!D63+'Données capacités de stockage'!D64</f>
        <v>0</v>
      </c>
      <c r="H37" s="34">
        <f>'Données capacités de stockage'!E30+'Données capacités de stockage'!E63+'Données capacités de stockage'!E64</f>
        <v>0</v>
      </c>
      <c r="I37" s="34">
        <f>'Données capacités de stockage'!F30+'Données capacités de stockage'!F63+'Données capacités de stockage'!F64</f>
        <v>0</v>
      </c>
      <c r="J37" s="34">
        <f>'Données capacités de stockage'!G30+'Données capacités de stockage'!G63+'Données capacités de stockage'!G64</f>
        <v>0</v>
      </c>
      <c r="K37" s="34">
        <f>'Données capacités de stockage'!H30+'Données capacités de stockage'!H63+'Données capacités de stockage'!H64</f>
        <v>0</v>
      </c>
      <c r="L37" s="34">
        <f>'Données capacités de stockage'!I30+'Données capacités de stockage'!I63+'Données capacités de stockage'!I64</f>
        <v>0</v>
      </c>
      <c r="M37" s="34">
        <f>'Données capacités de stockage'!J30+'Données capacités de stockage'!J63+'Données capacités de stockage'!J64</f>
        <v>0</v>
      </c>
      <c r="N37" s="34">
        <f>'Données capacités de stockage'!K30+'Données capacités de stockage'!K63+'Données capacités de stockage'!K64</f>
        <v>0</v>
      </c>
      <c r="O37" s="34">
        <f>'Données capacités de stockage'!L30+'Données capacités de stockage'!L63+'Données capacités de stockage'!L64</f>
        <v>0</v>
      </c>
      <c r="P37" s="34">
        <f>'Données capacités de stockage'!M30+'Données capacités de stockage'!M63+'Données capacités de stockage'!M64</f>
        <v>0</v>
      </c>
      <c r="Q37" s="34">
        <f>'Données capacités de stockage'!N30+'Données capacités de stockage'!N63+'Données capacités de stockage'!N64</f>
        <v>0</v>
      </c>
      <c r="R37" s="34">
        <f>'Données capacités de stockage'!O30+'Données capacités de stockage'!O63+'Données capacités de stockage'!O64</f>
        <v>0</v>
      </c>
      <c r="S37" s="34">
        <f>'Données capacités de stockage'!P30+'Données capacités de stockage'!P63+'Données capacités de stockage'!P64</f>
        <v>0</v>
      </c>
      <c r="T37" s="34">
        <f>'Données capacités de stockage'!Q30+'Données capacités de stockage'!Q63+'Données capacités de stockage'!Q64</f>
        <v>0</v>
      </c>
      <c r="U37" s="34">
        <f>'Données capacités de stockage'!R30+'Données capacités de stockage'!R63+'Données capacités de stockage'!R64</f>
        <v>0</v>
      </c>
      <c r="V37" s="34">
        <f>'Données capacités de stockage'!S30+'Données capacités de stockage'!S63+'Données capacités de stockage'!S64</f>
        <v>0</v>
      </c>
      <c r="W37" s="34">
        <f>'Données capacités de stockage'!T30+'Données capacités de stockage'!T63+'Données capacités de stockage'!T64</f>
        <v>0</v>
      </c>
      <c r="X37" s="34">
        <f>'Données capacités de stockage'!U30+'Données capacités de stockage'!U63+'Données capacités de stockage'!U64</f>
        <v>0</v>
      </c>
      <c r="Y37" s="34">
        <f>'Données capacités de stockage'!V30+'Données capacités de stockage'!V63+'Données capacités de stockage'!V64</f>
        <v>0</v>
      </c>
      <c r="Z37" s="34">
        <f>'Données capacités de stockage'!W30+'Données capacités de stockage'!W63+'Données capacités de stockage'!W64</f>
        <v>0</v>
      </c>
      <c r="AA37" s="34">
        <f>'Données capacités de stockage'!X30+'Données capacités de stockage'!X63+'Données capacités de stockage'!X64</f>
        <v>0</v>
      </c>
      <c r="AB37" s="34">
        <f>'Données capacités de stockage'!Y30+'Données capacités de stockage'!Y63+'Données capacités de stockage'!Y64</f>
        <v>0</v>
      </c>
      <c r="AC37" s="34">
        <f>'Données capacités de stockage'!Z30+'Données capacités de stockage'!Z63+'Données capacités de stockage'!Z64</f>
        <v>0</v>
      </c>
      <c r="AD37" s="34">
        <f>'Données capacités de stockage'!AA30+'Données capacités de stockage'!AA63+'Données capacités de stockage'!AA64</f>
        <v>0</v>
      </c>
      <c r="AE37" s="34">
        <f>'Données capacités de stockage'!AB30+'Données capacités de stockage'!AB63+'Données capacités de stockage'!AB64</f>
        <v>0</v>
      </c>
      <c r="AF37" s="34">
        <f>'Données capacités de stockage'!AC30+'Données capacités de stockage'!AC63+'Données capacités de stockage'!AC64</f>
        <v>0</v>
      </c>
      <c r="AG37" s="34">
        <f>'Données capacités de stockage'!AD30+'Données capacités de stockage'!AD63+'Données capacités de stockage'!AD64</f>
        <v>0</v>
      </c>
      <c r="AH37" s="34">
        <f>'Données capacités de stockage'!AE30+'Données capacités de stockage'!AE63+'Données capacités de stockage'!AE64</f>
        <v>236.3528033860259</v>
      </c>
      <c r="AI37" s="34">
        <f>'Données capacités de stockage'!AF30+'Données capacités de stockage'!AF63+'Données capacités de stockage'!AF64</f>
        <v>472.92453084423028</v>
      </c>
      <c r="AJ37" s="34">
        <f>'Données capacités de stockage'!AG30+'Données capacités de stockage'!AG63+'Données capacités de stockage'!AG64</f>
        <v>709.71518237461316</v>
      </c>
      <c r="AK37" s="34">
        <f>'Données capacités de stockage'!AH30+'Données capacités de stockage'!AH63+'Données capacités de stockage'!AH64</f>
        <v>946.72475797717425</v>
      </c>
      <c r="AL37" s="34">
        <f>'Données capacités de stockage'!AI30+'Données capacités de stockage'!AI63+'Données capacités de stockage'!AI64</f>
        <v>1183.9532576519141</v>
      </c>
      <c r="AM37" s="34">
        <f>'Données capacités de stockage'!AJ30+'Données capacités de stockage'!AJ63+'Données capacités de stockage'!AJ64</f>
        <v>1421.4006813988321</v>
      </c>
      <c r="AN37" s="34">
        <f>'Données capacités de stockage'!AK30+'Données capacités de stockage'!AK63+'Données capacités de stockage'!AK64</f>
        <v>1659.0670292179286</v>
      </c>
      <c r="AO37" s="34">
        <f>'Données capacités de stockage'!AL30+'Données capacités de stockage'!AL63+'Données capacités de stockage'!AL64</f>
        <v>1896.9523011092033</v>
      </c>
      <c r="AP37" s="34">
        <f>'Données capacités de stockage'!AM30+'Données capacités de stockage'!AM63+'Données capacités de stockage'!AM64</f>
        <v>2135.0564970726573</v>
      </c>
    </row>
    <row r="38" spans="1:42" x14ac:dyDescent="0.25">
      <c r="A38" s="1" t="s">
        <v>201</v>
      </c>
      <c r="B38" s="52"/>
      <c r="C38" s="115"/>
      <c r="D38" s="115"/>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row>
    <row r="39" spans="1:42" ht="7.5" customHeight="1" x14ac:dyDescent="0.25">
      <c r="A39" s="1"/>
      <c r="B39" s="52"/>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41"/>
    </row>
    <row r="40" spans="1:42" x14ac:dyDescent="0.25">
      <c r="A40" s="16" t="s">
        <v>2</v>
      </c>
      <c r="B40" s="54"/>
      <c r="C40" s="54"/>
      <c r="D40" s="54"/>
      <c r="E40" s="56">
        <f t="shared" ref="E40:AO40" si="26">E41+E42</f>
        <v>353.82857142857148</v>
      </c>
      <c r="F40" s="56">
        <f t="shared" si="26"/>
        <v>368.64</v>
      </c>
      <c r="G40" s="56">
        <f t="shared" si="26"/>
        <v>383.45142857142861</v>
      </c>
      <c r="H40" s="56">
        <f t="shared" si="26"/>
        <v>398.26285714285717</v>
      </c>
      <c r="I40" s="56">
        <f t="shared" si="26"/>
        <v>413.07428571428574</v>
      </c>
      <c r="J40" s="56">
        <f t="shared" si="26"/>
        <v>427.88571428571436</v>
      </c>
      <c r="K40" s="56">
        <f t="shared" si="26"/>
        <v>442.69714285714292</v>
      </c>
      <c r="L40" s="56">
        <f t="shared" si="26"/>
        <v>457.50857142857149</v>
      </c>
      <c r="M40" s="56">
        <f t="shared" si="26"/>
        <v>472.32000000000005</v>
      </c>
      <c r="N40" s="56">
        <f t="shared" si="26"/>
        <v>487.13142857142861</v>
      </c>
      <c r="O40" s="56">
        <f t="shared" si="26"/>
        <v>501.94285714285718</v>
      </c>
      <c r="P40" s="56">
        <f t="shared" si="26"/>
        <v>516.75428571428574</v>
      </c>
      <c r="Q40" s="56">
        <f t="shared" si="26"/>
        <v>531.56571428571431</v>
      </c>
      <c r="R40" s="56">
        <f t="shared" si="26"/>
        <v>546.37714285714287</v>
      </c>
      <c r="S40" s="56">
        <f t="shared" si="26"/>
        <v>561.18857142857144</v>
      </c>
      <c r="T40" s="56">
        <f t="shared" si="26"/>
        <v>576</v>
      </c>
      <c r="U40" s="56">
        <f t="shared" si="26"/>
        <v>576</v>
      </c>
      <c r="V40" s="56">
        <f t="shared" si="26"/>
        <v>576</v>
      </c>
      <c r="W40" s="56">
        <f t="shared" si="26"/>
        <v>576</v>
      </c>
      <c r="X40" s="56">
        <f t="shared" si="26"/>
        <v>576</v>
      </c>
      <c r="Y40" s="56">
        <f t="shared" si="26"/>
        <v>576</v>
      </c>
      <c r="Z40" s="56">
        <f t="shared" si="26"/>
        <v>576</v>
      </c>
      <c r="AA40" s="56">
        <f t="shared" si="26"/>
        <v>576</v>
      </c>
      <c r="AB40" s="56">
        <f t="shared" si="26"/>
        <v>576</v>
      </c>
      <c r="AC40" s="56">
        <f t="shared" si="26"/>
        <v>576</v>
      </c>
      <c r="AD40" s="56">
        <f t="shared" si="26"/>
        <v>576</v>
      </c>
      <c r="AE40" s="56">
        <f t="shared" si="26"/>
        <v>576</v>
      </c>
      <c r="AF40" s="56">
        <f t="shared" si="26"/>
        <v>576</v>
      </c>
      <c r="AG40" s="56">
        <f t="shared" si="26"/>
        <v>576</v>
      </c>
      <c r="AH40" s="56">
        <f t="shared" si="26"/>
        <v>576</v>
      </c>
      <c r="AI40" s="56">
        <f t="shared" si="26"/>
        <v>576</v>
      </c>
      <c r="AJ40" s="56">
        <f t="shared" si="26"/>
        <v>576</v>
      </c>
      <c r="AK40" s="56">
        <f t="shared" si="26"/>
        <v>576</v>
      </c>
      <c r="AL40" s="56">
        <f t="shared" si="26"/>
        <v>576</v>
      </c>
      <c r="AM40" s="56">
        <f t="shared" si="26"/>
        <v>576</v>
      </c>
      <c r="AN40" s="56">
        <f t="shared" si="26"/>
        <v>576</v>
      </c>
      <c r="AO40" s="56">
        <f t="shared" si="26"/>
        <v>576</v>
      </c>
      <c r="AP40" s="56">
        <f>AP41+AP42</f>
        <v>576</v>
      </c>
    </row>
    <row r="41" spans="1:42" x14ac:dyDescent="0.25">
      <c r="A41" s="1" t="s">
        <v>26</v>
      </c>
      <c r="B41" s="52"/>
      <c r="C41" s="52"/>
      <c r="D41" s="52"/>
      <c r="E41" s="28">
        <f>'Données capacités de stockage'!B51</f>
        <v>290.18857142857149</v>
      </c>
      <c r="F41" s="28">
        <f>'Données capacités de stockage'!C51</f>
        <v>302.33600000000001</v>
      </c>
      <c r="G41" s="28">
        <f>'Données capacités de stockage'!D51</f>
        <v>314.48342857142859</v>
      </c>
      <c r="H41" s="28">
        <f>'Données capacités de stockage'!E51</f>
        <v>326.63085714285717</v>
      </c>
      <c r="I41" s="28">
        <f>'Données capacités de stockage'!F51</f>
        <v>338.77828571428574</v>
      </c>
      <c r="J41" s="28">
        <f>'Données capacités de stockage'!G51</f>
        <v>350.92571428571432</v>
      </c>
      <c r="K41" s="28">
        <f>'Données capacités de stockage'!H51</f>
        <v>363.0731428571429</v>
      </c>
      <c r="L41" s="28">
        <f>'Données capacités de stockage'!I51</f>
        <v>375.22057142857147</v>
      </c>
      <c r="M41" s="28">
        <f>'Données capacités de stockage'!J51</f>
        <v>387.36800000000005</v>
      </c>
      <c r="N41" s="28">
        <f>'Données capacités de stockage'!K51</f>
        <v>399.51542857142863</v>
      </c>
      <c r="O41" s="28">
        <f>'Données capacités de stockage'!L51</f>
        <v>411.66285714285721</v>
      </c>
      <c r="P41" s="28">
        <f>'Données capacités de stockage'!M51</f>
        <v>423.81028571428573</v>
      </c>
      <c r="Q41" s="28">
        <f>'Données capacités de stockage'!N51</f>
        <v>435.9577142857143</v>
      </c>
      <c r="R41" s="28">
        <f>'Données capacités de stockage'!O51</f>
        <v>448.10514285714288</v>
      </c>
      <c r="S41" s="28">
        <f>'Données capacités de stockage'!P51</f>
        <v>460.2525714285714</v>
      </c>
      <c r="T41" s="28">
        <f>'Données capacités de stockage'!Q51</f>
        <v>472.4</v>
      </c>
      <c r="U41" s="28">
        <f>'Données capacités de stockage'!R51</f>
        <v>472.4</v>
      </c>
      <c r="V41" s="28">
        <f>'Données capacités de stockage'!S51</f>
        <v>472.4</v>
      </c>
      <c r="W41" s="28">
        <f>'Données capacités de stockage'!T51</f>
        <v>472.4</v>
      </c>
      <c r="X41" s="28">
        <f>'Données capacités de stockage'!U51</f>
        <v>472.4</v>
      </c>
      <c r="Y41" s="28">
        <f>'Données capacités de stockage'!V51</f>
        <v>472.4</v>
      </c>
      <c r="Z41" s="28">
        <f>'Données capacités de stockage'!W51</f>
        <v>472.4</v>
      </c>
      <c r="AA41" s="28">
        <f>'Données capacités de stockage'!X51</f>
        <v>472.4</v>
      </c>
      <c r="AB41" s="28">
        <f>'Données capacités de stockage'!Y51</f>
        <v>472.4</v>
      </c>
      <c r="AC41" s="28">
        <f>'Données capacités de stockage'!Z51</f>
        <v>472.4</v>
      </c>
      <c r="AD41" s="28">
        <f>'Données capacités de stockage'!AA51</f>
        <v>472.4</v>
      </c>
      <c r="AE41" s="28">
        <f>'Données capacités de stockage'!AB51</f>
        <v>472.4</v>
      </c>
      <c r="AF41" s="28">
        <f>'Données capacités de stockage'!AC51</f>
        <v>472.4</v>
      </c>
      <c r="AG41" s="28">
        <f>'Données capacités de stockage'!AD51</f>
        <v>472.4</v>
      </c>
      <c r="AH41" s="28">
        <f>'Données capacités de stockage'!AE51</f>
        <v>472.4</v>
      </c>
      <c r="AI41" s="28">
        <f>'Données capacités de stockage'!AF51</f>
        <v>472.4</v>
      </c>
      <c r="AJ41" s="28">
        <f>'Données capacités de stockage'!AG51</f>
        <v>472.4</v>
      </c>
      <c r="AK41" s="28">
        <f>'Données capacités de stockage'!AH51</f>
        <v>472.4</v>
      </c>
      <c r="AL41" s="28">
        <f>'Données capacités de stockage'!AI51</f>
        <v>472.4</v>
      </c>
      <c r="AM41" s="28">
        <f>'Données capacités de stockage'!AJ51</f>
        <v>472.4</v>
      </c>
      <c r="AN41" s="28">
        <f>'Données capacités de stockage'!AK51</f>
        <v>472.4</v>
      </c>
      <c r="AO41" s="28">
        <f>'Données capacités de stockage'!AL51</f>
        <v>472.4</v>
      </c>
      <c r="AP41" s="28">
        <f>'Données capacités de stockage'!AM51</f>
        <v>472.4</v>
      </c>
    </row>
    <row r="42" spans="1:42" x14ac:dyDescent="0.25">
      <c r="A42" s="1" t="s">
        <v>25</v>
      </c>
      <c r="B42" s="52"/>
      <c r="C42" s="52"/>
      <c r="D42" s="52"/>
      <c r="E42" s="28">
        <f>'Données capacités de stockage'!B50</f>
        <v>63.640000000000008</v>
      </c>
      <c r="F42" s="28">
        <f>'Données capacités de stockage'!C50</f>
        <v>66.304000000000002</v>
      </c>
      <c r="G42" s="28">
        <f>'Données capacités de stockage'!D50</f>
        <v>68.968000000000004</v>
      </c>
      <c r="H42" s="28">
        <f>'Données capacités de stockage'!E50</f>
        <v>71.632000000000005</v>
      </c>
      <c r="I42" s="28">
        <f>'Données capacités de stockage'!F50</f>
        <v>74.296000000000006</v>
      </c>
      <c r="J42" s="28">
        <f>'Données capacités de stockage'!G50</f>
        <v>76.960000000000008</v>
      </c>
      <c r="K42" s="28">
        <f>'Données capacités de stockage'!H50</f>
        <v>79.624000000000009</v>
      </c>
      <c r="L42" s="28">
        <f>'Données capacités de stockage'!I50</f>
        <v>82.288000000000011</v>
      </c>
      <c r="M42" s="28">
        <f>'Données capacités de stockage'!J50</f>
        <v>84.952000000000012</v>
      </c>
      <c r="N42" s="28">
        <f>'Données capacités de stockage'!K50</f>
        <v>87.616000000000014</v>
      </c>
      <c r="O42" s="28">
        <f>'Données capacités de stockage'!L50</f>
        <v>90.28</v>
      </c>
      <c r="P42" s="28">
        <f>'Données capacités de stockage'!M50</f>
        <v>92.944000000000003</v>
      </c>
      <c r="Q42" s="28">
        <f>'Données capacités de stockage'!N50</f>
        <v>95.608000000000004</v>
      </c>
      <c r="R42" s="28">
        <f>'Données capacités de stockage'!O50</f>
        <v>98.272000000000006</v>
      </c>
      <c r="S42" s="28">
        <f>'Données capacités de stockage'!P50</f>
        <v>100.93600000000001</v>
      </c>
      <c r="T42" s="28">
        <f>'Données capacités de stockage'!Q50</f>
        <v>103.6</v>
      </c>
      <c r="U42" s="28">
        <f>'Données capacités de stockage'!R50</f>
        <v>103.6</v>
      </c>
      <c r="V42" s="28">
        <f>'Données capacités de stockage'!S50</f>
        <v>103.6</v>
      </c>
      <c r="W42" s="28">
        <f>'Données capacités de stockage'!T50</f>
        <v>103.6</v>
      </c>
      <c r="X42" s="28">
        <f>'Données capacités de stockage'!U50</f>
        <v>103.6</v>
      </c>
      <c r="Y42" s="28">
        <f>'Données capacités de stockage'!V50</f>
        <v>103.6</v>
      </c>
      <c r="Z42" s="28">
        <f>'Données capacités de stockage'!W50</f>
        <v>103.6</v>
      </c>
      <c r="AA42" s="28">
        <f>'Données capacités de stockage'!X50</f>
        <v>103.6</v>
      </c>
      <c r="AB42" s="28">
        <f>'Données capacités de stockage'!Y50</f>
        <v>103.6</v>
      </c>
      <c r="AC42" s="28">
        <f>'Données capacités de stockage'!Z50</f>
        <v>103.6</v>
      </c>
      <c r="AD42" s="28">
        <f>'Données capacités de stockage'!AA50</f>
        <v>103.6</v>
      </c>
      <c r="AE42" s="28">
        <f>'Données capacités de stockage'!AB50</f>
        <v>103.6</v>
      </c>
      <c r="AF42" s="28">
        <f>'Données capacités de stockage'!AC50</f>
        <v>103.6</v>
      </c>
      <c r="AG42" s="28">
        <f>'Données capacités de stockage'!AD50</f>
        <v>103.6</v>
      </c>
      <c r="AH42" s="28">
        <f>'Données capacités de stockage'!AE50</f>
        <v>103.6</v>
      </c>
      <c r="AI42" s="28">
        <f>'Données capacités de stockage'!AF50</f>
        <v>103.6</v>
      </c>
      <c r="AJ42" s="28">
        <f>'Données capacités de stockage'!AG50</f>
        <v>103.6</v>
      </c>
      <c r="AK42" s="28">
        <f>'Données capacités de stockage'!AH50</f>
        <v>103.6</v>
      </c>
      <c r="AL42" s="28">
        <f>'Données capacités de stockage'!AI50</f>
        <v>103.6</v>
      </c>
      <c r="AM42" s="28">
        <f>'Données capacités de stockage'!AJ50</f>
        <v>103.6</v>
      </c>
      <c r="AN42" s="28">
        <f>'Données capacités de stockage'!AK50</f>
        <v>103.6</v>
      </c>
      <c r="AO42" s="28">
        <f>'Données capacités de stockage'!AL50</f>
        <v>103.6</v>
      </c>
      <c r="AP42" s="28">
        <f>'Données capacités de stockage'!AM50</f>
        <v>103.6</v>
      </c>
    </row>
    <row r="43" spans="1:42" ht="7.5" customHeight="1" x14ac:dyDescent="0.25">
      <c r="A43" s="1"/>
      <c r="B43" s="52"/>
      <c r="C43" s="1"/>
      <c r="D43" s="1"/>
      <c r="E43" s="1"/>
      <c r="F43" s="1"/>
      <c r="G43" s="1"/>
      <c r="H43" s="1"/>
      <c r="I43" s="1"/>
      <c r="J43" s="1"/>
      <c r="K43" s="1"/>
      <c r="L43" s="1"/>
      <c r="M43" s="1"/>
      <c r="N43" s="1"/>
      <c r="O43" s="1"/>
      <c r="P43" s="31"/>
      <c r="Q43" s="1"/>
      <c r="R43" s="1"/>
      <c r="S43" s="1"/>
      <c r="T43" s="1"/>
      <c r="U43" s="1"/>
      <c r="V43" s="1"/>
      <c r="W43" s="1"/>
      <c r="X43" s="1"/>
      <c r="Y43" s="1"/>
      <c r="Z43" s="1"/>
      <c r="AA43" s="1"/>
      <c r="AB43" s="1"/>
      <c r="AC43" s="1"/>
      <c r="AD43" s="1"/>
      <c r="AE43" s="1"/>
      <c r="AF43" s="1"/>
      <c r="AG43" s="1"/>
      <c r="AH43" s="31"/>
      <c r="AI43" s="1"/>
      <c r="AJ43" s="1"/>
      <c r="AK43" s="1"/>
      <c r="AL43" s="1"/>
      <c r="AM43" s="1"/>
      <c r="AN43" s="31"/>
      <c r="AO43" s="1"/>
      <c r="AP43" s="13"/>
    </row>
    <row r="44" spans="1:42" x14ac:dyDescent="0.25">
      <c r="A44" s="16" t="s">
        <v>246</v>
      </c>
      <c r="B44" s="54"/>
      <c r="C44" s="17"/>
      <c r="D44" s="17"/>
      <c r="E44" s="56">
        <f>E45+E46</f>
        <v>487.45848596491226</v>
      </c>
      <c r="F44" s="56">
        <f t="shared" ref="F44:AP44" si="27">F45+F46</f>
        <v>469.73681031991742</v>
      </c>
      <c r="G44" s="56">
        <f t="shared" si="27"/>
        <v>452.01513467492259</v>
      </c>
      <c r="H44" s="56">
        <f t="shared" si="27"/>
        <v>434.29345902992776</v>
      </c>
      <c r="I44" s="56">
        <f t="shared" si="27"/>
        <v>416.57178338493293</v>
      </c>
      <c r="J44" s="56">
        <f t="shared" si="27"/>
        <v>398.8501077399381</v>
      </c>
      <c r="K44" s="56">
        <f t="shared" si="27"/>
        <v>381.12843209494326</v>
      </c>
      <c r="L44" s="56">
        <f t="shared" si="27"/>
        <v>363.40675644994838</v>
      </c>
      <c r="M44" s="56">
        <f t="shared" si="27"/>
        <v>345.6850808049536</v>
      </c>
      <c r="N44" s="56">
        <f t="shared" si="27"/>
        <v>327.96340515995871</v>
      </c>
      <c r="O44" s="56">
        <f t="shared" si="27"/>
        <v>310.24172951496388</v>
      </c>
      <c r="P44" s="56">
        <f t="shared" si="27"/>
        <v>292.52005386996905</v>
      </c>
      <c r="Q44" s="56">
        <f t="shared" si="27"/>
        <v>274.79837822497421</v>
      </c>
      <c r="R44" s="56">
        <f t="shared" si="27"/>
        <v>257.07670257997938</v>
      </c>
      <c r="S44" s="56">
        <f t="shared" si="27"/>
        <v>239.35502693498455</v>
      </c>
      <c r="T44" s="56">
        <f t="shared" si="27"/>
        <v>221.63335128998972</v>
      </c>
      <c r="U44" s="56">
        <f t="shared" si="27"/>
        <v>203.91167564499486</v>
      </c>
      <c r="V44" s="56">
        <f t="shared" si="27"/>
        <v>186.19</v>
      </c>
      <c r="W44" s="56">
        <f t="shared" si="27"/>
        <v>186.19</v>
      </c>
      <c r="X44" s="56">
        <f t="shared" si="27"/>
        <v>186.19</v>
      </c>
      <c r="Y44" s="56">
        <f t="shared" si="27"/>
        <v>186.19</v>
      </c>
      <c r="Z44" s="56">
        <f t="shared" si="27"/>
        <v>186.19</v>
      </c>
      <c r="AA44" s="56">
        <f t="shared" si="27"/>
        <v>186.19</v>
      </c>
      <c r="AB44" s="56">
        <f t="shared" si="27"/>
        <v>186.19</v>
      </c>
      <c r="AC44" s="56">
        <f t="shared" si="27"/>
        <v>186.19</v>
      </c>
      <c r="AD44" s="56">
        <f t="shared" si="27"/>
        <v>186.19</v>
      </c>
      <c r="AE44" s="56">
        <f t="shared" si="27"/>
        <v>186.19</v>
      </c>
      <c r="AF44" s="56">
        <f t="shared" si="27"/>
        <v>186.19</v>
      </c>
      <c r="AG44" s="56">
        <f t="shared" si="27"/>
        <v>186.19</v>
      </c>
      <c r="AH44" s="56">
        <f t="shared" si="27"/>
        <v>186.19</v>
      </c>
      <c r="AI44" s="56">
        <f t="shared" si="27"/>
        <v>186.19</v>
      </c>
      <c r="AJ44" s="56">
        <f t="shared" si="27"/>
        <v>186.19</v>
      </c>
      <c r="AK44" s="56">
        <f t="shared" si="27"/>
        <v>186.19</v>
      </c>
      <c r="AL44" s="56">
        <f t="shared" si="27"/>
        <v>186.19</v>
      </c>
      <c r="AM44" s="56">
        <f t="shared" si="27"/>
        <v>186.19</v>
      </c>
      <c r="AN44" s="56">
        <f t="shared" si="27"/>
        <v>186.19</v>
      </c>
      <c r="AO44" s="56">
        <f t="shared" si="27"/>
        <v>186.19</v>
      </c>
      <c r="AP44" s="56">
        <f t="shared" si="27"/>
        <v>186.19</v>
      </c>
    </row>
    <row r="45" spans="1:42" x14ac:dyDescent="0.25">
      <c r="A45" s="1" t="s">
        <v>26</v>
      </c>
      <c r="B45" s="1"/>
      <c r="C45" s="1"/>
      <c r="D45" s="1"/>
      <c r="E45" s="26">
        <f>LCOE!AN26/LCOE!AQ26*'Données capacités de stockage'!B47/1000</f>
        <v>320.84449999999998</v>
      </c>
      <c r="F45" s="138">
        <f>E45+($V$45-$E$45)/(2030-2013)</f>
        <v>309.18011764705881</v>
      </c>
      <c r="G45" s="138">
        <f t="shared" ref="G45:U45" si="28">F45+($V$45-$E$45)/(2030-2013)</f>
        <v>297.51573529411763</v>
      </c>
      <c r="H45" s="138">
        <f t="shared" si="28"/>
        <v>285.85135294117646</v>
      </c>
      <c r="I45" s="138">
        <f t="shared" si="28"/>
        <v>274.18697058823528</v>
      </c>
      <c r="J45" s="138">
        <f t="shared" si="28"/>
        <v>262.52258823529411</v>
      </c>
      <c r="K45" s="138">
        <f t="shared" si="28"/>
        <v>250.85820588235293</v>
      </c>
      <c r="L45" s="138">
        <f t="shared" si="28"/>
        <v>239.19382352941176</v>
      </c>
      <c r="M45" s="138">
        <f t="shared" si="28"/>
        <v>227.52944117647058</v>
      </c>
      <c r="N45" s="138">
        <f t="shared" si="28"/>
        <v>215.86505882352941</v>
      </c>
      <c r="O45" s="138">
        <f t="shared" si="28"/>
        <v>204.20067647058823</v>
      </c>
      <c r="P45" s="138">
        <f t="shared" si="28"/>
        <v>192.53629411764706</v>
      </c>
      <c r="Q45" s="138">
        <f t="shared" si="28"/>
        <v>180.87191176470589</v>
      </c>
      <c r="R45" s="138">
        <f t="shared" si="28"/>
        <v>169.20752941176471</v>
      </c>
      <c r="S45" s="138">
        <f t="shared" si="28"/>
        <v>157.54314705882354</v>
      </c>
      <c r="T45" s="138">
        <f t="shared" si="28"/>
        <v>145.87876470588236</v>
      </c>
      <c r="U45" s="138">
        <f t="shared" si="28"/>
        <v>134.21438235294119</v>
      </c>
      <c r="V45" s="26">
        <f>LCOE!AO26/LCOE!AQ26*'Données capacités de stockage'!B47/1000</f>
        <v>122.55</v>
      </c>
      <c r="W45" s="26">
        <f t="shared" ref="W45:AO45" si="29">$V$45</f>
        <v>122.55</v>
      </c>
      <c r="X45" s="26">
        <f t="shared" si="29"/>
        <v>122.55</v>
      </c>
      <c r="Y45" s="26">
        <f t="shared" si="29"/>
        <v>122.55</v>
      </c>
      <c r="Z45" s="26">
        <f t="shared" si="29"/>
        <v>122.55</v>
      </c>
      <c r="AA45" s="26">
        <f t="shared" si="29"/>
        <v>122.55</v>
      </c>
      <c r="AB45" s="26">
        <f t="shared" si="29"/>
        <v>122.55</v>
      </c>
      <c r="AC45" s="26">
        <f t="shared" si="29"/>
        <v>122.55</v>
      </c>
      <c r="AD45" s="26">
        <f t="shared" si="29"/>
        <v>122.55</v>
      </c>
      <c r="AE45" s="26">
        <f t="shared" si="29"/>
        <v>122.55</v>
      </c>
      <c r="AF45" s="26">
        <f t="shared" si="29"/>
        <v>122.55</v>
      </c>
      <c r="AG45" s="26">
        <f t="shared" si="29"/>
        <v>122.55</v>
      </c>
      <c r="AH45" s="26">
        <f t="shared" si="29"/>
        <v>122.55</v>
      </c>
      <c r="AI45" s="26">
        <f t="shared" si="29"/>
        <v>122.55</v>
      </c>
      <c r="AJ45" s="26">
        <f t="shared" si="29"/>
        <v>122.55</v>
      </c>
      <c r="AK45" s="26">
        <f t="shared" si="29"/>
        <v>122.55</v>
      </c>
      <c r="AL45" s="26">
        <f t="shared" si="29"/>
        <v>122.55</v>
      </c>
      <c r="AM45" s="26">
        <f t="shared" si="29"/>
        <v>122.55</v>
      </c>
      <c r="AN45" s="26">
        <f t="shared" si="29"/>
        <v>122.55</v>
      </c>
      <c r="AO45" s="26">
        <f t="shared" si="29"/>
        <v>122.55</v>
      </c>
      <c r="AP45" s="26">
        <f>$V$45</f>
        <v>122.55</v>
      </c>
    </row>
    <row r="46" spans="1:42" x14ac:dyDescent="0.25">
      <c r="A46" s="1" t="s">
        <v>25</v>
      </c>
      <c r="B46" s="1"/>
      <c r="C46" s="1"/>
      <c r="D46" s="1"/>
      <c r="E46" s="26">
        <f t="shared" ref="E46:AN46" si="30">E45*($AP$46/$AP$45)</f>
        <v>166.6139859649123</v>
      </c>
      <c r="F46" s="26">
        <f t="shared" si="30"/>
        <v>160.55669267285862</v>
      </c>
      <c r="G46" s="26">
        <f t="shared" si="30"/>
        <v>154.49939938080496</v>
      </c>
      <c r="H46" s="26">
        <f t="shared" si="30"/>
        <v>148.4421060887513</v>
      </c>
      <c r="I46" s="26">
        <f t="shared" si="30"/>
        <v>142.38481279669764</v>
      </c>
      <c r="J46" s="26">
        <f t="shared" si="30"/>
        <v>136.32751950464399</v>
      </c>
      <c r="K46" s="26">
        <f t="shared" si="30"/>
        <v>130.2702262125903</v>
      </c>
      <c r="L46" s="26">
        <f t="shared" si="30"/>
        <v>124.21293292053664</v>
      </c>
      <c r="M46" s="26">
        <f t="shared" si="30"/>
        <v>118.15563962848299</v>
      </c>
      <c r="N46" s="26">
        <f t="shared" si="30"/>
        <v>112.09834633642932</v>
      </c>
      <c r="O46" s="26">
        <f t="shared" si="30"/>
        <v>106.04105304437566</v>
      </c>
      <c r="P46" s="26">
        <f t="shared" si="30"/>
        <v>99.983759752321987</v>
      </c>
      <c r="Q46" s="26">
        <f t="shared" si="30"/>
        <v>93.92646646026833</v>
      </c>
      <c r="R46" s="26">
        <f t="shared" si="30"/>
        <v>87.869173168214672</v>
      </c>
      <c r="S46" s="26">
        <f t="shared" si="30"/>
        <v>81.811879876161001</v>
      </c>
      <c r="T46" s="26">
        <f t="shared" si="30"/>
        <v>75.754586584107344</v>
      </c>
      <c r="U46" s="26">
        <f t="shared" si="30"/>
        <v>69.697293292053672</v>
      </c>
      <c r="V46" s="26">
        <f t="shared" si="30"/>
        <v>63.640000000000008</v>
      </c>
      <c r="W46" s="26">
        <f t="shared" si="30"/>
        <v>63.640000000000008</v>
      </c>
      <c r="X46" s="26">
        <f t="shared" si="30"/>
        <v>63.640000000000008</v>
      </c>
      <c r="Y46" s="26">
        <f t="shared" si="30"/>
        <v>63.640000000000008</v>
      </c>
      <c r="Z46" s="26">
        <f t="shared" si="30"/>
        <v>63.640000000000008</v>
      </c>
      <c r="AA46" s="26">
        <f t="shared" si="30"/>
        <v>63.640000000000008</v>
      </c>
      <c r="AB46" s="26">
        <f t="shared" si="30"/>
        <v>63.640000000000008</v>
      </c>
      <c r="AC46" s="26">
        <f t="shared" si="30"/>
        <v>63.640000000000008</v>
      </c>
      <c r="AD46" s="26">
        <f t="shared" si="30"/>
        <v>63.640000000000008</v>
      </c>
      <c r="AE46" s="26">
        <f t="shared" si="30"/>
        <v>63.640000000000008</v>
      </c>
      <c r="AF46" s="26">
        <f t="shared" si="30"/>
        <v>63.640000000000008</v>
      </c>
      <c r="AG46" s="26">
        <f t="shared" si="30"/>
        <v>63.640000000000008</v>
      </c>
      <c r="AH46" s="26">
        <f t="shared" si="30"/>
        <v>63.640000000000008</v>
      </c>
      <c r="AI46" s="26">
        <f t="shared" si="30"/>
        <v>63.640000000000008</v>
      </c>
      <c r="AJ46" s="26">
        <f t="shared" si="30"/>
        <v>63.640000000000008</v>
      </c>
      <c r="AK46" s="26">
        <f t="shared" si="30"/>
        <v>63.640000000000008</v>
      </c>
      <c r="AL46" s="26">
        <f t="shared" si="30"/>
        <v>63.640000000000008</v>
      </c>
      <c r="AM46" s="26">
        <f t="shared" si="30"/>
        <v>63.640000000000008</v>
      </c>
      <c r="AN46" s="26">
        <f t="shared" si="30"/>
        <v>63.640000000000008</v>
      </c>
      <c r="AO46" s="26">
        <f>AO45*($AP$46/$AP$45)</f>
        <v>63.640000000000008</v>
      </c>
      <c r="AP46" s="26">
        <f>LCOE!AS26*'Données capacités de stockage'!B47/1000</f>
        <v>63.64</v>
      </c>
    </row>
    <row r="47" spans="1:42" x14ac:dyDescent="0.25">
      <c r="A47" s="1"/>
      <c r="B47" s="52"/>
      <c r="C47" s="52"/>
      <c r="D47" s="52"/>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row>
    <row r="48" spans="1:42" x14ac:dyDescent="0.25">
      <c r="A48" s="14"/>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row>
    <row r="49" spans="1:42" x14ac:dyDescent="0.25">
      <c r="A49" s="14"/>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row>
    <row r="51" spans="1:42" x14ac:dyDescent="0.25">
      <c r="A51" s="15"/>
      <c r="B51" s="23"/>
    </row>
  </sheetData>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M122"/>
  <sheetViews>
    <sheetView workbookViewId="0">
      <selection activeCell="A22" sqref="A22"/>
    </sheetView>
  </sheetViews>
  <sheetFormatPr baseColWidth="10" defaultRowHeight="15" outlineLevelRow="1" x14ac:dyDescent="0.25"/>
  <cols>
    <col min="1" max="1" width="30.140625" bestFit="1" customWidth="1"/>
    <col min="2" max="2" width="12.28515625" bestFit="1" customWidth="1"/>
    <col min="3" max="13" width="11.28515625" bestFit="1" customWidth="1"/>
    <col min="14" max="18" width="10.28515625" bestFit="1" customWidth="1"/>
    <col min="19" max="19" width="11.28515625" bestFit="1" customWidth="1"/>
    <col min="20" max="38" width="10.28515625" bestFit="1" customWidth="1"/>
    <col min="39" max="39" width="13.7109375" bestFit="1" customWidth="1"/>
  </cols>
  <sheetData>
    <row r="1" spans="1:39" ht="34.5" customHeight="1" x14ac:dyDescent="0.25">
      <c r="A1" s="62" t="s">
        <v>121</v>
      </c>
      <c r="B1" t="s">
        <v>30</v>
      </c>
      <c r="C1">
        <v>20</v>
      </c>
    </row>
    <row r="2" spans="1:39" outlineLevel="1" x14ac:dyDescent="0.25"/>
    <row r="3" spans="1:39" outlineLevel="1" x14ac:dyDescent="0.25">
      <c r="A3" s="3" t="s">
        <v>174</v>
      </c>
      <c r="B3" s="47">
        <v>2013</v>
      </c>
      <c r="C3" s="47">
        <v>2014</v>
      </c>
      <c r="D3" s="47">
        <v>2015</v>
      </c>
      <c r="E3" s="47">
        <v>2016</v>
      </c>
      <c r="F3" s="47">
        <v>2017</v>
      </c>
      <c r="G3" s="47">
        <v>2018</v>
      </c>
      <c r="H3" s="47">
        <v>2019</v>
      </c>
      <c r="I3" s="47">
        <v>2020</v>
      </c>
      <c r="J3" s="47">
        <v>2021</v>
      </c>
      <c r="K3" s="47">
        <v>2022</v>
      </c>
      <c r="L3" s="47">
        <v>2023</v>
      </c>
      <c r="M3" s="47">
        <v>2024</v>
      </c>
      <c r="N3" s="47">
        <v>2025</v>
      </c>
      <c r="O3" s="47">
        <v>2026</v>
      </c>
      <c r="P3" s="47">
        <v>2027</v>
      </c>
      <c r="Q3" s="47">
        <v>2028</v>
      </c>
      <c r="R3" s="47">
        <v>2029</v>
      </c>
      <c r="S3" s="47">
        <v>2030</v>
      </c>
      <c r="T3" s="47">
        <v>2031</v>
      </c>
      <c r="U3" s="47">
        <v>2032</v>
      </c>
      <c r="V3" s="47">
        <v>2033</v>
      </c>
      <c r="W3" s="47">
        <v>2034</v>
      </c>
      <c r="X3" s="47">
        <v>2035</v>
      </c>
      <c r="Y3" s="47">
        <v>2036</v>
      </c>
      <c r="Z3" s="47">
        <v>2037</v>
      </c>
      <c r="AA3" s="47">
        <v>2038</v>
      </c>
      <c r="AB3" s="47">
        <v>2039</v>
      </c>
      <c r="AC3" s="47">
        <v>2040</v>
      </c>
      <c r="AD3" s="47">
        <v>2041</v>
      </c>
      <c r="AE3" s="47">
        <v>2042</v>
      </c>
      <c r="AF3" s="47">
        <v>2043</v>
      </c>
      <c r="AG3" s="47">
        <v>2044</v>
      </c>
      <c r="AH3" s="47">
        <v>2045</v>
      </c>
      <c r="AI3" s="47">
        <v>2046</v>
      </c>
      <c r="AJ3" s="47">
        <v>2047</v>
      </c>
      <c r="AK3" s="47">
        <v>2048</v>
      </c>
      <c r="AL3" s="47">
        <v>2049</v>
      </c>
      <c r="AM3" s="47">
        <v>2050</v>
      </c>
    </row>
    <row r="4" spans="1:39" outlineLevel="1" x14ac:dyDescent="0.25">
      <c r="A4" t="s">
        <v>171</v>
      </c>
      <c r="B4" s="60">
        <f>'Chronique de production'!B2*1000000</f>
        <v>15899999.999999978</v>
      </c>
      <c r="C4" s="60">
        <f>'Chronique de production'!C2*1000000</f>
        <v>21725477.315656576</v>
      </c>
      <c r="D4" s="60">
        <f>'Chronique de production'!D2*1000000</f>
        <v>27550955.05725228</v>
      </c>
      <c r="E4" s="60">
        <f>'Chronique de production'!E2*1000000</f>
        <v>33376433.431630291</v>
      </c>
      <c r="F4" s="60">
        <f>'Chronique de production'!F2*1000000</f>
        <v>39201912.639595091</v>
      </c>
      <c r="G4" s="60">
        <f>'Chronique de production'!G2*1000000</f>
        <v>40319662.154425092</v>
      </c>
      <c r="H4" s="60">
        <f>'Chronique de production'!H2*1000000</f>
        <v>41437412.880794853</v>
      </c>
      <c r="I4" s="60">
        <f>'Chronique de production'!I2*1000000</f>
        <v>42555164.993251875</v>
      </c>
      <c r="J4" s="60">
        <f>'Chronique de production'!J2*1000000</f>
        <v>43672918.655119136</v>
      </c>
      <c r="K4" s="60">
        <f>'Chronique de production'!K2*1000000</f>
        <v>44790674.017401785</v>
      </c>
      <c r="L4" s="60">
        <f>'Chronique de production'!L2*1000000</f>
        <v>45908431.217789374</v>
      </c>
      <c r="M4" s="60">
        <f>'Chronique de production'!M2*1000000</f>
        <v>48909198.55809477</v>
      </c>
      <c r="N4" s="60">
        <f>'Chronique de production'!N2*1000000</f>
        <v>51909947.062119953</v>
      </c>
      <c r="O4" s="60">
        <f>'Chronique de production'!O2*1000000</f>
        <v>54910675.885304213</v>
      </c>
      <c r="P4" s="60">
        <f>'Chronique de production'!P2*1000000</f>
        <v>57911384.330706365</v>
      </c>
      <c r="Q4" s="60">
        <f>'Chronique de production'!Q2*1000000</f>
        <v>60912071.852955535</v>
      </c>
      <c r="R4" s="60">
        <f>'Chronique de production'!R2*1000000</f>
        <v>63912738.061083473</v>
      </c>
      <c r="S4" s="60">
        <f>'Chronique de production'!S2*1000000</f>
        <v>66913382.720225744</v>
      </c>
      <c r="T4" s="60">
        <f>'Chronique de production'!T2*1000000</f>
        <v>69914005.752188697</v>
      </c>
      <c r="U4" s="60">
        <f>'Chronique de production'!U2*1000000</f>
        <v>72914607.23488456</v>
      </c>
      <c r="V4" s="60">
        <f>'Chronique de production'!V2*1000000</f>
        <v>75915187.400648162</v>
      </c>
      <c r="W4" s="60">
        <f>'Chronique de production'!W2*1000000</f>
        <v>78915746.6334562</v>
      </c>
      <c r="X4" s="60">
        <f>'Chronique de production'!X2*1000000</f>
        <v>81916285.465074226</v>
      </c>
      <c r="Y4" s="60">
        <f>'Chronique de production'!Y2*1000000</f>
        <v>84916804.570169747</v>
      </c>
      <c r="Z4" s="60">
        <f>'Chronique de production'!Z2*1000000</f>
        <v>87917304.76043199</v>
      </c>
      <c r="AA4" s="60">
        <f>'Chronique de production'!AA2*1000000</f>
        <v>90917786.977748841</v>
      </c>
      <c r="AB4" s="60">
        <f>'Chronique de production'!AB2*1000000</f>
        <v>93918252.286496118</v>
      </c>
      <c r="AC4" s="60">
        <f>'Chronique de production'!AC2*1000000</f>
        <v>96918701.865002275</v>
      </c>
      <c r="AD4" s="60">
        <f>'Chronique de production'!AD2*1000000</f>
        <v>99919136.996253312</v>
      </c>
      <c r="AE4" s="60">
        <f>'Chronique de production'!AE2*1000000</f>
        <v>102919559.05791315</v>
      </c>
      <c r="AF4" s="60">
        <f>'Chronique de production'!AF2*1000000</f>
        <v>105919969.51173531</v>
      </c>
      <c r="AG4" s="60">
        <f>'Chronique de production'!AG2*1000000</f>
        <v>108920369.89244366</v>
      </c>
      <c r="AH4" s="60">
        <f>'Chronique de production'!AH2*1000000</f>
        <v>111920761.79617055</v>
      </c>
      <c r="AI4" s="60">
        <f>'Chronique de production'!AI2*1000000</f>
        <v>114921146.86853649</v>
      </c>
      <c r="AJ4" s="60">
        <f>'Chronique de production'!AJ2*1000000</f>
        <v>117921526.79245725</v>
      </c>
      <c r="AK4" s="60">
        <f>'Chronique de production'!AK2*1000000</f>
        <v>120921903.27577305</v>
      </c>
      <c r="AL4" s="60">
        <f>'Chronique de production'!AL2*1000000</f>
        <v>123922278.03878649</v>
      </c>
      <c r="AM4" s="60">
        <f>'Chronique de production'!AM2*1000000</f>
        <v>126922652.80179992</v>
      </c>
    </row>
    <row r="5" spans="1:39" outlineLevel="1" x14ac:dyDescent="0.25">
      <c r="A5" t="s">
        <v>185</v>
      </c>
      <c r="B5" s="60">
        <f>LCOE!B8</f>
        <v>80</v>
      </c>
      <c r="C5" s="60">
        <f>LCOE!C8</f>
        <v>79.411764705882348</v>
      </c>
      <c r="D5" s="60">
        <f>LCOE!D8</f>
        <v>78.823529411764696</v>
      </c>
      <c r="E5" s="60">
        <f>LCOE!E8</f>
        <v>78.235294117647044</v>
      </c>
      <c r="F5" s="60">
        <f>LCOE!F8</f>
        <v>77.647058823529392</v>
      </c>
      <c r="G5" s="60">
        <f>LCOE!G8</f>
        <v>77.05882352941174</v>
      </c>
      <c r="H5" s="60">
        <f>LCOE!H8</f>
        <v>76.470588235294088</v>
      </c>
      <c r="I5" s="60">
        <f>LCOE!I8</f>
        <v>75.882352941176435</v>
      </c>
      <c r="J5" s="60">
        <f>LCOE!J8</f>
        <v>75.294117647058783</v>
      </c>
      <c r="K5" s="60">
        <f>LCOE!K8</f>
        <v>74.705882352941131</v>
      </c>
      <c r="L5" s="60">
        <f>LCOE!L8</f>
        <v>74.117647058823479</v>
      </c>
      <c r="M5" s="60">
        <f>LCOE!M8</f>
        <v>73.529411764705827</v>
      </c>
      <c r="N5" s="60">
        <f>LCOE!N8</f>
        <v>72.941176470588175</v>
      </c>
      <c r="O5" s="60">
        <f>LCOE!O8</f>
        <v>72.352941176470523</v>
      </c>
      <c r="P5" s="60">
        <f>LCOE!P8</f>
        <v>71.764705882352871</v>
      </c>
      <c r="Q5" s="60">
        <f>LCOE!Q8</f>
        <v>71.176470588235219</v>
      </c>
      <c r="R5" s="60">
        <f>LCOE!R8</f>
        <v>70.588235294117567</v>
      </c>
      <c r="S5" s="60">
        <f>LCOE!S8</f>
        <v>70</v>
      </c>
      <c r="T5" s="60">
        <f>LCOE!T8</f>
        <v>69.75</v>
      </c>
      <c r="U5" s="60">
        <f>LCOE!U8</f>
        <v>69.5</v>
      </c>
      <c r="V5" s="60">
        <f>LCOE!V8</f>
        <v>69.25</v>
      </c>
      <c r="W5" s="60">
        <f>LCOE!W8</f>
        <v>69</v>
      </c>
      <c r="X5" s="60">
        <f>LCOE!X8</f>
        <v>68.75</v>
      </c>
      <c r="Y5" s="60">
        <f>LCOE!Y8</f>
        <v>68.5</v>
      </c>
      <c r="Z5" s="60">
        <f>LCOE!Z8</f>
        <v>68.25</v>
      </c>
      <c r="AA5" s="60">
        <f>LCOE!AA8</f>
        <v>68</v>
      </c>
      <c r="AB5" s="60">
        <f>LCOE!AB8</f>
        <v>67.75</v>
      </c>
      <c r="AC5" s="60">
        <f>LCOE!AC8</f>
        <v>67.5</v>
      </c>
      <c r="AD5" s="60">
        <f>LCOE!AD8</f>
        <v>67.25</v>
      </c>
      <c r="AE5" s="60">
        <f>LCOE!AE8</f>
        <v>67</v>
      </c>
      <c r="AF5" s="60">
        <f>LCOE!AF8</f>
        <v>66.75</v>
      </c>
      <c r="AG5" s="60">
        <f>LCOE!AG8</f>
        <v>66.5</v>
      </c>
      <c r="AH5" s="60">
        <f>LCOE!AH8</f>
        <v>66.25</v>
      </c>
      <c r="AI5" s="60">
        <f>LCOE!AI8</f>
        <v>66</v>
      </c>
      <c r="AJ5" s="60">
        <f>LCOE!AJ8</f>
        <v>65.75</v>
      </c>
      <c r="AK5" s="60">
        <f>LCOE!AK8</f>
        <v>65.5</v>
      </c>
      <c r="AL5" s="60">
        <f>LCOE!AL8</f>
        <v>65.25</v>
      </c>
      <c r="AM5" s="60">
        <f>LCOE!AM8</f>
        <v>65</v>
      </c>
    </row>
    <row r="6" spans="1:39" outlineLevel="1" x14ac:dyDescent="0.25">
      <c r="A6" t="s">
        <v>127</v>
      </c>
      <c r="B6" s="48">
        <v>0</v>
      </c>
      <c r="C6" s="64">
        <f t="shared" ref="C6:AM6" si="0">B6+C4-B4</f>
        <v>5825477.3156565987</v>
      </c>
      <c r="D6" s="64">
        <f t="shared" si="0"/>
        <v>11650955.057252303</v>
      </c>
      <c r="E6" s="64">
        <f t="shared" si="0"/>
        <v>17476433.431630313</v>
      </c>
      <c r="F6" s="64">
        <f t="shared" si="0"/>
        <v>23301912.639595114</v>
      </c>
      <c r="G6" s="64">
        <f t="shared" si="0"/>
        <v>24419662.154425114</v>
      </c>
      <c r="H6" s="64">
        <f t="shared" si="0"/>
        <v>25537412.880794875</v>
      </c>
      <c r="I6" s="64">
        <f t="shared" si="0"/>
        <v>26655164.99325189</v>
      </c>
      <c r="J6" s="64">
        <f t="shared" si="0"/>
        <v>27772918.655119151</v>
      </c>
      <c r="K6" s="64">
        <f t="shared" si="0"/>
        <v>28890674.0174018</v>
      </c>
      <c r="L6" s="64">
        <f t="shared" si="0"/>
        <v>30008431.217789382</v>
      </c>
      <c r="M6" s="64">
        <f t="shared" si="0"/>
        <v>33009198.558094777</v>
      </c>
      <c r="N6" s="64">
        <f t="shared" si="0"/>
        <v>36009947.062119961</v>
      </c>
      <c r="O6" s="64">
        <f t="shared" si="0"/>
        <v>39010675.88530422</v>
      </c>
      <c r="P6" s="64">
        <f t="shared" si="0"/>
        <v>42011384.330706373</v>
      </c>
      <c r="Q6" s="64">
        <f t="shared" si="0"/>
        <v>45012071.852955543</v>
      </c>
      <c r="R6" s="64">
        <f t="shared" si="0"/>
        <v>48012738.061083481</v>
      </c>
      <c r="S6" s="64">
        <f t="shared" si="0"/>
        <v>51013382.720225744</v>
      </c>
      <c r="T6" s="64">
        <f t="shared" si="0"/>
        <v>54014005.75218869</v>
      </c>
      <c r="U6" s="64">
        <f t="shared" si="0"/>
        <v>57014607.234884545</v>
      </c>
      <c r="V6" s="64">
        <f t="shared" si="0"/>
        <v>60015187.400648147</v>
      </c>
      <c r="W6" s="64">
        <f t="shared" si="0"/>
        <v>63015746.633456185</v>
      </c>
      <c r="X6" s="64">
        <f t="shared" si="0"/>
        <v>66016285.465074211</v>
      </c>
      <c r="Y6" s="64">
        <f t="shared" si="0"/>
        <v>69016804.570169732</v>
      </c>
      <c r="Z6" s="64">
        <f t="shared" si="0"/>
        <v>72017304.760431975</v>
      </c>
      <c r="AA6" s="64">
        <f t="shared" si="0"/>
        <v>75017786.977748826</v>
      </c>
      <c r="AB6" s="64">
        <f t="shared" si="0"/>
        <v>78018252.286496103</v>
      </c>
      <c r="AC6" s="64">
        <f t="shared" si="0"/>
        <v>81018701.86500226</v>
      </c>
      <c r="AD6" s="64">
        <f t="shared" si="0"/>
        <v>84019136.996253312</v>
      </c>
      <c r="AE6" s="64">
        <f t="shared" si="0"/>
        <v>87019559.057913154</v>
      </c>
      <c r="AF6" s="64">
        <f t="shared" si="0"/>
        <v>90019969.51173529</v>
      </c>
      <c r="AG6" s="64">
        <f t="shared" si="0"/>
        <v>93020369.892443642</v>
      </c>
      <c r="AH6" s="64">
        <f t="shared" si="0"/>
        <v>96020761.796170533</v>
      </c>
      <c r="AI6" s="64">
        <f t="shared" si="0"/>
        <v>99021146.868536457</v>
      </c>
      <c r="AJ6" s="64">
        <f t="shared" si="0"/>
        <v>102021526.79245721</v>
      </c>
      <c r="AK6" s="64">
        <f t="shared" si="0"/>
        <v>105021903.27577302</v>
      </c>
      <c r="AL6" s="64">
        <f t="shared" si="0"/>
        <v>108022278.03878647</v>
      </c>
      <c r="AM6" s="64">
        <f t="shared" si="0"/>
        <v>111022652.80179991</v>
      </c>
    </row>
    <row r="7" spans="1:39" outlineLevel="1" x14ac:dyDescent="0.25">
      <c r="A7" t="s">
        <v>188</v>
      </c>
      <c r="B7" s="105"/>
      <c r="C7" s="42"/>
      <c r="D7" s="42"/>
      <c r="E7" s="42"/>
      <c r="F7" s="42"/>
      <c r="G7" s="42"/>
      <c r="H7" s="42"/>
      <c r="I7" s="42"/>
      <c r="J7" s="42"/>
      <c r="K7" s="42"/>
      <c r="L7" s="42"/>
      <c r="M7" s="49"/>
      <c r="N7" s="42"/>
      <c r="O7" s="42"/>
      <c r="P7" s="42"/>
      <c r="Q7" s="42"/>
      <c r="R7" s="42"/>
      <c r="S7" s="43"/>
      <c r="T7" s="42"/>
      <c r="U7" s="42"/>
      <c r="V7" s="42"/>
      <c r="W7" s="42"/>
      <c r="X7" s="42"/>
      <c r="Y7" s="42"/>
      <c r="Z7" s="42"/>
      <c r="AA7" s="42"/>
      <c r="AB7" s="42"/>
      <c r="AC7" s="42"/>
      <c r="AD7" s="42"/>
      <c r="AE7" s="49"/>
      <c r="AF7" s="49"/>
      <c r="AG7" s="49"/>
      <c r="AH7" s="49"/>
      <c r="AI7" s="49"/>
      <c r="AJ7" s="49"/>
      <c r="AK7" s="49"/>
      <c r="AL7" s="42"/>
      <c r="AM7" s="104">
        <f>AM9/AM11</f>
        <v>0.29263621632535802</v>
      </c>
    </row>
    <row r="8" spans="1:39" outlineLevel="1" x14ac:dyDescent="0.25">
      <c r="A8" t="s">
        <v>206</v>
      </c>
      <c r="B8" s="58">
        <v>20</v>
      </c>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row>
    <row r="9" spans="1:39" outlineLevel="1" x14ac:dyDescent="0.25">
      <c r="A9" t="s">
        <v>107</v>
      </c>
      <c r="B9" s="13">
        <f t="shared" ref="B9:AK9" si="1">B11*$AM$7</f>
        <v>372.2332671658549</v>
      </c>
      <c r="C9" s="13">
        <f t="shared" si="1"/>
        <v>507.47327634251349</v>
      </c>
      <c r="D9" s="13">
        <f t="shared" si="1"/>
        <v>642.50423649328445</v>
      </c>
      <c r="E9" s="13">
        <f t="shared" si="1"/>
        <v>776.39556903917958</v>
      </c>
      <c r="F9" s="13">
        <f t="shared" si="1"/>
        <v>909.14727832509379</v>
      </c>
      <c r="G9" s="13">
        <f t="shared" si="1"/>
        <v>934.59908712562151</v>
      </c>
      <c r="H9" s="13">
        <f t="shared" si="1"/>
        <v>959.72166434347594</v>
      </c>
      <c r="I9" s="13">
        <f t="shared" si="1"/>
        <v>984.51501343753955</v>
      </c>
      <c r="J9" s="13">
        <f t="shared" si="1"/>
        <v>1008.9791375292364</v>
      </c>
      <c r="K9" s="13">
        <f t="shared" si="1"/>
        <v>1033.11403938636</v>
      </c>
      <c r="L9" s="13">
        <f t="shared" si="1"/>
        <v>1056.9197214099136</v>
      </c>
      <c r="M9" s="13">
        <f t="shared" si="1"/>
        <v>1120.9135671400015</v>
      </c>
      <c r="N9" s="13">
        <f t="shared" si="1"/>
        <v>1184.2536113979943</v>
      </c>
      <c r="O9" s="13">
        <f t="shared" si="1"/>
        <v>1246.9398427868457</v>
      </c>
      <c r="P9" s="13">
        <f t="shared" si="1"/>
        <v>1308.9722534458067</v>
      </c>
      <c r="Q9" s="13">
        <f t="shared" si="1"/>
        <v>1370.350839031069</v>
      </c>
      <c r="R9" s="13">
        <f t="shared" si="1"/>
        <v>1431.075598669908</v>
      </c>
      <c r="S9" s="13">
        <f t="shared" si="1"/>
        <v>1491.1465348892161</v>
      </c>
      <c r="T9" s="13">
        <f t="shared" si="1"/>
        <v>1550.9393438951417</v>
      </c>
      <c r="U9" s="13">
        <f t="shared" si="1"/>
        <v>1610.4540304367285</v>
      </c>
      <c r="V9" s="13">
        <f t="shared" si="1"/>
        <v>1652.0095221849251</v>
      </c>
      <c r="W9" s="13">
        <f t="shared" si="1"/>
        <v>1692.4248472042502</v>
      </c>
      <c r="X9" s="13">
        <f t="shared" si="1"/>
        <v>1733.2755366073329</v>
      </c>
      <c r="Y9" s="13">
        <f t="shared" si="1"/>
        <v>1774.5616063983825</v>
      </c>
      <c r="Z9" s="13">
        <f t="shared" si="1"/>
        <v>1816.2830752482143</v>
      </c>
      <c r="AA9" s="13">
        <f t="shared" si="1"/>
        <v>1870.9198752510179</v>
      </c>
      <c r="AB9" s="13">
        <f t="shared" si="1"/>
        <v>1925.5261482395483</v>
      </c>
      <c r="AC9" s="13">
        <f t="shared" si="1"/>
        <v>1980.1019197749667</v>
      </c>
      <c r="AD9" s="13">
        <f t="shared" si="1"/>
        <v>2034.6472172977089</v>
      </c>
      <c r="AE9" s="13">
        <f t="shared" si="1"/>
        <v>2089.1620698992128</v>
      </c>
      <c r="AF9" s="13">
        <f t="shared" si="1"/>
        <v>2143.646508084661</v>
      </c>
      <c r="AG9" s="13">
        <f t="shared" si="1"/>
        <v>2194.2271018556294</v>
      </c>
      <c r="AH9" s="13">
        <f t="shared" si="1"/>
        <v>2244.963766370563</v>
      </c>
      <c r="AI9" s="13">
        <f t="shared" si="1"/>
        <v>2295.856532494593</v>
      </c>
      <c r="AJ9" s="13">
        <f t="shared" si="1"/>
        <v>2346.9054309386556</v>
      </c>
      <c r="AK9" s="13">
        <f t="shared" si="1"/>
        <v>2398.1104920633388</v>
      </c>
      <c r="AL9" s="13">
        <f>AL11*$AM$7</f>
        <v>2449.4717456892176</v>
      </c>
      <c r="AM9" s="13">
        <f>LCOE!AS8*1000*('Capacités installées'!B9+'Capacités installées'!B10)/1000000</f>
        <v>2500.9892209147956</v>
      </c>
    </row>
    <row r="10" spans="1:39" outlineLevel="1" x14ac:dyDescent="0.25">
      <c r="A10" t="s">
        <v>111</v>
      </c>
      <c r="B10" s="13">
        <f>B11-B9</f>
        <v>899.76673283414334</v>
      </c>
      <c r="C10" s="13">
        <f t="shared" ref="C10:AM10" si="2">C11-C9</f>
        <v>1226.670510489038</v>
      </c>
      <c r="D10" s="13">
        <f t="shared" si="2"/>
        <v>1553.0689723228695</v>
      </c>
      <c r="E10" s="13">
        <f t="shared" si="2"/>
        <v>1876.7127125959601</v>
      </c>
      <c r="F10" s="13">
        <f t="shared" si="2"/>
        <v>2197.6017418108422</v>
      </c>
      <c r="G10" s="13">
        <f t="shared" si="2"/>
        <v>2259.1241603295675</v>
      </c>
      <c r="H10" s="13">
        <f t="shared" si="2"/>
        <v>2319.8507563046942</v>
      </c>
      <c r="I10" s="13">
        <f t="shared" si="2"/>
        <v>2379.7815380970756</v>
      </c>
      <c r="J10" s="13">
        <f t="shared" si="2"/>
        <v>2438.9165132518547</v>
      </c>
      <c r="K10" s="13">
        <f t="shared" si="2"/>
        <v>2497.255688459376</v>
      </c>
      <c r="L10" s="13">
        <f t="shared" si="2"/>
        <v>2554.7990695233725</v>
      </c>
      <c r="M10" s="13">
        <f t="shared" si="2"/>
        <v>2709.4857635216222</v>
      </c>
      <c r="N10" s="13">
        <f t="shared" si="2"/>
        <v>2862.5920807337016</v>
      </c>
      <c r="O10" s="13">
        <f t="shared" si="2"/>
        <v>3014.1179936105345</v>
      </c>
      <c r="P10" s="13">
        <f t="shared" si="2"/>
        <v>3164.0634831510215</v>
      </c>
      <c r="Q10" s="13">
        <f t="shared" si="2"/>
        <v>3312.4285388552589</v>
      </c>
      <c r="R10" s="13">
        <f t="shared" si="2"/>
        <v>3459.2131586136857</v>
      </c>
      <c r="S10" s="13">
        <f t="shared" si="2"/>
        <v>3604.4173485343363</v>
      </c>
      <c r="T10" s="13">
        <f t="shared" si="2"/>
        <v>3748.9492460078263</v>
      </c>
      <c r="U10" s="13">
        <f t="shared" si="2"/>
        <v>3892.8088625136024</v>
      </c>
      <c r="V10" s="13">
        <f t="shared" si="2"/>
        <v>3993.2572972445341</v>
      </c>
      <c r="W10" s="13">
        <f t="shared" si="2"/>
        <v>4090.9497072377162</v>
      </c>
      <c r="X10" s="13">
        <f t="shared" si="2"/>
        <v>4189.6944852584747</v>
      </c>
      <c r="Y10" s="13">
        <f t="shared" si="2"/>
        <v>4289.4916699923779</v>
      </c>
      <c r="Z10" s="13">
        <f t="shared" si="2"/>
        <v>4390.3413065707446</v>
      </c>
      <c r="AA10" s="13">
        <f t="shared" si="2"/>
        <v>4522.4100370346732</v>
      </c>
      <c r="AB10" s="13">
        <f t="shared" si="2"/>
        <v>4654.4049772323415</v>
      </c>
      <c r="AC10" s="13">
        <f t="shared" si="2"/>
        <v>4786.3261889504929</v>
      </c>
      <c r="AD10" s="13">
        <f t="shared" si="2"/>
        <v>4918.1737385184806</v>
      </c>
      <c r="AE10" s="13">
        <f t="shared" si="2"/>
        <v>5049.9476962564777</v>
      </c>
      <c r="AF10" s="13">
        <f t="shared" si="2"/>
        <v>5181.6481359019799</v>
      </c>
      <c r="AG10" s="13">
        <f t="shared" si="2"/>
        <v>5303.9121558500874</v>
      </c>
      <c r="AH10" s="13">
        <f t="shared" si="2"/>
        <v>5426.5534318786558</v>
      </c>
      <c r="AI10" s="13">
        <f t="shared" si="2"/>
        <v>5549.5720385952545</v>
      </c>
      <c r="AJ10" s="13">
        <f t="shared" si="2"/>
        <v>5672.9680502347255</v>
      </c>
      <c r="AK10" s="13">
        <f t="shared" si="2"/>
        <v>5796.7415401850485</v>
      </c>
      <c r="AL10" s="13">
        <f t="shared" si="2"/>
        <v>5920.8925805288764</v>
      </c>
      <c r="AM10" s="13">
        <f t="shared" si="2"/>
        <v>6045.4212416034616</v>
      </c>
    </row>
    <row r="11" spans="1:39" outlineLevel="1" x14ac:dyDescent="0.25">
      <c r="A11" t="s">
        <v>186</v>
      </c>
      <c r="B11" s="111">
        <v>1271.9999999999982</v>
      </c>
      <c r="C11" s="111">
        <v>1734.1437868315516</v>
      </c>
      <c r="D11" s="111">
        <v>2195.573208816154</v>
      </c>
      <c r="E11" s="111">
        <v>2653.1082816351395</v>
      </c>
      <c r="F11" s="111">
        <v>3106.749020135936</v>
      </c>
      <c r="G11" s="111">
        <v>3193.7232474551888</v>
      </c>
      <c r="H11" s="111">
        <v>3279.57242064817</v>
      </c>
      <c r="I11" s="111">
        <v>3364.296551534615</v>
      </c>
      <c r="J11" s="111">
        <v>3447.8956507810908</v>
      </c>
      <c r="K11" s="111">
        <v>3530.3697278457357</v>
      </c>
      <c r="L11" s="111">
        <v>3611.7187909332861</v>
      </c>
      <c r="M11" s="111">
        <v>3830.3993306616239</v>
      </c>
      <c r="N11" s="111">
        <v>4046.8456921316961</v>
      </c>
      <c r="O11" s="111">
        <v>4261.05783639738</v>
      </c>
      <c r="P11" s="111">
        <v>4473.0357365968284</v>
      </c>
      <c r="Q11" s="111">
        <v>4682.7793778863279</v>
      </c>
      <c r="R11" s="111">
        <v>4890.2887572835934</v>
      </c>
      <c r="S11" s="111">
        <v>5095.5638834235524</v>
      </c>
      <c r="T11" s="111">
        <v>5299.8885899029683</v>
      </c>
      <c r="U11" s="111">
        <v>5503.2628929503308</v>
      </c>
      <c r="V11" s="111">
        <v>5645.2668194294592</v>
      </c>
      <c r="W11" s="111">
        <v>5783.3745544419662</v>
      </c>
      <c r="X11" s="111">
        <v>5922.9700218658072</v>
      </c>
      <c r="Y11" s="111">
        <v>6064.0532763907604</v>
      </c>
      <c r="Z11" s="111">
        <v>6206.6243818189587</v>
      </c>
      <c r="AA11" s="111">
        <v>6393.3299122856915</v>
      </c>
      <c r="AB11" s="111">
        <v>6579.9311254718896</v>
      </c>
      <c r="AC11" s="111">
        <v>6766.4281087254594</v>
      </c>
      <c r="AD11" s="111">
        <v>6952.8209558161898</v>
      </c>
      <c r="AE11" s="111">
        <v>7139.1097661556905</v>
      </c>
      <c r="AF11" s="111">
        <v>7325.2946439866409</v>
      </c>
      <c r="AG11" s="111">
        <v>7498.1392577057168</v>
      </c>
      <c r="AH11" s="111">
        <v>7671.5171982492193</v>
      </c>
      <c r="AI11" s="111">
        <v>7845.4285710898475</v>
      </c>
      <c r="AJ11" s="111">
        <v>8019.8734811733812</v>
      </c>
      <c r="AK11" s="111">
        <v>8194.8520322483873</v>
      </c>
      <c r="AL11" s="111">
        <v>8370.364326218094</v>
      </c>
      <c r="AM11" s="111">
        <v>8546.4104625182572</v>
      </c>
    </row>
    <row r="12" spans="1:39" outlineLevel="1" x14ac:dyDescent="0.25"/>
    <row r="13" spans="1:39" outlineLevel="1" x14ac:dyDescent="0.25"/>
    <row r="14" spans="1:39" outlineLevel="1" x14ac:dyDescent="0.25">
      <c r="A14" s="3" t="s">
        <v>173</v>
      </c>
      <c r="B14" s="47">
        <v>2013</v>
      </c>
      <c r="C14" s="47">
        <v>2014</v>
      </c>
      <c r="D14" s="47">
        <v>2015</v>
      </c>
      <c r="E14" s="47">
        <v>2016</v>
      </c>
      <c r="F14" s="47">
        <v>2017</v>
      </c>
      <c r="G14" s="47">
        <v>2018</v>
      </c>
      <c r="H14" s="47">
        <v>2019</v>
      </c>
      <c r="I14" s="47">
        <v>2020</v>
      </c>
      <c r="J14" s="47">
        <v>2021</v>
      </c>
      <c r="K14" s="47">
        <v>2022</v>
      </c>
      <c r="L14" s="47">
        <v>2023</v>
      </c>
      <c r="M14" s="47">
        <v>2024</v>
      </c>
      <c r="N14" s="47">
        <v>2025</v>
      </c>
      <c r="O14" s="47">
        <v>2026</v>
      </c>
      <c r="P14" s="47">
        <v>2027</v>
      </c>
      <c r="Q14" s="47">
        <v>2028</v>
      </c>
      <c r="R14" s="47">
        <v>2029</v>
      </c>
      <c r="S14" s="47">
        <v>2030</v>
      </c>
      <c r="T14" s="47">
        <v>2031</v>
      </c>
      <c r="U14" s="47">
        <v>2032</v>
      </c>
      <c r="V14" s="47">
        <v>2033</v>
      </c>
      <c r="W14" s="47">
        <v>2034</v>
      </c>
      <c r="X14" s="47">
        <v>2035</v>
      </c>
      <c r="Y14" s="47">
        <v>2036</v>
      </c>
      <c r="Z14" s="47">
        <v>2037</v>
      </c>
      <c r="AA14" s="47">
        <v>2038</v>
      </c>
      <c r="AB14" s="47">
        <v>2039</v>
      </c>
      <c r="AC14" s="47">
        <v>2040</v>
      </c>
      <c r="AD14" s="47">
        <v>2041</v>
      </c>
      <c r="AE14" s="47">
        <v>2042</v>
      </c>
      <c r="AF14" s="47">
        <v>2043</v>
      </c>
      <c r="AG14" s="47">
        <v>2044</v>
      </c>
      <c r="AH14" s="47">
        <v>2045</v>
      </c>
      <c r="AI14" s="47">
        <v>2046</v>
      </c>
      <c r="AJ14" s="47">
        <v>2047</v>
      </c>
      <c r="AK14" s="47">
        <v>2048</v>
      </c>
      <c r="AL14" s="47">
        <v>2049</v>
      </c>
      <c r="AM14" s="47">
        <v>2050</v>
      </c>
    </row>
    <row r="15" spans="1:39" outlineLevel="1" x14ac:dyDescent="0.25">
      <c r="A15" t="s">
        <v>171</v>
      </c>
      <c r="B15" s="60">
        <f>'Linéarisation mix'!B5*1000000</f>
        <v>0</v>
      </c>
      <c r="C15" s="60">
        <v>0</v>
      </c>
      <c r="D15" s="60">
        <v>0</v>
      </c>
      <c r="E15" s="60">
        <v>0</v>
      </c>
      <c r="F15" s="60">
        <v>0</v>
      </c>
      <c r="G15" s="60">
        <f>F15+($L15-$F15)/(2023-2017)</f>
        <v>4707730.7200860688</v>
      </c>
      <c r="H15" s="60">
        <f t="shared" ref="H15:K15" si="3">G15+($L15-$F15)/(2023-2017)</f>
        <v>9415461.4401721377</v>
      </c>
      <c r="I15" s="60">
        <f t="shared" si="3"/>
        <v>14123192.160258207</v>
      </c>
      <c r="J15" s="60">
        <f t="shared" si="3"/>
        <v>18830922.880344275</v>
      </c>
      <c r="K15" s="60">
        <f t="shared" si="3"/>
        <v>23538653.600430343</v>
      </c>
      <c r="L15" s="60">
        <f>'Linéarisation mix'!L5*1000000</f>
        <v>28246384.320516415</v>
      </c>
      <c r="M15" s="60">
        <f>'Linéarisation mix'!M5*1000000</f>
        <v>31071106.862269454</v>
      </c>
      <c r="N15" s="60">
        <f>'Linéarisation mix'!N5*1000000</f>
        <v>33895850.310371004</v>
      </c>
      <c r="O15" s="60">
        <f>'Linéarisation mix'!O5*1000000</f>
        <v>36720615.602197371</v>
      </c>
      <c r="P15" s="60">
        <f>'Linéarisation mix'!P5*1000000</f>
        <v>39545403.511282146</v>
      </c>
      <c r="Q15" s="60">
        <f>'Linéarisation mix'!Q5*1000000</f>
        <v>42370214.642931312</v>
      </c>
      <c r="R15" s="60">
        <f>'Linéarisation mix'!R5*1000000</f>
        <v>45195049.431079738</v>
      </c>
      <c r="S15" s="60">
        <f>'Linéarisation mix'!S5*1000000</f>
        <v>48019908.136402793</v>
      </c>
      <c r="T15" s="60">
        <f>'Linéarisation mix'!T5*1000000</f>
        <v>50844790.845687672</v>
      </c>
      <c r="U15" s="60">
        <f>'Linéarisation mix'!U5*1000000</f>
        <v>53669697.472459838</v>
      </c>
      <c r="V15" s="60">
        <f>'Linéarisation mix'!V5*1000000</f>
        <v>56494627.758851022</v>
      </c>
      <c r="W15" s="60">
        <f>'Linéarisation mix'!W5*1000000</f>
        <v>59319581.278686538</v>
      </c>
      <c r="X15" s="60">
        <f>'Linéarisation mix'!X5*1000000</f>
        <v>62144557.441760778</v>
      </c>
      <c r="Y15" s="60">
        <f>'Linéarisation mix'!Y5*1000000</f>
        <v>64969555.499261729</v>
      </c>
      <c r="Z15" s="60">
        <f>'Linéarisation mix'!Z5*1000000</f>
        <v>67794574.550297171</v>
      </c>
      <c r="AA15" s="60">
        <f>'Linéarisation mix'!AA5*1000000</f>
        <v>70619613.549467698</v>
      </c>
      <c r="AB15" s="60">
        <f>'Linéarisation mix'!AB5*1000000</f>
        <v>73444671.315424621</v>
      </c>
      <c r="AC15" s="60">
        <f>'Linéarisation mix'!AC5*1000000</f>
        <v>76269746.540343896</v>
      </c>
      <c r="AD15" s="60">
        <f>'Linéarisation mix'!AD5*1000000</f>
        <v>79094837.800241888</v>
      </c>
      <c r="AE15" s="60">
        <f>'Linéarisation mix'!AE5*1000000</f>
        <v>81919943.56605196</v>
      </c>
      <c r="AF15" s="60">
        <f>'Linéarisation mix'!AF5*1000000</f>
        <v>84745062.215377435</v>
      </c>
      <c r="AG15" s="60">
        <f>'Linéarisation mix'!AG5*1000000</f>
        <v>87570192.044831157</v>
      </c>
      <c r="AH15" s="60">
        <f>'Linéarisation mix'!AH5*1000000</f>
        <v>90395331.282868847</v>
      </c>
      <c r="AI15" s="60">
        <f>'Linéarisation mix'!AI5*1000000</f>
        <v>93220478.103020281</v>
      </c>
      <c r="AJ15" s="60">
        <f>'Linéarisation mix'!AJ5*1000000</f>
        <v>96045630.637420371</v>
      </c>
      <c r="AK15" s="60">
        <f>'Linéarisation mix'!AK5*1000000</f>
        <v>98870786.990540713</v>
      </c>
      <c r="AL15" s="60">
        <f>'Linéarisation mix'!AL5*1000000</f>
        <v>101695945.25302115</v>
      </c>
      <c r="AM15" s="60">
        <f>'Linéarisation mix'!AM5*1000000</f>
        <v>104521103.51550159</v>
      </c>
    </row>
    <row r="16" spans="1:39" outlineLevel="1" x14ac:dyDescent="0.25">
      <c r="A16" t="s">
        <v>185</v>
      </c>
      <c r="B16" s="60">
        <f>LCOE!B11</f>
        <v>172.0735623748258</v>
      </c>
      <c r="C16" s="60">
        <f>LCOE!C11</f>
        <v>168.36217181380013</v>
      </c>
      <c r="D16" s="60">
        <f>LCOE!D11</f>
        <v>164.65078125277446</v>
      </c>
      <c r="E16" s="60">
        <f>LCOE!E11</f>
        <v>160.9393906917488</v>
      </c>
      <c r="F16" s="60">
        <f>LCOE!F11</f>
        <v>157.22800013072313</v>
      </c>
      <c r="G16" s="60">
        <f>LCOE!G11</f>
        <v>153.51660956969747</v>
      </c>
      <c r="H16" s="60">
        <f>LCOE!H11</f>
        <v>149.8052190086718</v>
      </c>
      <c r="I16" s="60">
        <f>LCOE!I11</f>
        <v>146.09382844764613</v>
      </c>
      <c r="J16" s="60">
        <f>LCOE!J11</f>
        <v>142.38243788662047</v>
      </c>
      <c r="K16" s="60">
        <f>LCOE!K11</f>
        <v>138.6710473255948</v>
      </c>
      <c r="L16" s="60">
        <f>LCOE!L11</f>
        <v>134.95965676456913</v>
      </c>
      <c r="M16" s="60">
        <f>LCOE!M11</f>
        <v>131.24826620354347</v>
      </c>
      <c r="N16" s="60">
        <f>LCOE!N11</f>
        <v>127.53687564251781</v>
      </c>
      <c r="O16" s="60">
        <f>LCOE!O11</f>
        <v>123.82548508149216</v>
      </c>
      <c r="P16" s="60">
        <f>LCOE!P11</f>
        <v>120.11409452046651</v>
      </c>
      <c r="Q16" s="60">
        <f>LCOE!Q11</f>
        <v>116.40270395944086</v>
      </c>
      <c r="R16" s="60">
        <f>LCOE!R11</f>
        <v>112.6913133984152</v>
      </c>
      <c r="S16" s="60">
        <f>LCOE!S11</f>
        <v>108.97992283738968</v>
      </c>
      <c r="T16" s="60">
        <f>LCOE!T11</f>
        <v>108.11955502551555</v>
      </c>
      <c r="U16" s="60">
        <f>LCOE!U11</f>
        <v>107.25918721364143</v>
      </c>
      <c r="V16" s="60">
        <f>LCOE!V11</f>
        <v>106.3988194017673</v>
      </c>
      <c r="W16" s="60">
        <f>LCOE!W11</f>
        <v>105.53845158989317</v>
      </c>
      <c r="X16" s="60">
        <f>LCOE!X11</f>
        <v>104.67808377801904</v>
      </c>
      <c r="Y16" s="60">
        <f>LCOE!Y11</f>
        <v>103.81771596614492</v>
      </c>
      <c r="Z16" s="60">
        <f>LCOE!Z11</f>
        <v>102.95734815427079</v>
      </c>
      <c r="AA16" s="60">
        <f>LCOE!AA11</f>
        <v>102.09698034239666</v>
      </c>
      <c r="AB16" s="60">
        <f>LCOE!AB11</f>
        <v>101.23661253052254</v>
      </c>
      <c r="AC16" s="60">
        <f>LCOE!AC11</f>
        <v>100.37624471864841</v>
      </c>
      <c r="AD16" s="60">
        <f>LCOE!AD11</f>
        <v>99.515876906774281</v>
      </c>
      <c r="AE16" s="60">
        <f>LCOE!AE11</f>
        <v>98.655509094900154</v>
      </c>
      <c r="AF16" s="60">
        <f>LCOE!AF11</f>
        <v>97.795141283026027</v>
      </c>
      <c r="AG16" s="60">
        <f>LCOE!AG11</f>
        <v>96.9347734711519</v>
      </c>
      <c r="AH16" s="60">
        <f>LCOE!AH11</f>
        <v>96.074405659277772</v>
      </c>
      <c r="AI16" s="60">
        <f>LCOE!AI11</f>
        <v>95.214037847403645</v>
      </c>
      <c r="AJ16" s="60">
        <f>LCOE!AJ11</f>
        <v>94.353670035529518</v>
      </c>
      <c r="AK16" s="60">
        <f>LCOE!AK11</f>
        <v>93.493302223655391</v>
      </c>
      <c r="AL16" s="60">
        <f>LCOE!AL11</f>
        <v>92.632934411781264</v>
      </c>
      <c r="AM16" s="60">
        <f>LCOE!AM11</f>
        <v>91.772566599907094</v>
      </c>
    </row>
    <row r="17" spans="1:39" outlineLevel="1" x14ac:dyDescent="0.25">
      <c r="A17" t="s">
        <v>127</v>
      </c>
      <c r="B17" s="48">
        <v>0</v>
      </c>
      <c r="C17" s="64">
        <f t="shared" ref="C17:AM17" si="4">B17+C15-B15</f>
        <v>0</v>
      </c>
      <c r="D17" s="64">
        <f t="shared" si="4"/>
        <v>0</v>
      </c>
      <c r="E17" s="64">
        <f t="shared" si="4"/>
        <v>0</v>
      </c>
      <c r="F17" s="64">
        <f t="shared" si="4"/>
        <v>0</v>
      </c>
      <c r="G17" s="64">
        <f t="shared" si="4"/>
        <v>4707730.7200860688</v>
      </c>
      <c r="H17" s="64">
        <f t="shared" si="4"/>
        <v>9415461.4401721396</v>
      </c>
      <c r="I17" s="64">
        <f t="shared" si="4"/>
        <v>14123192.160258209</v>
      </c>
      <c r="J17" s="64">
        <f t="shared" si="4"/>
        <v>18830922.880344275</v>
      </c>
      <c r="K17" s="64">
        <f t="shared" si="4"/>
        <v>23538653.600430343</v>
      </c>
      <c r="L17" s="64">
        <f t="shared" si="4"/>
        <v>28246384.320516419</v>
      </c>
      <c r="M17" s="64">
        <f t="shared" si="4"/>
        <v>31071106.862269454</v>
      </c>
      <c r="N17" s="64">
        <f t="shared" si="4"/>
        <v>33895850.310371004</v>
      </c>
      <c r="O17" s="64">
        <f t="shared" si="4"/>
        <v>36720615.602197371</v>
      </c>
      <c r="P17" s="64">
        <f t="shared" si="4"/>
        <v>39545403.511282153</v>
      </c>
      <c r="Q17" s="64">
        <f t="shared" si="4"/>
        <v>42370214.642931312</v>
      </c>
      <c r="R17" s="64">
        <f t="shared" si="4"/>
        <v>45195049.431079745</v>
      </c>
      <c r="S17" s="64">
        <f t="shared" si="4"/>
        <v>48019908.136402793</v>
      </c>
      <c r="T17" s="64">
        <f t="shared" si="4"/>
        <v>50844790.84568768</v>
      </c>
      <c r="U17" s="64">
        <f t="shared" si="4"/>
        <v>53669697.472459838</v>
      </c>
      <c r="V17" s="64">
        <f t="shared" si="4"/>
        <v>56494627.758851022</v>
      </c>
      <c r="W17" s="64">
        <f t="shared" si="4"/>
        <v>59319581.278686538</v>
      </c>
      <c r="X17" s="64">
        <f t="shared" si="4"/>
        <v>62144557.441760778</v>
      </c>
      <c r="Y17" s="64">
        <f t="shared" si="4"/>
        <v>64969555.499261737</v>
      </c>
      <c r="Z17" s="64">
        <f t="shared" si="4"/>
        <v>67794574.550297171</v>
      </c>
      <c r="AA17" s="64">
        <f t="shared" si="4"/>
        <v>70619613.549467713</v>
      </c>
      <c r="AB17" s="64">
        <f t="shared" si="4"/>
        <v>73444671.315424636</v>
      </c>
      <c r="AC17" s="64">
        <f t="shared" si="4"/>
        <v>76269746.54034391</v>
      </c>
      <c r="AD17" s="64">
        <f t="shared" si="4"/>
        <v>79094837.800241902</v>
      </c>
      <c r="AE17" s="64">
        <f t="shared" si="4"/>
        <v>81919943.56605196</v>
      </c>
      <c r="AF17" s="64">
        <f t="shared" si="4"/>
        <v>84745062.21537745</v>
      </c>
      <c r="AG17" s="64">
        <f t="shared" si="4"/>
        <v>87570192.044831172</v>
      </c>
      <c r="AH17" s="64">
        <f t="shared" si="4"/>
        <v>90395331.282868862</v>
      </c>
      <c r="AI17" s="64">
        <f t="shared" si="4"/>
        <v>93220478.103020296</v>
      </c>
      <c r="AJ17" s="64">
        <f t="shared" si="4"/>
        <v>96045630.637420386</v>
      </c>
      <c r="AK17" s="64">
        <f t="shared" si="4"/>
        <v>98870786.990540728</v>
      </c>
      <c r="AL17" s="64">
        <f t="shared" si="4"/>
        <v>101695945.25302115</v>
      </c>
      <c r="AM17" s="64">
        <f t="shared" si="4"/>
        <v>104521103.51550159</v>
      </c>
    </row>
    <row r="18" spans="1:39" outlineLevel="1" x14ac:dyDescent="0.25">
      <c r="A18" t="s">
        <v>188</v>
      </c>
      <c r="B18" s="105"/>
      <c r="C18" s="42"/>
      <c r="D18" s="42"/>
      <c r="E18" s="42"/>
      <c r="F18" s="42"/>
      <c r="G18" s="42"/>
      <c r="H18" s="42"/>
      <c r="I18" s="42"/>
      <c r="J18" s="42"/>
      <c r="K18" s="42"/>
      <c r="L18" s="42"/>
      <c r="M18" s="49"/>
      <c r="N18" s="42"/>
      <c r="O18" s="42"/>
      <c r="P18" s="42"/>
      <c r="Q18" s="42"/>
      <c r="R18" s="42"/>
      <c r="S18" s="43"/>
      <c r="T18" s="42"/>
      <c r="U18" s="42"/>
      <c r="V18" s="42"/>
      <c r="W18" s="42"/>
      <c r="X18" s="42"/>
      <c r="Y18" s="42"/>
      <c r="Z18" s="42"/>
      <c r="AA18" s="42"/>
      <c r="AB18" s="42"/>
      <c r="AC18" s="42"/>
      <c r="AD18" s="42"/>
      <c r="AE18" s="49"/>
      <c r="AF18" s="49"/>
      <c r="AG18" s="49"/>
      <c r="AH18" s="49"/>
      <c r="AI18" s="49"/>
      <c r="AJ18" s="49"/>
      <c r="AK18" s="49"/>
      <c r="AL18" s="42"/>
      <c r="AM18" s="104">
        <f>AM20/AM22</f>
        <v>0.45937036228355138</v>
      </c>
    </row>
    <row r="19" spans="1:39" outlineLevel="1" x14ac:dyDescent="0.25">
      <c r="A19" t="s">
        <v>206</v>
      </c>
      <c r="B19" s="58">
        <v>20</v>
      </c>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row>
    <row r="20" spans="1:39" outlineLevel="1" x14ac:dyDescent="0.25">
      <c r="A20" t="s">
        <v>107</v>
      </c>
      <c r="B20" s="13">
        <f t="shared" ref="B20:AK20" si="5">$AM$18*B22</f>
        <v>0</v>
      </c>
      <c r="C20" s="13">
        <f t="shared" si="5"/>
        <v>0</v>
      </c>
      <c r="D20" s="13">
        <f t="shared" si="5"/>
        <v>0</v>
      </c>
      <c r="E20" s="13">
        <f t="shared" si="5"/>
        <v>0</v>
      </c>
      <c r="F20" s="13">
        <f t="shared" si="5"/>
        <v>0</v>
      </c>
      <c r="G20" s="13">
        <f t="shared" si="5"/>
        <v>331.99378656736241</v>
      </c>
      <c r="H20" s="13">
        <f t="shared" si="5"/>
        <v>655.96134972320601</v>
      </c>
      <c r="I20" s="13">
        <f t="shared" si="5"/>
        <v>971.90268946753099</v>
      </c>
      <c r="J20" s="13">
        <f t="shared" si="5"/>
        <v>1279.8178058003373</v>
      </c>
      <c r="K20" s="13">
        <f t="shared" si="5"/>
        <v>1579.7066987216251</v>
      </c>
      <c r="L20" s="13">
        <f t="shared" si="5"/>
        <v>1871.5693682313943</v>
      </c>
      <c r="M20" s="13">
        <f t="shared" si="5"/>
        <v>2041.8763069957554</v>
      </c>
      <c r="N20" s="13">
        <f t="shared" si="5"/>
        <v>2207.3685931474856</v>
      </c>
      <c r="O20" s="13">
        <f t="shared" si="5"/>
        <v>2368.046208719612</v>
      </c>
      <c r="P20" s="13">
        <f t="shared" si="5"/>
        <v>2523.9091219104289</v>
      </c>
      <c r="Q20" s="13">
        <f t="shared" si="5"/>
        <v>2674.9572879663738</v>
      </c>
      <c r="R20" s="13">
        <f t="shared" si="5"/>
        <v>2821.1906501665421</v>
      </c>
      <c r="S20" s="13">
        <f t="shared" si="5"/>
        <v>2962.6091408968387</v>
      </c>
      <c r="T20" s="13">
        <f t="shared" si="5"/>
        <v>3102.9123620610435</v>
      </c>
      <c r="U20" s="13">
        <f t="shared" si="5"/>
        <v>3242.1002904243587</v>
      </c>
      <c r="V20" s="13">
        <f t="shared" si="5"/>
        <v>3380.1728944774004</v>
      </c>
      <c r="W20" s="13">
        <f t="shared" si="5"/>
        <v>3517.1301348568286</v>
      </c>
      <c r="X20" s="13">
        <f t="shared" si="5"/>
        <v>3652.9719648170208</v>
      </c>
      <c r="Y20" s="13">
        <f t="shared" si="5"/>
        <v>3787.6983307480855</v>
      </c>
      <c r="Z20" s="13">
        <f t="shared" si="5"/>
        <v>3921.3091727352694</v>
      </c>
      <c r="AA20" s="13">
        <f t="shared" si="5"/>
        <v>3942.6047480713319</v>
      </c>
      <c r="AB20" s="13">
        <f t="shared" si="5"/>
        <v>3968.9502620260491</v>
      </c>
      <c r="AC20" s="13">
        <f t="shared" si="5"/>
        <v>4000.3456394615237</v>
      </c>
      <c r="AD20" s="13">
        <f t="shared" si="5"/>
        <v>4036.7908014803261</v>
      </c>
      <c r="AE20" s="13">
        <f t="shared" si="5"/>
        <v>4078.2856661111196</v>
      </c>
      <c r="AF20" s="13">
        <f t="shared" si="5"/>
        <v>4124.8301490027789</v>
      </c>
      <c r="AG20" s="13">
        <f t="shared" si="5"/>
        <v>4206.1052718228339</v>
      </c>
      <c r="AH20" s="13">
        <f t="shared" si="5"/>
        <v>4289.9634082887333</v>
      </c>
      <c r="AI20" s="13">
        <f t="shared" si="5"/>
        <v>4376.4045135172228</v>
      </c>
      <c r="AJ20" s="13">
        <f t="shared" si="5"/>
        <v>4465.4285486182907</v>
      </c>
      <c r="AK20" s="13">
        <f t="shared" si="5"/>
        <v>4557.0354805381803</v>
      </c>
      <c r="AL20" s="13">
        <f>$AM$18*AL22</f>
        <v>4651.2252818393654</v>
      </c>
      <c r="AM20" s="13">
        <f>LCOE!AS11*1000*('Capacités installées'!B11+'Capacités installées'!B20)/1000000</f>
        <v>4747.9979304226963</v>
      </c>
    </row>
    <row r="21" spans="1:39" outlineLevel="1" x14ac:dyDescent="0.25">
      <c r="A21" t="s">
        <v>111</v>
      </c>
      <c r="B21" s="41">
        <f t="shared" ref="B21:AL21" si="6">B22-B20</f>
        <v>0</v>
      </c>
      <c r="C21" s="41">
        <f t="shared" si="6"/>
        <v>0</v>
      </c>
      <c r="D21" s="41">
        <f t="shared" si="6"/>
        <v>0</v>
      </c>
      <c r="E21" s="41">
        <f t="shared" si="6"/>
        <v>0</v>
      </c>
      <c r="F21" s="41">
        <f t="shared" si="6"/>
        <v>0</v>
      </c>
      <c r="G21" s="41">
        <f t="shared" si="6"/>
        <v>390.72107234736137</v>
      </c>
      <c r="H21" s="41">
        <f t="shared" si="6"/>
        <v>771.99614074786336</v>
      </c>
      <c r="I21" s="41">
        <f t="shared" si="6"/>
        <v>1143.8252052015062</v>
      </c>
      <c r="J21" s="41">
        <f t="shared" si="6"/>
        <v>1506.2082657082897</v>
      </c>
      <c r="K21" s="41">
        <f t="shared" si="6"/>
        <v>1859.1453222682137</v>
      </c>
      <c r="L21" s="41">
        <f t="shared" si="6"/>
        <v>2202.6363748812792</v>
      </c>
      <c r="M21" s="41">
        <f t="shared" si="6"/>
        <v>2403.0693722280707</v>
      </c>
      <c r="N21" s="41">
        <f t="shared" si="6"/>
        <v>2597.8360399388848</v>
      </c>
      <c r="O21" s="41">
        <f t="shared" si="6"/>
        <v>2786.9363568685212</v>
      </c>
      <c r="P21" s="41">
        <f t="shared" si="6"/>
        <v>2970.3702855897841</v>
      </c>
      <c r="Q21" s="41">
        <f t="shared" si="6"/>
        <v>3148.1377734325306</v>
      </c>
      <c r="R21" s="41">
        <f t="shared" si="6"/>
        <v>3320.2387536423425</v>
      </c>
      <c r="S21" s="41">
        <f t="shared" si="6"/>
        <v>3486.6731466446809</v>
      </c>
      <c r="T21" s="41">
        <f t="shared" si="6"/>
        <v>3651.79498700763</v>
      </c>
      <c r="U21" s="41">
        <f t="shared" si="6"/>
        <v>3815.6042473863263</v>
      </c>
      <c r="V21" s="41">
        <f t="shared" si="6"/>
        <v>3978.1008906976031</v>
      </c>
      <c r="W21" s="41">
        <f t="shared" si="6"/>
        <v>4139.2848706150344</v>
      </c>
      <c r="X21" s="41">
        <f t="shared" si="6"/>
        <v>4299.1561321240351</v>
      </c>
      <c r="Y21" s="41">
        <f t="shared" si="6"/>
        <v>4457.7146121315145</v>
      </c>
      <c r="Z21" s="41">
        <f t="shared" si="6"/>
        <v>4614.9602401242355</v>
      </c>
      <c r="AA21" s="41">
        <f t="shared" si="6"/>
        <v>4640.0228478241916</v>
      </c>
      <c r="AB21" s="41">
        <f t="shared" si="6"/>
        <v>4671.0286915490424</v>
      </c>
      <c r="AC21" s="41">
        <f t="shared" si="6"/>
        <v>4707.9776828695467</v>
      </c>
      <c r="AD21" s="41">
        <f t="shared" si="6"/>
        <v>4750.8697289318925</v>
      </c>
      <c r="AE21" s="41">
        <f t="shared" si="6"/>
        <v>4799.7047332646089</v>
      </c>
      <c r="AF21" s="41">
        <f t="shared" si="6"/>
        <v>4854.4825965954715</v>
      </c>
      <c r="AG21" s="41">
        <f t="shared" si="6"/>
        <v>4950.1346974126418</v>
      </c>
      <c r="AH21" s="41">
        <f t="shared" si="6"/>
        <v>5048.8267281996687</v>
      </c>
      <c r="AI21" s="41">
        <f t="shared" si="6"/>
        <v>5150.5586361337746</v>
      </c>
      <c r="AJ21" s="41">
        <f t="shared" si="6"/>
        <v>5255.3303754455919</v>
      </c>
      <c r="AK21" s="41">
        <f t="shared" si="6"/>
        <v>5363.1419072343915</v>
      </c>
      <c r="AL21" s="41">
        <f t="shared" si="6"/>
        <v>5473.9931992091488</v>
      </c>
      <c r="AM21" s="41">
        <f>AM22-AM20</f>
        <v>5587.8842253615348</v>
      </c>
    </row>
    <row r="22" spans="1:39" outlineLevel="1" x14ac:dyDescent="0.25">
      <c r="A22" t="s">
        <v>186</v>
      </c>
      <c r="B22" s="111">
        <v>0</v>
      </c>
      <c r="C22" s="111">
        <v>0</v>
      </c>
      <c r="D22" s="111">
        <v>0</v>
      </c>
      <c r="E22" s="111">
        <v>0</v>
      </c>
      <c r="F22" s="111">
        <v>0</v>
      </c>
      <c r="G22" s="111">
        <v>722.71485891472378</v>
      </c>
      <c r="H22" s="111">
        <v>1427.9574904710694</v>
      </c>
      <c r="I22" s="111">
        <v>2115.7278946690371</v>
      </c>
      <c r="J22" s="111">
        <v>2786.026071508627</v>
      </c>
      <c r="K22" s="111">
        <v>3438.8520209898388</v>
      </c>
      <c r="L22" s="111">
        <v>4074.2057431126732</v>
      </c>
      <c r="M22" s="111">
        <v>4444.9456792238261</v>
      </c>
      <c r="N22" s="111">
        <v>4805.2046330863704</v>
      </c>
      <c r="O22" s="111">
        <v>5154.9825655881332</v>
      </c>
      <c r="P22" s="111">
        <v>5494.279407500213</v>
      </c>
      <c r="Q22" s="111">
        <v>5823.0950613989044</v>
      </c>
      <c r="R22" s="111">
        <v>6141.4294038088847</v>
      </c>
      <c r="S22" s="111">
        <v>6449.2822875415195</v>
      </c>
      <c r="T22" s="111">
        <v>6754.7073490686735</v>
      </c>
      <c r="U22" s="111">
        <v>7057.704537810685</v>
      </c>
      <c r="V22" s="111">
        <v>7358.2737851750035</v>
      </c>
      <c r="W22" s="111">
        <v>7656.415005471863</v>
      </c>
      <c r="X22" s="111">
        <v>7952.1280969410554</v>
      </c>
      <c r="Y22" s="111">
        <v>8245.4129428796005</v>
      </c>
      <c r="Z22" s="111">
        <v>8536.2694128595049</v>
      </c>
      <c r="AA22" s="111">
        <v>8582.627595895523</v>
      </c>
      <c r="AB22" s="111">
        <v>8639.9789535750915</v>
      </c>
      <c r="AC22" s="111">
        <v>8708.3233223310708</v>
      </c>
      <c r="AD22" s="111">
        <v>8787.6605304122186</v>
      </c>
      <c r="AE22" s="111">
        <v>8877.9903993757289</v>
      </c>
      <c r="AF22" s="111">
        <v>8979.3127455982503</v>
      </c>
      <c r="AG22" s="111">
        <v>9156.2399692354757</v>
      </c>
      <c r="AH22" s="111">
        <v>9338.7901364884019</v>
      </c>
      <c r="AI22" s="111">
        <v>9526.9631496509974</v>
      </c>
      <c r="AJ22" s="111">
        <v>9720.7589240638827</v>
      </c>
      <c r="AK22" s="111">
        <v>9920.1773877725718</v>
      </c>
      <c r="AL22" s="111">
        <v>10125.218481048514</v>
      </c>
      <c r="AM22" s="111">
        <v>10335.882155784231</v>
      </c>
    </row>
    <row r="23" spans="1:39" outlineLevel="1" x14ac:dyDescent="0.25"/>
    <row r="25" spans="1:39" ht="30.75" customHeight="1" x14ac:dyDescent="0.25">
      <c r="A25" s="62" t="s">
        <v>122</v>
      </c>
      <c r="B25" t="s">
        <v>30</v>
      </c>
      <c r="C25">
        <v>25</v>
      </c>
    </row>
    <row r="26" spans="1:39" outlineLevel="1" x14ac:dyDescent="0.25"/>
    <row r="27" spans="1:39" outlineLevel="1" x14ac:dyDescent="0.25">
      <c r="A27" s="3" t="s">
        <v>172</v>
      </c>
      <c r="B27" s="47">
        <v>2013</v>
      </c>
      <c r="C27" s="47">
        <v>2014</v>
      </c>
      <c r="D27" s="47">
        <v>2015</v>
      </c>
      <c r="E27" s="47">
        <v>2016</v>
      </c>
      <c r="F27" s="47">
        <v>2017</v>
      </c>
      <c r="G27" s="47">
        <v>2018</v>
      </c>
      <c r="H27" s="47">
        <v>2019</v>
      </c>
      <c r="I27" s="47">
        <v>2020</v>
      </c>
      <c r="J27" s="47">
        <v>2021</v>
      </c>
      <c r="K27" s="47">
        <v>2022</v>
      </c>
      <c r="L27" s="47">
        <v>2023</v>
      </c>
      <c r="M27" s="47">
        <v>2024</v>
      </c>
      <c r="N27" s="47">
        <v>2025</v>
      </c>
      <c r="O27" s="47">
        <v>2026</v>
      </c>
      <c r="P27" s="47">
        <v>2027</v>
      </c>
      <c r="Q27" s="47">
        <v>2028</v>
      </c>
      <c r="R27" s="47">
        <v>2029</v>
      </c>
      <c r="S27" s="47">
        <v>2030</v>
      </c>
      <c r="T27" s="47">
        <v>2031</v>
      </c>
      <c r="U27" s="47">
        <v>2032</v>
      </c>
      <c r="V27" s="47">
        <v>2033</v>
      </c>
      <c r="W27" s="47">
        <v>2034</v>
      </c>
      <c r="X27" s="47">
        <v>2035</v>
      </c>
      <c r="Y27" s="47">
        <v>2036</v>
      </c>
      <c r="Z27" s="47">
        <v>2037</v>
      </c>
      <c r="AA27" s="47">
        <v>2038</v>
      </c>
      <c r="AB27" s="47">
        <v>2039</v>
      </c>
      <c r="AC27" s="47">
        <v>2040</v>
      </c>
      <c r="AD27" s="47">
        <v>2041</v>
      </c>
      <c r="AE27" s="47">
        <v>2042</v>
      </c>
      <c r="AF27" s="47">
        <v>2043</v>
      </c>
      <c r="AG27" s="47">
        <v>2044</v>
      </c>
      <c r="AH27" s="47">
        <v>2045</v>
      </c>
      <c r="AI27" s="47">
        <v>2046</v>
      </c>
      <c r="AJ27" s="47">
        <v>2047</v>
      </c>
      <c r="AK27" s="47">
        <v>2048</v>
      </c>
      <c r="AL27" s="47">
        <v>2049</v>
      </c>
      <c r="AM27" s="47">
        <v>2050</v>
      </c>
    </row>
    <row r="28" spans="1:39" outlineLevel="1" x14ac:dyDescent="0.25">
      <c r="A28" t="s">
        <v>171</v>
      </c>
      <c r="B28" s="60">
        <f>'Linéarisation mix'!B6*1000000</f>
        <v>4600000</v>
      </c>
      <c r="C28" s="60">
        <f>'Linéarisation mix'!C6*1000000</f>
        <v>7740181.5349045563</v>
      </c>
      <c r="D28" s="60">
        <f>'Linéarisation mix'!D6*1000000</f>
        <v>10880366.291586721</v>
      </c>
      <c r="E28" s="60">
        <f>'Linéarisation mix'!E6*1000000</f>
        <v>14020555.834592961</v>
      </c>
      <c r="F28" s="60">
        <f>'Linéarisation mix'!F6*1000000</f>
        <v>17160751.682793994</v>
      </c>
      <c r="G28" s="60">
        <f>'Linéarisation mix'!G6*1000000</f>
        <v>20300955.298789512</v>
      </c>
      <c r="H28" s="60">
        <f>'Linéarisation mix'!H6*1000000</f>
        <v>23441168.078793801</v>
      </c>
      <c r="I28" s="60">
        <f>'Linéarisation mix'!I6*1000000</f>
        <v>26581391.343071543</v>
      </c>
      <c r="J28" s="60">
        <f>'Linéarisation mix'!J6*1000000</f>
        <v>29721626.326988656</v>
      </c>
      <c r="K28" s="60">
        <f>'Linéarisation mix'!K6*1000000</f>
        <v>32861874.172738068</v>
      </c>
      <c r="L28" s="60">
        <f>'Linéarisation mix'!L6*1000000</f>
        <v>36002135.92179516</v>
      </c>
      <c r="M28" s="60">
        <f>'Linéarisation mix'!M6*1000000</f>
        <v>39142412.508151725</v>
      </c>
      <c r="N28" s="60">
        <f>'Linéarisation mix'!N6*1000000</f>
        <v>42282704.752371751</v>
      </c>
      <c r="O28" s="60">
        <f>'Linéarisation mix'!O6*1000000</f>
        <v>45423013.356505617</v>
      </c>
      <c r="P28" s="60">
        <f>'Linéarisation mix'!P6*1000000</f>
        <v>48563338.899893314</v>
      </c>
      <c r="Q28" s="60">
        <f>'Linéarisation mix'!Q6*1000000</f>
        <v>51703681.835880302</v>
      </c>
      <c r="R28" s="60">
        <f>'Linéarisation mix'!R6*1000000</f>
        <v>54844042.489463203</v>
      </c>
      <c r="S28" s="60">
        <f>'Linéarisation mix'!S6*1000000</f>
        <v>57984421.055875532</v>
      </c>
      <c r="T28" s="60">
        <f>'Linéarisation mix'!T6*1000000</f>
        <v>61124817.60011676</v>
      </c>
      <c r="U28" s="60">
        <f>'Linéarisation mix'!U6*1000000</f>
        <v>64265232.057421573</v>
      </c>
      <c r="V28" s="60">
        <f>'Linéarisation mix'!V6*1000000</f>
        <v>67405664.234658852</v>
      </c>
      <c r="W28" s="60">
        <f>'Linéarisation mix'!W6*1000000</f>
        <v>70546113.81264399</v>
      </c>
      <c r="X28" s="60">
        <f>'Linéarisation mix'!X6*1000000</f>
        <v>73686580.349340975</v>
      </c>
      <c r="Y28" s="60">
        <f>'Linéarisation mix'!Y6*1000000</f>
        <v>76827063.283925101</v>
      </c>
      <c r="Z28" s="60">
        <f>'Linéarisation mix'!Z6*1000000</f>
        <v>79967561.94167085</v>
      </c>
      <c r="AA28" s="60">
        <f>'Linéarisation mix'!AA6*1000000</f>
        <v>83108075.539623663</v>
      </c>
      <c r="AB28" s="60">
        <f>'Linéarisation mix'!AB6*1000000</f>
        <v>86248603.193009347</v>
      </c>
      <c r="AC28" s="60">
        <f>'Linéarisation mix'!AC6*1000000</f>
        <v>89389143.922329798</v>
      </c>
      <c r="AD28" s="60">
        <f>'Linéarisation mix'!AD6*1000000</f>
        <v>92529696.661088765</v>
      </c>
      <c r="AE28" s="60">
        <f>'Linéarisation mix'!AE6*1000000</f>
        <v>95670260.264087856</v>
      </c>
      <c r="AF28" s="60">
        <f>'Linéarisation mix'!AF6*1000000</f>
        <v>98810833.516228944</v>
      </c>
      <c r="AG28" s="60">
        <f>'Linéarisation mix'!AG6*1000000</f>
        <v>101951415.1417558</v>
      </c>
      <c r="AH28" s="60">
        <f>'Linéarisation mix'!AH6*1000000</f>
        <v>105092003.81386581</v>
      </c>
      <c r="AI28" s="60">
        <f>'Linéarisation mix'!AI6*1000000</f>
        <v>108232598.1646194</v>
      </c>
      <c r="AJ28" s="60">
        <f>'Linéarisation mix'!AJ6*1000000</f>
        <v>111373196.79507422</v>
      </c>
      <c r="AK28" s="60">
        <f>'Linéarisation mix'!AK6*1000000</f>
        <v>114513798.28556937</v>
      </c>
      <c r="AL28" s="60">
        <f>'Linéarisation mix'!AL6*1000000</f>
        <v>117654401.20608468</v>
      </c>
      <c r="AM28" s="60">
        <f>'Linéarisation mix'!AM6*1000000</f>
        <v>120795004.1266</v>
      </c>
    </row>
    <row r="29" spans="1:39" outlineLevel="1" x14ac:dyDescent="0.25">
      <c r="A29" t="s">
        <v>185</v>
      </c>
      <c r="B29" s="60">
        <f>LCOE!B15</f>
        <v>179.46998377501353</v>
      </c>
      <c r="C29" s="60">
        <f>LCOE!C15</f>
        <v>176.21624830472572</v>
      </c>
      <c r="D29" s="60">
        <f>LCOE!D15</f>
        <v>172.96251283443792</v>
      </c>
      <c r="E29" s="60">
        <f>LCOE!E15</f>
        <v>169.70877736415011</v>
      </c>
      <c r="F29" s="60">
        <f>LCOE!F15</f>
        <v>166.4550418938623</v>
      </c>
      <c r="G29" s="60">
        <f>LCOE!G15</f>
        <v>163.20130642357449</v>
      </c>
      <c r="H29" s="60">
        <f>LCOE!H15</f>
        <v>159.94757095328669</v>
      </c>
      <c r="I29" s="60">
        <f>LCOE!I15</f>
        <v>156.69383548299888</v>
      </c>
      <c r="J29" s="60">
        <f>LCOE!J15</f>
        <v>153.44010001271107</v>
      </c>
      <c r="K29" s="60">
        <f>LCOE!K15</f>
        <v>150.18636454242326</v>
      </c>
      <c r="L29" s="60">
        <f>LCOE!L15</f>
        <v>146.93262907213546</v>
      </c>
      <c r="M29" s="60">
        <f>LCOE!M15</f>
        <v>143.67889360184765</v>
      </c>
      <c r="N29" s="60">
        <f>LCOE!N15</f>
        <v>140.42515813155984</v>
      </c>
      <c r="O29" s="60">
        <f>LCOE!O15</f>
        <v>137.17142266127203</v>
      </c>
      <c r="P29" s="60">
        <f>LCOE!P15</f>
        <v>133.91768719098422</v>
      </c>
      <c r="Q29" s="60">
        <f>LCOE!Q15</f>
        <v>130.66395172069642</v>
      </c>
      <c r="R29" s="60">
        <f>LCOE!R15</f>
        <v>127.41021625040862</v>
      </c>
      <c r="S29" s="60">
        <f>LCOE!S15</f>
        <v>124.15648078012097</v>
      </c>
      <c r="T29" s="60">
        <f>LCOE!T15</f>
        <v>121.90584978838135</v>
      </c>
      <c r="U29" s="60">
        <f>LCOE!U15</f>
        <v>119.65521879664172</v>
      </c>
      <c r="V29" s="60">
        <f>LCOE!V15</f>
        <v>117.40458780490209</v>
      </c>
      <c r="W29" s="60">
        <f>LCOE!W15</f>
        <v>115.15395681316247</v>
      </c>
      <c r="X29" s="60">
        <f>LCOE!X15</f>
        <v>112.90332582142284</v>
      </c>
      <c r="Y29" s="60">
        <f>LCOE!Y15</f>
        <v>110.65269482968321</v>
      </c>
      <c r="Z29" s="60">
        <f>LCOE!Z15</f>
        <v>108.40206383794359</v>
      </c>
      <c r="AA29" s="60">
        <f>LCOE!AA15</f>
        <v>106.15143284620396</v>
      </c>
      <c r="AB29" s="60">
        <f>LCOE!AB15</f>
        <v>103.90080185446433</v>
      </c>
      <c r="AC29" s="60">
        <f>LCOE!AC15</f>
        <v>101.65017086272471</v>
      </c>
      <c r="AD29" s="60">
        <f>LCOE!AD15</f>
        <v>99.39953987098508</v>
      </c>
      <c r="AE29" s="60">
        <f>LCOE!AE15</f>
        <v>97.148908879245454</v>
      </c>
      <c r="AF29" s="60">
        <f>LCOE!AF15</f>
        <v>94.898277887505827</v>
      </c>
      <c r="AG29" s="60">
        <f>LCOE!AG15</f>
        <v>92.647646895766201</v>
      </c>
      <c r="AH29" s="60">
        <f>LCOE!AH15</f>
        <v>90.397015904026574</v>
      </c>
      <c r="AI29" s="60">
        <f>LCOE!AI15</f>
        <v>88.146384912286948</v>
      </c>
      <c r="AJ29" s="60">
        <f>LCOE!AJ15</f>
        <v>85.895753920547321</v>
      </c>
      <c r="AK29" s="60">
        <f>LCOE!AK15</f>
        <v>83.645122928807695</v>
      </c>
      <c r="AL29" s="60">
        <f>LCOE!AL15</f>
        <v>81.394491937068068</v>
      </c>
      <c r="AM29" s="60">
        <f>LCOE!AM15</f>
        <v>79.143860945328399</v>
      </c>
    </row>
    <row r="30" spans="1:39" outlineLevel="1" x14ac:dyDescent="0.25">
      <c r="A30" t="s">
        <v>127</v>
      </c>
      <c r="B30" s="48">
        <v>0</v>
      </c>
      <c r="C30" s="64">
        <f t="shared" ref="C30:AM30" si="7">B30+C28-B28</f>
        <v>3140181.5349045563</v>
      </c>
      <c r="D30" s="64">
        <f t="shared" si="7"/>
        <v>6280366.2915867213</v>
      </c>
      <c r="E30" s="64">
        <f t="shared" si="7"/>
        <v>9420555.8345929589</v>
      </c>
      <c r="F30" s="64">
        <f t="shared" si="7"/>
        <v>12560751.68279399</v>
      </c>
      <c r="G30" s="64">
        <f t="shared" si="7"/>
        <v>15700955.298789509</v>
      </c>
      <c r="H30" s="64">
        <f t="shared" si="7"/>
        <v>18841168.078793798</v>
      </c>
      <c r="I30" s="64">
        <f t="shared" si="7"/>
        <v>21981391.343071543</v>
      </c>
      <c r="J30" s="64">
        <f t="shared" si="7"/>
        <v>25121626.32698866</v>
      </c>
      <c r="K30" s="64">
        <f t="shared" si="7"/>
        <v>28261874.172738072</v>
      </c>
      <c r="L30" s="64">
        <f t="shared" si="7"/>
        <v>31402135.921795167</v>
      </c>
      <c r="M30" s="64">
        <f t="shared" si="7"/>
        <v>34542412.50815174</v>
      </c>
      <c r="N30" s="64">
        <f t="shared" si="7"/>
        <v>37682704.752371773</v>
      </c>
      <c r="O30" s="64">
        <f t="shared" si="7"/>
        <v>40823013.35650564</v>
      </c>
      <c r="P30" s="64">
        <f t="shared" si="7"/>
        <v>43963338.899893329</v>
      </c>
      <c r="Q30" s="64">
        <f t="shared" si="7"/>
        <v>47103681.835880309</v>
      </c>
      <c r="R30" s="64">
        <f t="shared" si="7"/>
        <v>50244042.489463218</v>
      </c>
      <c r="S30" s="64">
        <f t="shared" si="7"/>
        <v>53384421.055875547</v>
      </c>
      <c r="T30" s="64">
        <f t="shared" si="7"/>
        <v>56524817.600116767</v>
      </c>
      <c r="U30" s="64">
        <f t="shared" si="7"/>
        <v>59665232.05742158</v>
      </c>
      <c r="V30" s="64">
        <f t="shared" si="7"/>
        <v>62805664.23465886</v>
      </c>
      <c r="W30" s="64">
        <f t="shared" si="7"/>
        <v>65946113.81264399</v>
      </c>
      <c r="X30" s="64">
        <f t="shared" si="7"/>
        <v>69086580.34934099</v>
      </c>
      <c r="Y30" s="64">
        <f t="shared" si="7"/>
        <v>72227063.283925116</v>
      </c>
      <c r="Z30" s="64">
        <f t="shared" si="7"/>
        <v>75367561.94167085</v>
      </c>
      <c r="AA30" s="64">
        <f t="shared" si="7"/>
        <v>78508075.539623663</v>
      </c>
      <c r="AB30" s="64">
        <f t="shared" si="7"/>
        <v>81648603.193009332</v>
      </c>
      <c r="AC30" s="64">
        <f t="shared" si="7"/>
        <v>84789143.922329783</v>
      </c>
      <c r="AD30" s="64">
        <f t="shared" si="7"/>
        <v>87929696.66108875</v>
      </c>
      <c r="AE30" s="64">
        <f t="shared" si="7"/>
        <v>91070260.264087856</v>
      </c>
      <c r="AF30" s="64">
        <f t="shared" si="7"/>
        <v>94210833.516228944</v>
      </c>
      <c r="AG30" s="64">
        <f t="shared" si="7"/>
        <v>97351415.14175579</v>
      </c>
      <c r="AH30" s="64">
        <f t="shared" si="7"/>
        <v>100492003.8138658</v>
      </c>
      <c r="AI30" s="64">
        <f t="shared" si="7"/>
        <v>103632598.16461939</v>
      </c>
      <c r="AJ30" s="64">
        <f t="shared" si="7"/>
        <v>106773196.79507421</v>
      </c>
      <c r="AK30" s="64">
        <f t="shared" si="7"/>
        <v>109913798.28556937</v>
      </c>
      <c r="AL30" s="64">
        <f t="shared" si="7"/>
        <v>113054401.20608467</v>
      </c>
      <c r="AM30" s="64">
        <f t="shared" si="7"/>
        <v>116195004.12659998</v>
      </c>
    </row>
    <row r="31" spans="1:39" outlineLevel="1" x14ac:dyDescent="0.25">
      <c r="A31" t="s">
        <v>188</v>
      </c>
      <c r="B31" s="60"/>
      <c r="C31" s="42"/>
      <c r="D31" s="42"/>
      <c r="E31" s="42"/>
      <c r="F31" s="42"/>
      <c r="G31" s="42"/>
      <c r="H31" s="42"/>
      <c r="I31" s="42"/>
      <c r="J31" s="42"/>
      <c r="K31" s="42"/>
      <c r="L31" s="42"/>
      <c r="M31" s="49"/>
      <c r="N31" s="42"/>
      <c r="O31" s="42"/>
      <c r="P31" s="42"/>
      <c r="Q31" s="42"/>
      <c r="R31" s="42"/>
      <c r="S31" s="43"/>
      <c r="T31" s="42"/>
      <c r="U31" s="42"/>
      <c r="V31" s="42"/>
      <c r="W31" s="42"/>
      <c r="X31" s="42"/>
      <c r="Y31" s="42"/>
      <c r="Z31" s="42"/>
      <c r="AA31" s="42"/>
      <c r="AB31" s="42"/>
      <c r="AC31" s="42"/>
      <c r="AD31" s="42"/>
      <c r="AE31" s="49"/>
      <c r="AF31" s="49"/>
      <c r="AG31" s="49"/>
      <c r="AH31" s="49"/>
      <c r="AI31" s="49"/>
      <c r="AJ31" s="49"/>
      <c r="AK31" s="49"/>
      <c r="AL31" s="42"/>
      <c r="AM31" s="104">
        <f>AM33/AM35</f>
        <v>0.11988030735611016</v>
      </c>
    </row>
    <row r="32" spans="1:39" outlineLevel="1" x14ac:dyDescent="0.25">
      <c r="A32" t="s">
        <v>206</v>
      </c>
      <c r="B32" s="58">
        <v>25</v>
      </c>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row>
    <row r="33" spans="1:39" outlineLevel="1" x14ac:dyDescent="0.25">
      <c r="A33" t="s">
        <v>107</v>
      </c>
      <c r="B33" s="13">
        <f t="shared" ref="B33:AK33" si="8">$AM$31*B35</f>
        <v>98.968617354265746</v>
      </c>
      <c r="C33" s="13">
        <f t="shared" si="8"/>
        <v>165.23273557747339</v>
      </c>
      <c r="D33" s="13">
        <f t="shared" si="8"/>
        <v>230.20029431573531</v>
      </c>
      <c r="E33" s="13">
        <f t="shared" si="8"/>
        <v>293.87132288597775</v>
      </c>
      <c r="F33" s="13">
        <f t="shared" si="8"/>
        <v>356.24584786288665</v>
      </c>
      <c r="G33" s="13">
        <f t="shared" si="8"/>
        <v>417.32389294287987</v>
      </c>
      <c r="H33" s="13">
        <f t="shared" si="8"/>
        <v>477.10547883796414</v>
      </c>
      <c r="I33" s="13">
        <f t="shared" si="8"/>
        <v>535.59062319965358</v>
      </c>
      <c r="J33" s="13">
        <f t="shared" si="8"/>
        <v>592.77934057285427</v>
      </c>
      <c r="K33" s="13">
        <f t="shared" si="8"/>
        <v>648.6716423793531</v>
      </c>
      <c r="L33" s="13">
        <f t="shared" si="8"/>
        <v>703.26753693029821</v>
      </c>
      <c r="M33" s="13">
        <f t="shared" si="8"/>
        <v>756.56702946680059</v>
      </c>
      <c r="N33" s="13">
        <f t="shared" si="8"/>
        <v>808.57012222756964</v>
      </c>
      <c r="O33" s="13">
        <f t="shared" si="8"/>
        <v>859.27681454225342</v>
      </c>
      <c r="P33" s="13">
        <f t="shared" si="8"/>
        <v>908.68710294897335</v>
      </c>
      <c r="Q33" s="13">
        <f t="shared" si="8"/>
        <v>956.80098133433808</v>
      </c>
      <c r="R33" s="13">
        <f t="shared" si="8"/>
        <v>1003.6184410940652</v>
      </c>
      <c r="S33" s="13">
        <f t="shared" si="8"/>
        <v>1049.1394713121854</v>
      </c>
      <c r="T33" s="13">
        <f t="shared" si="8"/>
        <v>1093.7638258612817</v>
      </c>
      <c r="U33" s="13">
        <f t="shared" si="8"/>
        <v>1137.4914941113609</v>
      </c>
      <c r="V33" s="13">
        <f t="shared" si="8"/>
        <v>1180.322463678207</v>
      </c>
      <c r="W33" s="13">
        <f t="shared" si="8"/>
        <v>1222.2567205938317</v>
      </c>
      <c r="X33" s="13">
        <f t="shared" si="8"/>
        <v>1263.2942494858519</v>
      </c>
      <c r="Y33" s="13">
        <f t="shared" si="8"/>
        <v>1303.4350337639589</v>
      </c>
      <c r="Z33" s="13">
        <f t="shared" si="8"/>
        <v>1342.6790558116329</v>
      </c>
      <c r="AA33" s="13">
        <f t="shared" si="8"/>
        <v>1381.0262971812374</v>
      </c>
      <c r="AB33" s="13">
        <f t="shared" si="8"/>
        <v>1391.3256542862348</v>
      </c>
      <c r="AC33" s="13">
        <f t="shared" si="8"/>
        <v>1401.1775499845576</v>
      </c>
      <c r="AD33" s="13">
        <f t="shared" si="8"/>
        <v>1410.581952100089</v>
      </c>
      <c r="AE33" s="13">
        <f t="shared" si="8"/>
        <v>1419.5388293472645</v>
      </c>
      <c r="AF33" s="13">
        <f t="shared" si="8"/>
        <v>1428.0481515809217</v>
      </c>
      <c r="AG33" s="13">
        <f t="shared" si="8"/>
        <v>1436.1098900289096</v>
      </c>
      <c r="AH33" s="13">
        <f t="shared" si="8"/>
        <v>1443.7240175057846</v>
      </c>
      <c r="AI33" s="13">
        <f t="shared" si="8"/>
        <v>1450.8905086061247</v>
      </c>
      <c r="AJ33" s="13">
        <f t="shared" si="8"/>
        <v>1457.609339876208</v>
      </c>
      <c r="AK33" s="13">
        <f t="shared" si="8"/>
        <v>1463.8804899630143</v>
      </c>
      <c r="AL33" s="13">
        <f>$AM$31*AL35</f>
        <v>1469.7039397397402</v>
      </c>
      <c r="AM33" s="13">
        <f>LCOE!AS15*1000*('Capacités installées'!B7+'Capacités installées'!B8+'Capacités installées'!B22)/1000000</f>
        <v>1475.0796724072327</v>
      </c>
    </row>
    <row r="34" spans="1:39" outlineLevel="1" x14ac:dyDescent="0.25">
      <c r="A34" t="s">
        <v>111</v>
      </c>
      <c r="B34" s="41">
        <f>B35-B33</f>
        <v>726.59330801079659</v>
      </c>
      <c r="C34" s="41">
        <f t="shared" ref="C34:AM34" si="9">C35-C33</f>
        <v>1213.0815115377068</v>
      </c>
      <c r="D34" s="41">
        <f t="shared" si="9"/>
        <v>1690.0508244265145</v>
      </c>
      <c r="E34" s="41">
        <f t="shared" si="9"/>
        <v>2157.501461911937</v>
      </c>
      <c r="F34" s="41">
        <f t="shared" si="9"/>
        <v>2615.4336190961139</v>
      </c>
      <c r="G34" s="41">
        <f t="shared" si="9"/>
        <v>3063.8474699499375</v>
      </c>
      <c r="H34" s="41">
        <f t="shared" si="9"/>
        <v>3502.7431665337863</v>
      </c>
      <c r="I34" s="41">
        <f t="shared" si="9"/>
        <v>3932.1208384389633</v>
      </c>
      <c r="J34" s="41">
        <f t="shared" si="9"/>
        <v>4351.9805924491311</v>
      </c>
      <c r="K34" s="41">
        <f t="shared" si="9"/>
        <v>4762.3225124190922</v>
      </c>
      <c r="L34" s="41">
        <f t="shared" si="9"/>
        <v>5163.1466593664172</v>
      </c>
      <c r="M34" s="41">
        <f t="shared" si="9"/>
        <v>5554.4530717695288</v>
      </c>
      <c r="N34" s="41">
        <f t="shared" si="9"/>
        <v>5936.241766064255</v>
      </c>
      <c r="O34" s="41">
        <f t="shared" si="9"/>
        <v>6308.5127373291043</v>
      </c>
      <c r="P34" s="41">
        <f t="shared" si="9"/>
        <v>6671.2659601481628</v>
      </c>
      <c r="Q34" s="41">
        <f t="shared" si="9"/>
        <v>7024.5013896390301</v>
      </c>
      <c r="R34" s="41">
        <f t="shared" si="9"/>
        <v>7368.2189626320442</v>
      </c>
      <c r="S34" s="41">
        <f t="shared" si="9"/>
        <v>7702.4185989859388</v>
      </c>
      <c r="T34" s="41">
        <f t="shared" si="9"/>
        <v>8030.0351531670613</v>
      </c>
      <c r="U34" s="41">
        <f t="shared" si="9"/>
        <v>8351.0685471336819</v>
      </c>
      <c r="V34" s="41">
        <f t="shared" si="9"/>
        <v>8665.5186899651762</v>
      </c>
      <c r="W34" s="41">
        <f t="shared" si="9"/>
        <v>8973.3854791134127</v>
      </c>
      <c r="X34" s="41">
        <f t="shared" si="9"/>
        <v>9274.6688017196811</v>
      </c>
      <c r="Y34" s="41">
        <f t="shared" si="9"/>
        <v>9569.3685359836818</v>
      </c>
      <c r="Z34" s="41">
        <f t="shared" si="9"/>
        <v>9857.4845525710243</v>
      </c>
      <c r="AA34" s="41">
        <f t="shared" si="9"/>
        <v>10139.016716045557</v>
      </c>
      <c r="AB34" s="41">
        <f t="shared" si="9"/>
        <v>10214.631028434271</v>
      </c>
      <c r="AC34" s="41">
        <f t="shared" si="9"/>
        <v>10286.960234166203</v>
      </c>
      <c r="AD34" s="41">
        <f t="shared" si="9"/>
        <v>10356.004097015453</v>
      </c>
      <c r="AE34" s="41">
        <f t="shared" si="9"/>
        <v>10421.762387294239</v>
      </c>
      <c r="AF34" s="41">
        <f t="shared" si="9"/>
        <v>10484.234883687221</v>
      </c>
      <c r="AG34" s="41">
        <f t="shared" si="9"/>
        <v>10543.421374959233</v>
      </c>
      <c r="AH34" s="41">
        <f t="shared" si="9"/>
        <v>10599.321661524164</v>
      </c>
      <c r="AI34" s="41">
        <f t="shared" si="9"/>
        <v>10651.935556864208</v>
      </c>
      <c r="AJ34" s="41">
        <f t="shared" si="9"/>
        <v>10701.262888790257</v>
      </c>
      <c r="AK34" s="41">
        <f t="shared" si="9"/>
        <v>10747.30350053584</v>
      </c>
      <c r="AL34" s="41">
        <f t="shared" si="9"/>
        <v>10790.057251678585</v>
      </c>
      <c r="AM34" s="41">
        <f t="shared" si="9"/>
        <v>10829.524018884935</v>
      </c>
    </row>
    <row r="35" spans="1:39" outlineLevel="1" x14ac:dyDescent="0.25">
      <c r="A35" t="s">
        <v>186</v>
      </c>
      <c r="B35" s="111">
        <v>825.56192536506228</v>
      </c>
      <c r="C35" s="111">
        <v>1378.3142471151803</v>
      </c>
      <c r="D35" s="111">
        <v>1920.2511187422499</v>
      </c>
      <c r="E35" s="111">
        <v>2451.3727847979148</v>
      </c>
      <c r="F35" s="111">
        <v>2971.6794669590008</v>
      </c>
      <c r="G35" s="111">
        <v>3481.1713628928173</v>
      </c>
      <c r="H35" s="111">
        <v>3979.8486453717505</v>
      </c>
      <c r="I35" s="111">
        <v>4467.711461638617</v>
      </c>
      <c r="J35" s="111">
        <v>4944.7599330219855</v>
      </c>
      <c r="K35" s="111">
        <v>5410.9941547984454</v>
      </c>
      <c r="L35" s="111">
        <v>5866.4141962967151</v>
      </c>
      <c r="M35" s="111">
        <v>6311.0201012363295</v>
      </c>
      <c r="N35" s="111">
        <v>6744.8118882918243</v>
      </c>
      <c r="O35" s="111">
        <v>7167.7895518713576</v>
      </c>
      <c r="P35" s="111">
        <v>7579.9530630971358</v>
      </c>
      <c r="Q35" s="111">
        <v>7981.3023709733679</v>
      </c>
      <c r="R35" s="111">
        <v>8371.8374037261092</v>
      </c>
      <c r="S35" s="111">
        <v>8751.5580702981242</v>
      </c>
      <c r="T35" s="111">
        <v>9123.7989790283427</v>
      </c>
      <c r="U35" s="111">
        <v>9488.5600412450422</v>
      </c>
      <c r="V35" s="111">
        <v>9845.8411536433832</v>
      </c>
      <c r="W35" s="111">
        <v>10195.642199707245</v>
      </c>
      <c r="X35" s="111">
        <v>10537.963051205534</v>
      </c>
      <c r="Y35" s="111">
        <v>10872.803569747641</v>
      </c>
      <c r="Z35" s="111">
        <v>11200.163608382658</v>
      </c>
      <c r="AA35" s="111">
        <v>11520.043013226794</v>
      </c>
      <c r="AB35" s="111">
        <v>11605.956682720505</v>
      </c>
      <c r="AC35" s="111">
        <v>11688.13778415076</v>
      </c>
      <c r="AD35" s="111">
        <v>11766.586049115542</v>
      </c>
      <c r="AE35" s="111">
        <v>11841.301216641503</v>
      </c>
      <c r="AF35" s="111">
        <v>11912.283035268143</v>
      </c>
      <c r="AG35" s="111">
        <v>11979.531264988142</v>
      </c>
      <c r="AH35" s="111">
        <v>12043.045679029949</v>
      </c>
      <c r="AI35" s="111">
        <v>12102.826065470332</v>
      </c>
      <c r="AJ35" s="111">
        <v>12158.872228666465</v>
      </c>
      <c r="AK35" s="111">
        <v>12211.183990498854</v>
      </c>
      <c r="AL35" s="111">
        <v>12259.761191418325</v>
      </c>
      <c r="AM35" s="111">
        <v>12304.603691292168</v>
      </c>
    </row>
    <row r="36" spans="1:39" outlineLevel="1" x14ac:dyDescent="0.25"/>
    <row r="38" spans="1:39" ht="23.25" x14ac:dyDescent="0.25">
      <c r="A38" s="62" t="s">
        <v>124</v>
      </c>
    </row>
    <row r="40" spans="1:39" outlineLevel="1" x14ac:dyDescent="0.25">
      <c r="A40" s="3" t="s">
        <v>125</v>
      </c>
      <c r="B40" s="47">
        <v>2013</v>
      </c>
      <c r="C40" s="47">
        <v>2014</v>
      </c>
      <c r="D40" s="47">
        <v>2015</v>
      </c>
      <c r="E40" s="47">
        <v>2016</v>
      </c>
      <c r="F40" s="47">
        <v>2017</v>
      </c>
      <c r="G40" s="47">
        <v>2018</v>
      </c>
      <c r="H40" s="47">
        <v>2019</v>
      </c>
      <c r="I40" s="47">
        <v>2020</v>
      </c>
      <c r="J40" s="47">
        <v>2021</v>
      </c>
      <c r="K40" s="47">
        <v>2022</v>
      </c>
      <c r="L40" s="47">
        <v>2023</v>
      </c>
      <c r="M40" s="47">
        <v>2024</v>
      </c>
      <c r="N40" s="47">
        <v>2025</v>
      </c>
      <c r="O40" s="47">
        <v>2026</v>
      </c>
      <c r="P40" s="47">
        <v>2027</v>
      </c>
      <c r="Q40" s="47">
        <v>2028</v>
      </c>
      <c r="R40" s="47">
        <v>2029</v>
      </c>
      <c r="S40" s="47">
        <v>2030</v>
      </c>
      <c r="T40" s="47">
        <v>2031</v>
      </c>
      <c r="U40" s="47">
        <v>2032</v>
      </c>
      <c r="V40" s="47">
        <v>2033</v>
      </c>
      <c r="W40" s="47">
        <v>2034</v>
      </c>
      <c r="X40" s="47">
        <v>2035</v>
      </c>
      <c r="Y40" s="47">
        <v>2036</v>
      </c>
      <c r="Z40" s="47">
        <v>2037</v>
      </c>
      <c r="AA40" s="47">
        <v>2038</v>
      </c>
      <c r="AB40" s="47">
        <v>2039</v>
      </c>
      <c r="AC40" s="47">
        <v>2040</v>
      </c>
      <c r="AD40" s="47">
        <v>2041</v>
      </c>
      <c r="AE40" s="47">
        <v>2042</v>
      </c>
      <c r="AF40" s="47">
        <v>2043</v>
      </c>
      <c r="AG40" s="47">
        <v>2044</v>
      </c>
      <c r="AH40" s="47">
        <v>2045</v>
      </c>
      <c r="AI40" s="47">
        <v>2046</v>
      </c>
      <c r="AJ40" s="47">
        <v>2047</v>
      </c>
      <c r="AK40" s="47">
        <v>2048</v>
      </c>
      <c r="AL40" s="47">
        <v>2049</v>
      </c>
      <c r="AM40" s="47">
        <v>2050</v>
      </c>
    </row>
    <row r="41" spans="1:39" outlineLevel="1" x14ac:dyDescent="0.25">
      <c r="A41" t="s">
        <v>171</v>
      </c>
      <c r="B41" s="60">
        <f>'Linéarisation mix'!B9*1000000</f>
        <v>1704132.2700000003</v>
      </c>
      <c r="C41" s="60">
        <f>'Linéarisation mix'!C9*1000000</f>
        <v>2287894.7406766671</v>
      </c>
      <c r="D41" s="60">
        <f>'Linéarisation mix'!D9*1000000</f>
        <v>2871657.257422721</v>
      </c>
      <c r="E41" s="60">
        <f>'Linéarisation mix'!E9*1000000</f>
        <v>3455419.8426101888</v>
      </c>
      <c r="F41" s="60">
        <f>'Linéarisation mix'!F9*1000000</f>
        <v>4039182.517957963</v>
      </c>
      <c r="G41" s="60">
        <f>'Linéarisation mix'!G9*1000000</f>
        <v>4622945.3043802977</v>
      </c>
      <c r="H41" s="60">
        <f>'Linéarisation mix'!H9*1000000</f>
        <v>5206708.2218421753</v>
      </c>
      <c r="I41" s="60">
        <f>'Linéarisation mix'!I9*1000000</f>
        <v>5790471.2892225487</v>
      </c>
      <c r="J41" s="60">
        <f>'Linéarisation mix'!J9*1000000</f>
        <v>6374234.524186369</v>
      </c>
      <c r="K41" s="60">
        <f>'Linéarisation mix'!K9*1000000</f>
        <v>6957997.9430662766</v>
      </c>
      <c r="L41" s="60">
        <f>'Linéarisation mix'!L9*1000000</f>
        <v>7541761.5607547108</v>
      </c>
      <c r="M41" s="60">
        <f>'Linéarisation mix'!M9*1000000</f>
        <v>8125525.390607168</v>
      </c>
      <c r="N41" s="60">
        <f>'Linéarisation mix'!N9*1000000</f>
        <v>8709289.4443571903</v>
      </c>
      <c r="O41" s="60">
        <f>'Linéarisation mix'!O9*1000000</f>
        <v>9293053.7320436593</v>
      </c>
      <c r="P41" s="60">
        <f>'Linéarisation mix'!P9*1000000</f>
        <v>9876818.2619507704</v>
      </c>
      <c r="Q41" s="60">
        <f>'Linéarisation mix'!Q9*1000000</f>
        <v>10460583.040561076</v>
      </c>
      <c r="R41" s="60">
        <f>'Linéarisation mix'!R9*1000000</f>
        <v>11044348.072521824</v>
      </c>
      <c r="S41" s="60">
        <f>'Linéarisation mix'!S9*1000000</f>
        <v>11628113.360624731</v>
      </c>
      <c r="T41" s="60">
        <f>'Linéarisation mix'!T9*1000000</f>
        <v>12211878.905799247</v>
      </c>
      <c r="U41" s="60">
        <f>'Linéarisation mix'!U9*1000000</f>
        <v>12795644.707119271</v>
      </c>
      <c r="V41" s="60">
        <f>'Linéarisation mix'!V9*1000000</f>
        <v>13379410.761823149</v>
      </c>
      <c r="W41" s="60">
        <f>'Linéarisation mix'!W9*1000000</f>
        <v>13963177.06534674</v>
      </c>
      <c r="X41" s="60">
        <f>'Linéarisation mix'!X9*1000000</f>
        <v>14546943.611369209</v>
      </c>
      <c r="Y41" s="60">
        <f>'Linéarisation mix'!Y9*1000000</f>
        <v>15130710.391871123</v>
      </c>
      <c r="Z41" s="60">
        <f>'Linéarisation mix'!Z9*1000000</f>
        <v>15714477.397204325</v>
      </c>
      <c r="AA41" s="60">
        <f>'Linéarisation mix'!AA9*1000000</f>
        <v>16298244.616173061</v>
      </c>
      <c r="AB41" s="60">
        <f>'Linéarisation mix'!AB9*1000000</f>
        <v>16882012.036125615</v>
      </c>
      <c r="AC41" s="60">
        <f>'Linéarisation mix'!AC9*1000000</f>
        <v>17465779.643055789</v>
      </c>
      <c r="AD41" s="60">
        <f>'Linéarisation mix'!AD9*1000000</f>
        <v>18049547.421713356</v>
      </c>
      <c r="AE41" s="60">
        <f>'Linéarisation mix'!AE9*1000000</f>
        <v>18633315.355722699</v>
      </c>
      <c r="AF41" s="60">
        <f>'Linéarisation mix'!AF9*1000000</f>
        <v>19217083.427708689</v>
      </c>
      <c r="AG41" s="60">
        <f>'Linéarisation mix'!AG9*1000000</f>
        <v>19800851.619428813</v>
      </c>
      <c r="AH41" s="60">
        <f>'Linéarisation mix'!AH9*1000000</f>
        <v>20384619.911910631</v>
      </c>
      <c r="AI41" s="60">
        <f>'Linéarisation mix'!AI9*1000000</f>
        <v>20968388.285593461</v>
      </c>
      <c r="AJ41" s="60">
        <f>'Linéarisation mix'!AJ9*1000000</f>
        <v>21552156.720473327</v>
      </c>
      <c r="AK41" s="60">
        <f>'Linéarisation mix'!AK9*1000000</f>
        <v>22135925.196249962</v>
      </c>
      <c r="AL41" s="60">
        <f>'Linéarisation mix'!AL9*1000000</f>
        <v>22719693.692474984</v>
      </c>
      <c r="AM41" s="60">
        <f>'Linéarisation mix'!AM9*1000000</f>
        <v>23303462.188700002</v>
      </c>
    </row>
    <row r="42" spans="1:39" outlineLevel="1" x14ac:dyDescent="0.25">
      <c r="A42" t="s">
        <v>185</v>
      </c>
      <c r="B42" s="60">
        <f>LCOE!B3</f>
        <v>70</v>
      </c>
      <c r="C42" s="60">
        <f>LCOE!C3</f>
        <v>70</v>
      </c>
      <c r="D42" s="60">
        <f>LCOE!D3</f>
        <v>70</v>
      </c>
      <c r="E42" s="60">
        <f>LCOE!E3</f>
        <v>70</v>
      </c>
      <c r="F42" s="60">
        <f>LCOE!F3</f>
        <v>70</v>
      </c>
      <c r="G42" s="60">
        <f>LCOE!G3</f>
        <v>70</v>
      </c>
      <c r="H42" s="60">
        <f>LCOE!H3</f>
        <v>70</v>
      </c>
      <c r="I42" s="60">
        <f>LCOE!I3</f>
        <v>70</v>
      </c>
      <c r="J42" s="60">
        <f>LCOE!J3</f>
        <v>70</v>
      </c>
      <c r="K42" s="60">
        <f>LCOE!K3</f>
        <v>70</v>
      </c>
      <c r="L42" s="60">
        <f>LCOE!L3</f>
        <v>70</v>
      </c>
      <c r="M42" s="60">
        <f>LCOE!M3</f>
        <v>70</v>
      </c>
      <c r="N42" s="60">
        <f>LCOE!N3</f>
        <v>70</v>
      </c>
      <c r="O42" s="60">
        <f>LCOE!O3</f>
        <v>70</v>
      </c>
      <c r="P42" s="60">
        <f>LCOE!P3</f>
        <v>70</v>
      </c>
      <c r="Q42" s="60">
        <f>LCOE!Q3</f>
        <v>70</v>
      </c>
      <c r="R42" s="60">
        <f>LCOE!R3</f>
        <v>70</v>
      </c>
      <c r="S42" s="60">
        <f>LCOE!S3</f>
        <v>70</v>
      </c>
      <c r="T42" s="60">
        <f>LCOE!T3</f>
        <v>70</v>
      </c>
      <c r="U42" s="60">
        <f>LCOE!U3</f>
        <v>70</v>
      </c>
      <c r="V42" s="60">
        <f>LCOE!V3</f>
        <v>70</v>
      </c>
      <c r="W42" s="60">
        <f>LCOE!W3</f>
        <v>70</v>
      </c>
      <c r="X42" s="60">
        <f>LCOE!X3</f>
        <v>70</v>
      </c>
      <c r="Y42" s="60">
        <f>LCOE!Y3</f>
        <v>70</v>
      </c>
      <c r="Z42" s="60">
        <f>LCOE!Z3</f>
        <v>70</v>
      </c>
      <c r="AA42" s="60">
        <f>LCOE!AA3</f>
        <v>70</v>
      </c>
      <c r="AB42" s="60">
        <f>LCOE!AB3</f>
        <v>70</v>
      </c>
      <c r="AC42" s="60">
        <f>LCOE!AC3</f>
        <v>70</v>
      </c>
      <c r="AD42" s="60">
        <f>LCOE!AD3</f>
        <v>70</v>
      </c>
      <c r="AE42" s="60">
        <f>LCOE!AE3</f>
        <v>70</v>
      </c>
      <c r="AF42" s="60">
        <f>LCOE!AF3</f>
        <v>70</v>
      </c>
      <c r="AG42" s="60">
        <f>LCOE!AG3</f>
        <v>70</v>
      </c>
      <c r="AH42" s="60">
        <f>LCOE!AH3</f>
        <v>70</v>
      </c>
      <c r="AI42" s="60">
        <f>LCOE!AI3</f>
        <v>70</v>
      </c>
      <c r="AJ42" s="60">
        <f>LCOE!AJ3</f>
        <v>70</v>
      </c>
      <c r="AK42" s="60">
        <f>LCOE!AK3</f>
        <v>70</v>
      </c>
      <c r="AL42" s="60">
        <f>LCOE!AL3</f>
        <v>70</v>
      </c>
      <c r="AM42" s="60">
        <f>LCOE!AM3</f>
        <v>70</v>
      </c>
    </row>
    <row r="43" spans="1:39" outlineLevel="1" x14ac:dyDescent="0.25">
      <c r="A43" t="s">
        <v>127</v>
      </c>
      <c r="B43" s="48">
        <v>0</v>
      </c>
      <c r="C43" s="64">
        <f>B43+C41-B41</f>
        <v>583762.47067666682</v>
      </c>
      <c r="D43" s="64">
        <f t="shared" ref="D43:AM43" si="10">C43+D41-C41</f>
        <v>1167524.987422721</v>
      </c>
      <c r="E43" s="64">
        <f t="shared" si="10"/>
        <v>1751287.5726101883</v>
      </c>
      <c r="F43" s="64">
        <f t="shared" si="10"/>
        <v>2335050.2479579626</v>
      </c>
      <c r="G43" s="64">
        <f t="shared" si="10"/>
        <v>2918813.0343802972</v>
      </c>
      <c r="H43" s="64">
        <f t="shared" si="10"/>
        <v>3502575.9518421749</v>
      </c>
      <c r="I43" s="64">
        <f t="shared" si="10"/>
        <v>4086339.0192225482</v>
      </c>
      <c r="J43" s="64">
        <f t="shared" si="10"/>
        <v>4670102.2541863685</v>
      </c>
      <c r="K43" s="64">
        <f t="shared" si="10"/>
        <v>5253865.6730662771</v>
      </c>
      <c r="L43" s="64">
        <f t="shared" si="10"/>
        <v>5837629.2907547113</v>
      </c>
      <c r="M43" s="64">
        <f t="shared" si="10"/>
        <v>6421393.1206071693</v>
      </c>
      <c r="N43" s="64">
        <f t="shared" si="10"/>
        <v>7005157.1743571917</v>
      </c>
      <c r="O43" s="64">
        <f t="shared" si="10"/>
        <v>7588921.4620436616</v>
      </c>
      <c r="P43" s="64">
        <f t="shared" si="10"/>
        <v>8172685.9919507746</v>
      </c>
      <c r="Q43" s="64">
        <f t="shared" si="10"/>
        <v>8756450.7705610823</v>
      </c>
      <c r="R43" s="64">
        <f t="shared" si="10"/>
        <v>9340215.8025218286</v>
      </c>
      <c r="S43" s="64">
        <f t="shared" si="10"/>
        <v>9923981.0906247348</v>
      </c>
      <c r="T43" s="64">
        <f t="shared" si="10"/>
        <v>10507746.635799251</v>
      </c>
      <c r="U43" s="64">
        <f t="shared" si="10"/>
        <v>11091512.437119275</v>
      </c>
      <c r="V43" s="64">
        <f t="shared" si="10"/>
        <v>11675278.491823152</v>
      </c>
      <c r="W43" s="64">
        <f t="shared" si="10"/>
        <v>12259044.795346742</v>
      </c>
      <c r="X43" s="64">
        <f t="shared" si="10"/>
        <v>12842811.341369212</v>
      </c>
      <c r="Y43" s="64">
        <f t="shared" si="10"/>
        <v>13426578.121871127</v>
      </c>
      <c r="Z43" s="64">
        <f t="shared" si="10"/>
        <v>14010345.127204331</v>
      </c>
      <c r="AA43" s="64">
        <f t="shared" si="10"/>
        <v>14594112.346173067</v>
      </c>
      <c r="AB43" s="64">
        <f t="shared" si="10"/>
        <v>15177879.766125621</v>
      </c>
      <c r="AC43" s="64">
        <f t="shared" si="10"/>
        <v>15761647.373055793</v>
      </c>
      <c r="AD43" s="64">
        <f t="shared" si="10"/>
        <v>16345415.151713364</v>
      </c>
      <c r="AE43" s="64">
        <f t="shared" si="10"/>
        <v>16929183.085722711</v>
      </c>
      <c r="AF43" s="64">
        <f t="shared" si="10"/>
        <v>17512951.157708701</v>
      </c>
      <c r="AG43" s="64">
        <f t="shared" si="10"/>
        <v>18096719.349428829</v>
      </c>
      <c r="AH43" s="64">
        <f t="shared" si="10"/>
        <v>18680487.641910642</v>
      </c>
      <c r="AI43" s="64">
        <f t="shared" si="10"/>
        <v>19264256.015593477</v>
      </c>
      <c r="AJ43" s="64">
        <f t="shared" si="10"/>
        <v>19848024.450473342</v>
      </c>
      <c r="AK43" s="64">
        <f t="shared" si="10"/>
        <v>20431792.926249973</v>
      </c>
      <c r="AL43" s="64">
        <f t="shared" si="10"/>
        <v>21015561.422474995</v>
      </c>
      <c r="AM43" s="64">
        <f t="shared" si="10"/>
        <v>21599329.918700017</v>
      </c>
    </row>
    <row r="44" spans="1:39" outlineLevel="1" x14ac:dyDescent="0.25">
      <c r="A44" t="s">
        <v>188</v>
      </c>
      <c r="B44" s="48"/>
      <c r="C44" s="42"/>
      <c r="D44" s="42"/>
      <c r="E44" s="42"/>
      <c r="F44" s="42"/>
      <c r="G44" s="42"/>
      <c r="H44" s="42"/>
      <c r="I44" s="42"/>
      <c r="J44" s="42"/>
      <c r="K44" s="42"/>
      <c r="L44" s="42"/>
      <c r="M44" s="49"/>
      <c r="N44" s="42"/>
      <c r="O44" s="42"/>
      <c r="P44" s="42"/>
      <c r="Q44" s="42"/>
      <c r="R44" s="42"/>
      <c r="S44" s="43"/>
      <c r="T44" s="42"/>
      <c r="U44" s="42"/>
      <c r="V44" s="42"/>
      <c r="W44" s="42"/>
      <c r="X44" s="42"/>
      <c r="Y44" s="42"/>
      <c r="Z44" s="42"/>
      <c r="AA44" s="42"/>
      <c r="AB44" s="42"/>
      <c r="AC44" s="42"/>
      <c r="AD44" s="42"/>
      <c r="AE44" s="49"/>
      <c r="AF44" s="49"/>
      <c r="AG44" s="49"/>
      <c r="AH44" s="49"/>
      <c r="AI44" s="49"/>
      <c r="AJ44" s="49"/>
      <c r="AK44" s="49"/>
      <c r="AL44" s="42"/>
      <c r="AM44" s="104">
        <f>AM47/AM49</f>
        <v>0.19787236221693572</v>
      </c>
    </row>
    <row r="45" spans="1:39" outlineLevel="1" x14ac:dyDescent="0.25">
      <c r="A45" t="s">
        <v>143</v>
      </c>
      <c r="B45" s="13">
        <f>$AM$45</f>
        <v>16</v>
      </c>
      <c r="C45" s="13">
        <f t="shared" ref="C45:AL45" si="11">$AM$45</f>
        <v>16</v>
      </c>
      <c r="D45" s="13">
        <f t="shared" si="11"/>
        <v>16</v>
      </c>
      <c r="E45" s="13">
        <f t="shared" si="11"/>
        <v>16</v>
      </c>
      <c r="F45" s="13">
        <f t="shared" si="11"/>
        <v>16</v>
      </c>
      <c r="G45" s="13">
        <f t="shared" si="11"/>
        <v>16</v>
      </c>
      <c r="H45" s="13">
        <f t="shared" si="11"/>
        <v>16</v>
      </c>
      <c r="I45" s="13">
        <f t="shared" si="11"/>
        <v>16</v>
      </c>
      <c r="J45" s="13">
        <f t="shared" si="11"/>
        <v>16</v>
      </c>
      <c r="K45" s="13">
        <f t="shared" si="11"/>
        <v>16</v>
      </c>
      <c r="L45" s="13">
        <f t="shared" si="11"/>
        <v>16</v>
      </c>
      <c r="M45" s="13">
        <f t="shared" si="11"/>
        <v>16</v>
      </c>
      <c r="N45" s="13">
        <f t="shared" si="11"/>
        <v>16</v>
      </c>
      <c r="O45" s="13">
        <f t="shared" si="11"/>
        <v>16</v>
      </c>
      <c r="P45" s="13">
        <f t="shared" si="11"/>
        <v>16</v>
      </c>
      <c r="Q45" s="13">
        <f t="shared" si="11"/>
        <v>16</v>
      </c>
      <c r="R45" s="13">
        <f t="shared" si="11"/>
        <v>16</v>
      </c>
      <c r="S45" s="13">
        <f t="shared" si="11"/>
        <v>16</v>
      </c>
      <c r="T45" s="13">
        <f t="shared" si="11"/>
        <v>16</v>
      </c>
      <c r="U45" s="13">
        <f t="shared" si="11"/>
        <v>16</v>
      </c>
      <c r="V45" s="13">
        <f t="shared" si="11"/>
        <v>16</v>
      </c>
      <c r="W45" s="13">
        <f t="shared" si="11"/>
        <v>16</v>
      </c>
      <c r="X45" s="13">
        <f t="shared" si="11"/>
        <v>16</v>
      </c>
      <c r="Y45" s="13">
        <f t="shared" si="11"/>
        <v>16</v>
      </c>
      <c r="Z45" s="13">
        <f t="shared" si="11"/>
        <v>16</v>
      </c>
      <c r="AA45" s="13">
        <f t="shared" si="11"/>
        <v>16</v>
      </c>
      <c r="AB45" s="13">
        <f t="shared" si="11"/>
        <v>16</v>
      </c>
      <c r="AC45" s="13">
        <f t="shared" si="11"/>
        <v>16</v>
      </c>
      <c r="AD45" s="13">
        <f t="shared" si="11"/>
        <v>16</v>
      </c>
      <c r="AE45" s="13">
        <f t="shared" si="11"/>
        <v>16</v>
      </c>
      <c r="AF45" s="13">
        <f t="shared" si="11"/>
        <v>16</v>
      </c>
      <c r="AG45" s="13">
        <f t="shared" si="11"/>
        <v>16</v>
      </c>
      <c r="AH45" s="13">
        <f t="shared" si="11"/>
        <v>16</v>
      </c>
      <c r="AI45" s="13">
        <f t="shared" si="11"/>
        <v>16</v>
      </c>
      <c r="AJ45" s="13">
        <f t="shared" si="11"/>
        <v>16</v>
      </c>
      <c r="AK45" s="13">
        <f t="shared" si="11"/>
        <v>16</v>
      </c>
      <c r="AL45" s="13">
        <f t="shared" si="11"/>
        <v>16</v>
      </c>
      <c r="AM45" s="13">
        <f>LCOE!AT3*10</f>
        <v>16</v>
      </c>
    </row>
    <row r="46" spans="1:39" outlineLevel="1" x14ac:dyDescent="0.25">
      <c r="A46" t="s">
        <v>206</v>
      </c>
      <c r="B46" s="58">
        <v>25</v>
      </c>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row>
    <row r="47" spans="1:39" outlineLevel="1" x14ac:dyDescent="0.25">
      <c r="A47" t="s">
        <v>107</v>
      </c>
      <c r="B47" s="13">
        <f t="shared" ref="B47:AK47" si="12">$AM$44*B49</f>
        <v>18.208836600930482</v>
      </c>
      <c r="C47" s="13">
        <f t="shared" si="12"/>
        <v>24.446401389435369</v>
      </c>
      <c r="D47" s="13">
        <f t="shared" si="12"/>
        <v>30.683966670196611</v>
      </c>
      <c r="E47" s="13">
        <f t="shared" si="12"/>
        <v>36.92153268226172</v>
      </c>
      <c r="F47" s="13">
        <f t="shared" si="12"/>
        <v>43.159099657699393</v>
      </c>
      <c r="G47" s="13">
        <f t="shared" si="12"/>
        <v>49.396667819980713</v>
      </c>
      <c r="H47" s="13">
        <f t="shared" si="12"/>
        <v>55.634237382433639</v>
      </c>
      <c r="I47" s="13">
        <f t="shared" si="12"/>
        <v>61.871808546781807</v>
      </c>
      <c r="J47" s="13">
        <f t="shared" si="12"/>
        <v>68.109381501777136</v>
      </c>
      <c r="K47" s="13">
        <f t="shared" si="12"/>
        <v>74.34695642193563</v>
      </c>
      <c r="L47" s="13">
        <f t="shared" si="12"/>
        <v>80.584533466384627</v>
      </c>
      <c r="M47" s="13">
        <f t="shared" si="12"/>
        <v>86.82211277782902</v>
      </c>
      <c r="N47" s="13">
        <f t="shared" si="12"/>
        <v>93.059694481642993</v>
      </c>
      <c r="O47" s="13">
        <f t="shared" si="12"/>
        <v>99.297278685093033</v>
      </c>
      <c r="P47" s="13">
        <f t="shared" si="12"/>
        <v>105.53486547669672</v>
      </c>
      <c r="Q47" s="13">
        <f t="shared" si="12"/>
        <v>111.77245492572077</v>
      </c>
      <c r="R47" s="13">
        <f t="shared" si="12"/>
        <v>118.01004708182157</v>
      </c>
      <c r="S47" s="13">
        <f t="shared" si="12"/>
        <v>124.24764197482885</v>
      </c>
      <c r="T47" s="13">
        <f t="shared" si="12"/>
        <v>130.48523961467396</v>
      </c>
      <c r="U47" s="13">
        <f t="shared" si="12"/>
        <v>136.72283999146134</v>
      </c>
      <c r="V47" s="13">
        <f t="shared" si="12"/>
        <v>142.96044307568246</v>
      </c>
      <c r="W47" s="13">
        <f t="shared" si="12"/>
        <v>149.19804881856899</v>
      </c>
      <c r="X47" s="13">
        <f t="shared" si="12"/>
        <v>155.43565715258211</v>
      </c>
      <c r="Y47" s="13">
        <f t="shared" si="12"/>
        <v>161.67326799203332</v>
      </c>
      <c r="Z47" s="13">
        <f t="shared" si="12"/>
        <v>167.91088123383099</v>
      </c>
      <c r="AA47" s="13">
        <f t="shared" si="12"/>
        <v>174.14849675834733</v>
      </c>
      <c r="AB47" s="13">
        <f t="shared" si="12"/>
        <v>180.38611443039744</v>
      </c>
      <c r="AC47" s="13">
        <f t="shared" si="12"/>
        <v>186.6237341003235</v>
      </c>
      <c r="AD47" s="13">
        <f t="shared" si="12"/>
        <v>192.86135560517522</v>
      </c>
      <c r="AE47" s="13">
        <f t="shared" si="12"/>
        <v>199.09897876997741</v>
      </c>
      <c r="AF47" s="13">
        <f t="shared" si="12"/>
        <v>205.33660340907488</v>
      </c>
      <c r="AG47" s="13">
        <f t="shared" si="12"/>
        <v>211.57422932754446</v>
      </c>
      <c r="AH47" s="13">
        <f t="shared" si="12"/>
        <v>217.81185632266357</v>
      </c>
      <c r="AI47" s="13">
        <f t="shared" si="12"/>
        <v>224.04948418542423</v>
      </c>
      <c r="AJ47" s="13">
        <f t="shared" si="12"/>
        <v>230.2871127020818</v>
      </c>
      <c r="AK47" s="13">
        <f t="shared" si="12"/>
        <v>236.52474165572576</v>
      </c>
      <c r="AL47" s="13">
        <f>$AM$44*AL49</f>
        <v>242.76237082786292</v>
      </c>
      <c r="AM47" s="13">
        <f>LCOE!AS3*1000*'Capacités installées'!B2/1000000</f>
        <v>249</v>
      </c>
    </row>
    <row r="48" spans="1:39" outlineLevel="1" x14ac:dyDescent="0.25">
      <c r="A48" t="s">
        <v>111</v>
      </c>
      <c r="B48" s="41">
        <f>B49-B47</f>
        <v>73.81430597906953</v>
      </c>
      <c r="C48" s="41">
        <f t="shared" ref="C48:AM48" si="13">C49-C47</f>
        <v>99.099914607104665</v>
      </c>
      <c r="D48" s="41">
        <f t="shared" si="13"/>
        <v>124.38552523063035</v>
      </c>
      <c r="E48" s="41">
        <f t="shared" si="13"/>
        <v>149.67113881868849</v>
      </c>
      <c r="F48" s="41">
        <f t="shared" si="13"/>
        <v>174.95675631203062</v>
      </c>
      <c r="G48" s="41">
        <f t="shared" si="13"/>
        <v>200.24237861655544</v>
      </c>
      <c r="H48" s="41">
        <f t="shared" si="13"/>
        <v>225.52800659704394</v>
      </c>
      <c r="I48" s="41">
        <f t="shared" si="13"/>
        <v>250.81364107123593</v>
      </c>
      <c r="J48" s="41">
        <f t="shared" si="13"/>
        <v>276.09928280428687</v>
      </c>
      <c r="K48" s="41">
        <f t="shared" si="13"/>
        <v>301.38493250364343</v>
      </c>
      <c r="L48" s="41">
        <f t="shared" si="13"/>
        <v>326.67059081436986</v>
      </c>
      <c r="M48" s="41">
        <f t="shared" si="13"/>
        <v>351.95625831495818</v>
      </c>
      <c r="N48" s="41">
        <f t="shared" si="13"/>
        <v>377.24193551364544</v>
      </c>
      <c r="O48" s="41">
        <f t="shared" si="13"/>
        <v>402.52762284526466</v>
      </c>
      <c r="P48" s="41">
        <f t="shared" si="13"/>
        <v>427.81332066864502</v>
      </c>
      <c r="Q48" s="41">
        <f t="shared" si="13"/>
        <v>453.0990292645775</v>
      </c>
      <c r="R48" s="41">
        <f t="shared" si="13"/>
        <v>478.3847488343572</v>
      </c>
      <c r="S48" s="41">
        <f t="shared" si="13"/>
        <v>503.67047949890673</v>
      </c>
      <c r="T48" s="41">
        <f t="shared" si="13"/>
        <v>528.95622129848562</v>
      </c>
      <c r="U48" s="41">
        <f t="shared" si="13"/>
        <v>554.24197419297946</v>
      </c>
      <c r="V48" s="41">
        <f t="shared" si="13"/>
        <v>579.52773806276764</v>
      </c>
      <c r="W48" s="41">
        <f t="shared" si="13"/>
        <v>604.81351271015501</v>
      </c>
      <c r="X48" s="41">
        <f t="shared" si="13"/>
        <v>630.09929786135513</v>
      </c>
      <c r="Y48" s="41">
        <f t="shared" si="13"/>
        <v>655.3850931690074</v>
      </c>
      <c r="Z48" s="41">
        <f t="shared" si="13"/>
        <v>680.67089821520244</v>
      </c>
      <c r="AA48" s="41">
        <f t="shared" si="13"/>
        <v>705.95671251499766</v>
      </c>
      <c r="AB48" s="41">
        <f t="shared" si="13"/>
        <v>731.24253552038556</v>
      </c>
      <c r="AC48" s="41">
        <f t="shared" si="13"/>
        <v>756.52836662468894</v>
      </c>
      <c r="AD48" s="41">
        <f t="shared" si="13"/>
        <v>781.81420516734579</v>
      </c>
      <c r="AE48" s="41">
        <f t="shared" si="13"/>
        <v>807.10005043904823</v>
      </c>
      <c r="AF48" s="41">
        <f t="shared" si="13"/>
        <v>832.38590168719418</v>
      </c>
      <c r="AG48" s="41">
        <f t="shared" si="13"/>
        <v>857.67175812161133</v>
      </c>
      <c r="AH48" s="41">
        <f t="shared" si="13"/>
        <v>882.95761892051041</v>
      </c>
      <c r="AI48" s="41">
        <f t="shared" si="13"/>
        <v>908.24348323662252</v>
      </c>
      <c r="AJ48" s="41">
        <f t="shared" si="13"/>
        <v>933.52935020347775</v>
      </c>
      <c r="AK48" s="41">
        <f t="shared" si="13"/>
        <v>958.81521894177206</v>
      </c>
      <c r="AL48" s="41">
        <f t="shared" si="13"/>
        <v>984.10108856578609</v>
      </c>
      <c r="AM48" s="41">
        <f t="shared" si="13"/>
        <v>1009.3869581897998</v>
      </c>
    </row>
    <row r="49" spans="1:39" outlineLevel="1" x14ac:dyDescent="0.25">
      <c r="A49" t="s">
        <v>186</v>
      </c>
      <c r="B49" s="13">
        <f t="shared" ref="B49:AM49" si="14">B51-B50</f>
        <v>92.023142580000012</v>
      </c>
      <c r="C49" s="13">
        <f t="shared" si="14"/>
        <v>123.54631599654003</v>
      </c>
      <c r="D49" s="13">
        <f t="shared" si="14"/>
        <v>155.06949190082696</v>
      </c>
      <c r="E49" s="13">
        <f t="shared" si="14"/>
        <v>186.59267150095022</v>
      </c>
      <c r="F49" s="13">
        <f t="shared" si="14"/>
        <v>218.11585596973001</v>
      </c>
      <c r="G49" s="13">
        <f t="shared" si="14"/>
        <v>249.63904643653615</v>
      </c>
      <c r="H49" s="13">
        <f t="shared" si="14"/>
        <v>281.16224397947758</v>
      </c>
      <c r="I49" s="13">
        <f t="shared" si="14"/>
        <v>312.68544961801774</v>
      </c>
      <c r="J49" s="13">
        <f t="shared" si="14"/>
        <v>344.20866430606401</v>
      </c>
      <c r="K49" s="13">
        <f t="shared" si="14"/>
        <v>375.73188892557903</v>
      </c>
      <c r="L49" s="13">
        <f t="shared" si="14"/>
        <v>407.2551242807545</v>
      </c>
      <c r="M49" s="13">
        <f t="shared" si="14"/>
        <v>438.77837109278721</v>
      </c>
      <c r="N49" s="13">
        <f t="shared" si="14"/>
        <v>470.30162999528841</v>
      </c>
      <c r="O49" s="13">
        <f t="shared" si="14"/>
        <v>501.82490153035769</v>
      </c>
      <c r="P49" s="13">
        <f t="shared" si="14"/>
        <v>533.34818614534174</v>
      </c>
      <c r="Q49" s="13">
        <f t="shared" si="14"/>
        <v>564.87148419029825</v>
      </c>
      <c r="R49" s="13">
        <f t="shared" si="14"/>
        <v>596.39479591617874</v>
      </c>
      <c r="S49" s="13">
        <f t="shared" si="14"/>
        <v>627.9181214737356</v>
      </c>
      <c r="T49" s="13">
        <f t="shared" si="14"/>
        <v>659.44146091315952</v>
      </c>
      <c r="U49" s="13">
        <f t="shared" si="14"/>
        <v>690.9648141844408</v>
      </c>
      <c r="V49" s="13">
        <f t="shared" si="14"/>
        <v>722.48818113845005</v>
      </c>
      <c r="W49" s="13">
        <f t="shared" si="14"/>
        <v>754.01156152872397</v>
      </c>
      <c r="X49" s="13">
        <f t="shared" si="14"/>
        <v>785.53495501393729</v>
      </c>
      <c r="Y49" s="13">
        <f t="shared" si="14"/>
        <v>817.05836116104069</v>
      </c>
      <c r="Z49" s="13">
        <f t="shared" si="14"/>
        <v>848.58177944903343</v>
      </c>
      <c r="AA49" s="13">
        <f t="shared" si="14"/>
        <v>880.10520927334505</v>
      </c>
      <c r="AB49" s="13">
        <f t="shared" si="14"/>
        <v>911.62864995078303</v>
      </c>
      <c r="AC49" s="13">
        <f t="shared" si="14"/>
        <v>943.15210072501247</v>
      </c>
      <c r="AD49" s="13">
        <f t="shared" si="14"/>
        <v>974.67556077252107</v>
      </c>
      <c r="AE49" s="13">
        <f t="shared" si="14"/>
        <v>1006.1990292090256</v>
      </c>
      <c r="AF49" s="13">
        <f t="shared" si="14"/>
        <v>1037.7225050962691</v>
      </c>
      <c r="AG49" s="13">
        <f t="shared" si="14"/>
        <v>1069.2459874491558</v>
      </c>
      <c r="AH49" s="13">
        <f t="shared" si="14"/>
        <v>1100.7694752431739</v>
      </c>
      <c r="AI49" s="13">
        <f t="shared" si="14"/>
        <v>1132.2929674220468</v>
      </c>
      <c r="AJ49" s="13">
        <f t="shared" si="14"/>
        <v>1163.8164629055595</v>
      </c>
      <c r="AK49" s="13">
        <f t="shared" si="14"/>
        <v>1195.3399605974978</v>
      </c>
      <c r="AL49" s="13">
        <f t="shared" si="14"/>
        <v>1226.863459393649</v>
      </c>
      <c r="AM49" s="13">
        <f t="shared" si="14"/>
        <v>1258.3869581897998</v>
      </c>
    </row>
    <row r="50" spans="1:39" outlineLevel="1" x14ac:dyDescent="0.25">
      <c r="A50" t="s">
        <v>189</v>
      </c>
      <c r="B50" s="13">
        <f t="shared" ref="B50:AM50" si="15">B45*B41/1000000</f>
        <v>27.266116320000005</v>
      </c>
      <c r="C50" s="13">
        <f t="shared" si="15"/>
        <v>36.606315850826675</v>
      </c>
      <c r="D50" s="13">
        <f t="shared" si="15"/>
        <v>45.946516118763533</v>
      </c>
      <c r="E50" s="13">
        <f t="shared" si="15"/>
        <v>55.28671748176302</v>
      </c>
      <c r="F50" s="13">
        <f t="shared" si="15"/>
        <v>64.626920287327408</v>
      </c>
      <c r="G50" s="13">
        <f t="shared" si="15"/>
        <v>73.96712487008476</v>
      </c>
      <c r="H50" s="13">
        <f t="shared" si="15"/>
        <v>83.30733154947481</v>
      </c>
      <c r="I50" s="13">
        <f t="shared" si="15"/>
        <v>92.647540627560772</v>
      </c>
      <c r="J50" s="13">
        <f t="shared" si="15"/>
        <v>101.98775238698191</v>
      </c>
      <c r="K50" s="13">
        <f t="shared" si="15"/>
        <v>111.32796708906042</v>
      </c>
      <c r="L50" s="13">
        <f t="shared" si="15"/>
        <v>120.66818497207537</v>
      </c>
      <c r="M50" s="13">
        <f t="shared" si="15"/>
        <v>130.00840624971468</v>
      </c>
      <c r="N50" s="13">
        <f t="shared" si="15"/>
        <v>139.34863110971506</v>
      </c>
      <c r="O50" s="13">
        <f t="shared" si="15"/>
        <v>148.68885971269856</v>
      </c>
      <c r="P50" s="13">
        <f t="shared" si="15"/>
        <v>158.02909219121233</v>
      </c>
      <c r="Q50" s="13">
        <f t="shared" si="15"/>
        <v>167.36932864897722</v>
      </c>
      <c r="R50" s="13">
        <f t="shared" si="15"/>
        <v>176.70956916034919</v>
      </c>
      <c r="S50" s="13">
        <f t="shared" si="15"/>
        <v>186.04981376999569</v>
      </c>
      <c r="T50" s="13">
        <f t="shared" si="15"/>
        <v>195.39006249278796</v>
      </c>
      <c r="U50" s="13">
        <f t="shared" si="15"/>
        <v>204.73031531390833</v>
      </c>
      <c r="V50" s="13">
        <f t="shared" si="15"/>
        <v>214.07057218917038</v>
      </c>
      <c r="W50" s="13">
        <f t="shared" si="15"/>
        <v>223.41083304554783</v>
      </c>
      <c r="X50" s="13">
        <f t="shared" si="15"/>
        <v>232.75109778190736</v>
      </c>
      <c r="Y50" s="13">
        <f t="shared" si="15"/>
        <v>242.09136626993796</v>
      </c>
      <c r="Z50" s="13">
        <f t="shared" si="15"/>
        <v>251.4316383552692</v>
      </c>
      <c r="AA50" s="13">
        <f t="shared" si="15"/>
        <v>260.77191385876898</v>
      </c>
      <c r="AB50" s="13">
        <f t="shared" si="15"/>
        <v>270.11219257800985</v>
      </c>
      <c r="AC50" s="13">
        <f t="shared" si="15"/>
        <v>279.45247428889263</v>
      </c>
      <c r="AD50" s="13">
        <f t="shared" si="15"/>
        <v>288.7927587474137</v>
      </c>
      <c r="AE50" s="13">
        <f t="shared" si="15"/>
        <v>298.13304569156321</v>
      </c>
      <c r="AF50" s="13">
        <f t="shared" si="15"/>
        <v>307.47333484333905</v>
      </c>
      <c r="AG50" s="13">
        <f t="shared" si="15"/>
        <v>316.81362591086099</v>
      </c>
      <c r="AH50" s="13">
        <f t="shared" si="15"/>
        <v>326.15391859057007</v>
      </c>
      <c r="AI50" s="13">
        <f t="shared" si="15"/>
        <v>335.4942125694954</v>
      </c>
      <c r="AJ50" s="13">
        <f t="shared" si="15"/>
        <v>344.83450752757324</v>
      </c>
      <c r="AK50" s="13">
        <f t="shared" si="15"/>
        <v>354.17480313999937</v>
      </c>
      <c r="AL50" s="13">
        <f t="shared" si="15"/>
        <v>363.51509907959974</v>
      </c>
      <c r="AM50" s="13">
        <f t="shared" si="15"/>
        <v>372.85539501920005</v>
      </c>
    </row>
    <row r="51" spans="1:39" outlineLevel="1" x14ac:dyDescent="0.25">
      <c r="A51" t="s">
        <v>187</v>
      </c>
      <c r="B51" s="111">
        <v>119.28925890000002</v>
      </c>
      <c r="C51" s="111">
        <v>160.15263184736671</v>
      </c>
      <c r="D51" s="111">
        <v>201.01600801959049</v>
      </c>
      <c r="E51" s="111">
        <v>241.87938898271324</v>
      </c>
      <c r="F51" s="111">
        <v>282.74277625705741</v>
      </c>
      <c r="G51" s="111">
        <v>323.60617130662092</v>
      </c>
      <c r="H51" s="111">
        <v>364.46957552895236</v>
      </c>
      <c r="I51" s="111">
        <v>405.33299024557851</v>
      </c>
      <c r="J51" s="111">
        <v>446.19641669304593</v>
      </c>
      <c r="K51" s="111">
        <v>487.05985601463948</v>
      </c>
      <c r="L51" s="111">
        <v>527.92330925282988</v>
      </c>
      <c r="M51" s="111">
        <v>568.78677734250186</v>
      </c>
      <c r="N51" s="111">
        <v>609.65026110500344</v>
      </c>
      <c r="O51" s="111">
        <v>650.51376124305625</v>
      </c>
      <c r="P51" s="111">
        <v>691.37727833655401</v>
      </c>
      <c r="Q51" s="111">
        <v>732.24081283927546</v>
      </c>
      <c r="R51" s="111">
        <v>773.10436507652787</v>
      </c>
      <c r="S51" s="111">
        <v>813.96793524373129</v>
      </c>
      <c r="T51" s="111">
        <v>854.83152340594745</v>
      </c>
      <c r="U51" s="111">
        <v>895.69512949834916</v>
      </c>
      <c r="V51" s="111">
        <v>936.55875332762048</v>
      </c>
      <c r="W51" s="111">
        <v>977.42239457427183</v>
      </c>
      <c r="X51" s="111">
        <v>1018.2860527958446</v>
      </c>
      <c r="Y51" s="111">
        <v>1059.1497274309786</v>
      </c>
      <c r="Z51" s="111">
        <v>1100.0134178043027</v>
      </c>
      <c r="AA51" s="111">
        <v>1140.8771231321141</v>
      </c>
      <c r="AB51" s="111">
        <v>1181.7408425287929</v>
      </c>
      <c r="AC51" s="111">
        <v>1222.6045750139051</v>
      </c>
      <c r="AD51" s="111">
        <v>1263.4683195199348</v>
      </c>
      <c r="AE51" s="111">
        <v>1304.3320749005889</v>
      </c>
      <c r="AF51" s="111">
        <v>1345.195839939608</v>
      </c>
      <c r="AG51" s="111">
        <v>1386.0596133600168</v>
      </c>
      <c r="AH51" s="111">
        <v>1426.9233938337441</v>
      </c>
      <c r="AI51" s="111">
        <v>1467.7871799915422</v>
      </c>
      <c r="AJ51" s="111">
        <v>1508.6509704331327</v>
      </c>
      <c r="AK51" s="111">
        <v>1549.5147637374971</v>
      </c>
      <c r="AL51" s="111">
        <v>1590.3785584732486</v>
      </c>
      <c r="AM51" s="111">
        <v>1631.2423532089999</v>
      </c>
    </row>
    <row r="52" spans="1:39" outlineLevel="1" x14ac:dyDescent="0.25"/>
    <row r="53" spans="1:39" outlineLevel="1" x14ac:dyDescent="0.25">
      <c r="A53" s="3" t="s">
        <v>21</v>
      </c>
      <c r="B53" s="47">
        <v>2013</v>
      </c>
      <c r="C53" s="47">
        <v>2014</v>
      </c>
      <c r="D53" s="47">
        <v>2015</v>
      </c>
      <c r="E53" s="47">
        <v>2016</v>
      </c>
      <c r="F53" s="47">
        <v>2017</v>
      </c>
      <c r="G53" s="47">
        <v>2018</v>
      </c>
      <c r="H53" s="47">
        <v>2019</v>
      </c>
      <c r="I53" s="47">
        <v>2020</v>
      </c>
      <c r="J53" s="47">
        <v>2021</v>
      </c>
      <c r="K53" s="47">
        <v>2022</v>
      </c>
      <c r="L53" s="47">
        <v>2023</v>
      </c>
      <c r="M53" s="47">
        <v>2024</v>
      </c>
      <c r="N53" s="47">
        <v>2025</v>
      </c>
      <c r="O53" s="47">
        <v>2026</v>
      </c>
      <c r="P53" s="47">
        <v>2027</v>
      </c>
      <c r="Q53" s="47">
        <v>2028</v>
      </c>
      <c r="R53" s="47">
        <v>2029</v>
      </c>
      <c r="S53" s="47">
        <v>2030</v>
      </c>
      <c r="T53" s="47">
        <v>2031</v>
      </c>
      <c r="U53" s="47">
        <v>2032</v>
      </c>
      <c r="V53" s="47">
        <v>2033</v>
      </c>
      <c r="W53" s="47">
        <v>2034</v>
      </c>
      <c r="X53" s="47">
        <v>2035</v>
      </c>
      <c r="Y53" s="47">
        <v>2036</v>
      </c>
      <c r="Z53" s="47">
        <v>2037</v>
      </c>
      <c r="AA53" s="47">
        <v>2038</v>
      </c>
      <c r="AB53" s="47">
        <v>2039</v>
      </c>
      <c r="AC53" s="47">
        <v>2040</v>
      </c>
      <c r="AD53" s="47">
        <v>2041</v>
      </c>
      <c r="AE53" s="47">
        <v>2042</v>
      </c>
      <c r="AF53" s="47">
        <v>2043</v>
      </c>
      <c r="AG53" s="47">
        <v>2044</v>
      </c>
      <c r="AH53" s="47">
        <v>2045</v>
      </c>
      <c r="AI53" s="47">
        <v>2046</v>
      </c>
      <c r="AJ53" s="47">
        <v>2047</v>
      </c>
      <c r="AK53" s="47">
        <v>2048</v>
      </c>
      <c r="AL53" s="47">
        <v>2049</v>
      </c>
      <c r="AM53" s="47">
        <v>2050</v>
      </c>
    </row>
    <row r="54" spans="1:39" outlineLevel="1" x14ac:dyDescent="0.25">
      <c r="A54" t="s">
        <v>171</v>
      </c>
      <c r="B54" s="60">
        <f>'Linéarisation mix'!B8*1000000</f>
        <v>2136367.0350000006</v>
      </c>
      <c r="C54" s="60">
        <f>'Linéarisation mix'!C8*1000000</f>
        <v>2180196.0340540595</v>
      </c>
      <c r="D54" s="60">
        <f>'Linéarisation mix'!D8*1000000</f>
        <v>2224025.033108118</v>
      </c>
      <c r="E54" s="60">
        <f>'Linéarisation mix'!E8*1000000</f>
        <v>2267854.0321621769</v>
      </c>
      <c r="F54" s="60">
        <f>'Linéarisation mix'!F8*1000000</f>
        <v>2311683.0312162349</v>
      </c>
      <c r="G54" s="60">
        <f>'Linéarisation mix'!G8*1000000</f>
        <v>2355512.0302702929</v>
      </c>
      <c r="H54" s="60">
        <f>'Linéarisation mix'!H8*1000000</f>
        <v>2399341.0293243509</v>
      </c>
      <c r="I54" s="60">
        <f>'Linéarisation mix'!I8*1000000</f>
        <v>2443170.0283784079</v>
      </c>
      <c r="J54" s="60">
        <f>'Linéarisation mix'!J8*1000000</f>
        <v>2486999.027432465</v>
      </c>
      <c r="K54" s="60">
        <f>'Linéarisation mix'!K8*1000000</f>
        <v>2530828.0264865221</v>
      </c>
      <c r="L54" s="60">
        <f>'Linéarisation mix'!L8*1000000</f>
        <v>2574657.0255405782</v>
      </c>
      <c r="M54" s="60">
        <f>'Linéarisation mix'!M8*1000000</f>
        <v>2618486.0245946348</v>
      </c>
      <c r="N54" s="60">
        <f>'Linéarisation mix'!N8*1000000</f>
        <v>2662315.0236486904</v>
      </c>
      <c r="O54" s="60">
        <f>'Linéarisation mix'!O8*1000000</f>
        <v>2706144.0227027466</v>
      </c>
      <c r="P54" s="60">
        <f>'Linéarisation mix'!P8*1000000</f>
        <v>2749973.0217568018</v>
      </c>
      <c r="Q54" s="60">
        <f>'Linéarisation mix'!Q8*1000000</f>
        <v>2793802.0208108574</v>
      </c>
      <c r="R54" s="60">
        <f>'Linéarisation mix'!R8*1000000</f>
        <v>2837631.0198649126</v>
      </c>
      <c r="S54" s="60">
        <f>'Linéarisation mix'!S8*1000000</f>
        <v>2881460.0189189669</v>
      </c>
      <c r="T54" s="60">
        <f>'Linéarisation mix'!T8*1000000</f>
        <v>2925289.0179730216</v>
      </c>
      <c r="U54" s="60">
        <f>'Linéarisation mix'!U8*1000000</f>
        <v>2969118.0170270759</v>
      </c>
      <c r="V54" s="60">
        <f>'Linéarisation mix'!V8*1000000</f>
        <v>3012947.0160811292</v>
      </c>
      <c r="W54" s="60">
        <f>'Linéarisation mix'!W8*1000000</f>
        <v>3056776.015135183</v>
      </c>
      <c r="X54" s="60">
        <f>'Linéarisation mix'!X8*1000000</f>
        <v>3100605.0141892363</v>
      </c>
      <c r="Y54" s="60">
        <f>'Linéarisation mix'!Y8*1000000</f>
        <v>3144434.0132432892</v>
      </c>
      <c r="Z54" s="60">
        <f>'Linéarisation mix'!Z8*1000000</f>
        <v>3188263.0122973421</v>
      </c>
      <c r="AA54" s="60">
        <f>'Linéarisation mix'!AA8*1000000</f>
        <v>3232092.011351394</v>
      </c>
      <c r="AB54" s="60">
        <f>'Linéarisation mix'!AB8*1000000</f>
        <v>3275921.0104054459</v>
      </c>
      <c r="AC54" s="60">
        <f>'Linéarisation mix'!AC8*1000000</f>
        <v>3319750.0094594979</v>
      </c>
      <c r="AD54" s="60">
        <f>'Linéarisation mix'!AD8*1000000</f>
        <v>3363579.0085135493</v>
      </c>
      <c r="AE54" s="60">
        <f>'Linéarisation mix'!AE8*1000000</f>
        <v>3407408.0075676003</v>
      </c>
      <c r="AF54" s="60">
        <f>'Linéarisation mix'!AF8*1000000</f>
        <v>3451237.0066216514</v>
      </c>
      <c r="AG54" s="60">
        <f>'Linéarisation mix'!AG8*1000000</f>
        <v>3495066.0056757024</v>
      </c>
      <c r="AH54" s="60">
        <f>'Linéarisation mix'!AH8*1000000</f>
        <v>3538895.0047297524</v>
      </c>
      <c r="AI54" s="60">
        <f>'Linéarisation mix'!AI8*1000000</f>
        <v>3582724.0037838025</v>
      </c>
      <c r="AJ54" s="60">
        <f>'Linéarisation mix'!AJ8*1000000</f>
        <v>3626553.0028378521</v>
      </c>
      <c r="AK54" s="60">
        <f>'Linéarisation mix'!AK8*1000000</f>
        <v>3670382.0018919013</v>
      </c>
      <c r="AL54" s="60">
        <f>'Linéarisation mix'!AL8*1000000</f>
        <v>3714211.0009459504</v>
      </c>
      <c r="AM54" s="60">
        <f>'Linéarisation mix'!AM8*1000000</f>
        <v>3758040</v>
      </c>
    </row>
    <row r="55" spans="1:39" outlineLevel="1" x14ac:dyDescent="0.25">
      <c r="A55" t="s">
        <v>185</v>
      </c>
      <c r="B55" s="60">
        <f>LCOE!B4</f>
        <v>60</v>
      </c>
      <c r="C55" s="60">
        <f>LCOE!C4</f>
        <v>60</v>
      </c>
      <c r="D55" s="60">
        <f>LCOE!D4</f>
        <v>60</v>
      </c>
      <c r="E55" s="60">
        <f>LCOE!E4</f>
        <v>60</v>
      </c>
      <c r="F55" s="60">
        <f>LCOE!F4</f>
        <v>60</v>
      </c>
      <c r="G55" s="60">
        <f>LCOE!G4</f>
        <v>60</v>
      </c>
      <c r="H55" s="60">
        <f>LCOE!H4</f>
        <v>60</v>
      </c>
      <c r="I55" s="60">
        <f>LCOE!I4</f>
        <v>60</v>
      </c>
      <c r="J55" s="60">
        <f>LCOE!J4</f>
        <v>60</v>
      </c>
      <c r="K55" s="60">
        <f>LCOE!K4</f>
        <v>60</v>
      </c>
      <c r="L55" s="60">
        <f>LCOE!L4</f>
        <v>60</v>
      </c>
      <c r="M55" s="60">
        <f>LCOE!M4</f>
        <v>60</v>
      </c>
      <c r="N55" s="60">
        <f>LCOE!N4</f>
        <v>60</v>
      </c>
      <c r="O55" s="60">
        <f>LCOE!O4</f>
        <v>60</v>
      </c>
      <c r="P55" s="60">
        <f>LCOE!P4</f>
        <v>60</v>
      </c>
      <c r="Q55" s="60">
        <f>LCOE!Q4</f>
        <v>60</v>
      </c>
      <c r="R55" s="60">
        <f>LCOE!R4</f>
        <v>60</v>
      </c>
      <c r="S55" s="60">
        <f>LCOE!S4</f>
        <v>60</v>
      </c>
      <c r="T55" s="60">
        <f>LCOE!T4</f>
        <v>60</v>
      </c>
      <c r="U55" s="60">
        <f>LCOE!U4</f>
        <v>60</v>
      </c>
      <c r="V55" s="60">
        <f>LCOE!V4</f>
        <v>60</v>
      </c>
      <c r="W55" s="60">
        <f>LCOE!W4</f>
        <v>60</v>
      </c>
      <c r="X55" s="60">
        <f>LCOE!X4</f>
        <v>60</v>
      </c>
      <c r="Y55" s="60">
        <f>LCOE!Y4</f>
        <v>60</v>
      </c>
      <c r="Z55" s="60">
        <f>LCOE!Z4</f>
        <v>60</v>
      </c>
      <c r="AA55" s="60">
        <f>LCOE!AA4</f>
        <v>60</v>
      </c>
      <c r="AB55" s="60">
        <f>LCOE!AB4</f>
        <v>60</v>
      </c>
      <c r="AC55" s="60">
        <f>LCOE!AC4</f>
        <v>60</v>
      </c>
      <c r="AD55" s="60">
        <f>LCOE!AD4</f>
        <v>60</v>
      </c>
      <c r="AE55" s="60">
        <f>LCOE!AE4</f>
        <v>60</v>
      </c>
      <c r="AF55" s="60">
        <f>LCOE!AF4</f>
        <v>60</v>
      </c>
      <c r="AG55" s="60">
        <f>LCOE!AG4</f>
        <v>60</v>
      </c>
      <c r="AH55" s="60">
        <f>LCOE!AH4</f>
        <v>60</v>
      </c>
      <c r="AI55" s="60">
        <f>LCOE!AI4</f>
        <v>60</v>
      </c>
      <c r="AJ55" s="60">
        <f>LCOE!AJ4</f>
        <v>60</v>
      </c>
      <c r="AK55" s="60">
        <f>LCOE!AK4</f>
        <v>60</v>
      </c>
      <c r="AL55" s="60">
        <f>LCOE!AL4</f>
        <v>60</v>
      </c>
      <c r="AM55" s="60">
        <f>LCOE!AM4</f>
        <v>60</v>
      </c>
    </row>
    <row r="56" spans="1:39" outlineLevel="1" x14ac:dyDescent="0.25">
      <c r="A56" t="s">
        <v>127</v>
      </c>
      <c r="B56" s="48">
        <v>0</v>
      </c>
      <c r="C56" s="64">
        <f t="shared" ref="C56:AM56" si="16">B56+C54-B54</f>
        <v>43828.999054058921</v>
      </c>
      <c r="D56" s="64">
        <f t="shared" si="16"/>
        <v>87657.998108117376</v>
      </c>
      <c r="E56" s="64">
        <f t="shared" si="16"/>
        <v>131486.9971621763</v>
      </c>
      <c r="F56" s="64">
        <f t="shared" si="16"/>
        <v>175315.99621623429</v>
      </c>
      <c r="G56" s="64">
        <f t="shared" si="16"/>
        <v>219144.99527029227</v>
      </c>
      <c r="H56" s="64">
        <f t="shared" si="16"/>
        <v>262973.99432435026</v>
      </c>
      <c r="I56" s="64">
        <f t="shared" si="16"/>
        <v>306802.99337840732</v>
      </c>
      <c r="J56" s="64">
        <f t="shared" si="16"/>
        <v>350631.99243246438</v>
      </c>
      <c r="K56" s="64">
        <f t="shared" si="16"/>
        <v>394460.99148652144</v>
      </c>
      <c r="L56" s="64">
        <f t="shared" si="16"/>
        <v>438289.99054057756</v>
      </c>
      <c r="M56" s="64">
        <f t="shared" si="16"/>
        <v>482118.98959463416</v>
      </c>
      <c r="N56" s="64">
        <f t="shared" si="16"/>
        <v>525947.98864868982</v>
      </c>
      <c r="O56" s="64">
        <f t="shared" si="16"/>
        <v>569776.98770274594</v>
      </c>
      <c r="P56" s="64">
        <f t="shared" si="16"/>
        <v>613605.98675680114</v>
      </c>
      <c r="Q56" s="64">
        <f t="shared" si="16"/>
        <v>657434.9858108568</v>
      </c>
      <c r="R56" s="64">
        <f t="shared" si="16"/>
        <v>701263.984864912</v>
      </c>
      <c r="S56" s="64">
        <f t="shared" si="16"/>
        <v>745092.98391896626</v>
      </c>
      <c r="T56" s="64">
        <f t="shared" si="16"/>
        <v>788921.98297302099</v>
      </c>
      <c r="U56" s="64">
        <f t="shared" si="16"/>
        <v>832750.98202707525</v>
      </c>
      <c r="V56" s="64">
        <f t="shared" si="16"/>
        <v>876579.98108112859</v>
      </c>
      <c r="W56" s="64">
        <f t="shared" si="16"/>
        <v>920408.98013518238</v>
      </c>
      <c r="X56" s="64">
        <f t="shared" si="16"/>
        <v>964237.97918923572</v>
      </c>
      <c r="Y56" s="64">
        <f t="shared" si="16"/>
        <v>1008066.9782432886</v>
      </c>
      <c r="Z56" s="64">
        <f t="shared" si="16"/>
        <v>1051895.9772973419</v>
      </c>
      <c r="AA56" s="64">
        <f t="shared" si="16"/>
        <v>1095724.9763513939</v>
      </c>
      <c r="AB56" s="64">
        <f t="shared" si="16"/>
        <v>1139553.9754054458</v>
      </c>
      <c r="AC56" s="64">
        <f t="shared" si="16"/>
        <v>1183382.9744594977</v>
      </c>
      <c r="AD56" s="64">
        <f t="shared" si="16"/>
        <v>1227211.9735135487</v>
      </c>
      <c r="AE56" s="64">
        <f t="shared" si="16"/>
        <v>1271040.9725675993</v>
      </c>
      <c r="AF56" s="64">
        <f t="shared" si="16"/>
        <v>1314869.9716216503</v>
      </c>
      <c r="AG56" s="64">
        <f t="shared" si="16"/>
        <v>1358698.9706757013</v>
      </c>
      <c r="AH56" s="64">
        <f t="shared" si="16"/>
        <v>1402527.9697297513</v>
      </c>
      <c r="AI56" s="64">
        <f t="shared" si="16"/>
        <v>1446356.9687838014</v>
      </c>
      <c r="AJ56" s="64">
        <f t="shared" si="16"/>
        <v>1490185.9678378506</v>
      </c>
      <c r="AK56" s="64">
        <f t="shared" si="16"/>
        <v>1534014.9668918992</v>
      </c>
      <c r="AL56" s="64">
        <f t="shared" si="16"/>
        <v>1577843.9659459484</v>
      </c>
      <c r="AM56" s="64">
        <f t="shared" si="16"/>
        <v>1621672.9649999975</v>
      </c>
    </row>
    <row r="57" spans="1:39" outlineLevel="1" x14ac:dyDescent="0.25">
      <c r="A57" t="s">
        <v>188</v>
      </c>
      <c r="B57" s="48"/>
      <c r="C57" s="42"/>
      <c r="D57" s="42"/>
      <c r="E57" s="42"/>
      <c r="F57" s="42"/>
      <c r="G57" s="42"/>
      <c r="H57" s="42"/>
      <c r="I57" s="42"/>
      <c r="J57" s="42"/>
      <c r="K57" s="42"/>
      <c r="L57" s="42"/>
      <c r="M57" s="49"/>
      <c r="N57" s="42"/>
      <c r="O57" s="42"/>
      <c r="P57" s="42"/>
      <c r="Q57" s="42"/>
      <c r="R57" s="42"/>
      <c r="S57" s="43"/>
      <c r="T57" s="42"/>
      <c r="U57" s="42"/>
      <c r="V57" s="42"/>
      <c r="W57" s="42"/>
      <c r="X57" s="42"/>
      <c r="Y57" s="42"/>
      <c r="Z57" s="42"/>
      <c r="AA57" s="42"/>
      <c r="AB57" s="42"/>
      <c r="AC57" s="42"/>
      <c r="AD57" s="42"/>
      <c r="AE57" s="49"/>
      <c r="AF57" s="49"/>
      <c r="AG57" s="49"/>
      <c r="AH57" s="49"/>
      <c r="AI57" s="49"/>
      <c r="AJ57" s="49"/>
      <c r="AK57" s="49"/>
      <c r="AL57" s="42"/>
      <c r="AM57" s="104">
        <f>AM59/AM61</f>
        <v>0.18645357686453554</v>
      </c>
    </row>
    <row r="58" spans="1:39" outlineLevel="1" x14ac:dyDescent="0.25">
      <c r="A58" t="s">
        <v>206</v>
      </c>
      <c r="B58" s="58">
        <v>25</v>
      </c>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row>
    <row r="59" spans="1:39" outlineLevel="1" x14ac:dyDescent="0.25">
      <c r="A59" t="s">
        <v>107</v>
      </c>
      <c r="B59" s="13">
        <f t="shared" ref="B59:AK59" si="17">$AM$57*B61</f>
        <v>23.899996510273951</v>
      </c>
      <c r="C59" s="13">
        <f t="shared" si="17"/>
        <v>24.390320928915244</v>
      </c>
      <c r="D59" s="13">
        <f t="shared" si="17"/>
        <v>24.880645347556541</v>
      </c>
      <c r="E59" s="13">
        <f t="shared" si="17"/>
        <v>25.370969766197835</v>
      </c>
      <c r="F59" s="13">
        <f t="shared" si="17"/>
        <v>25.861294184839124</v>
      </c>
      <c r="G59" s="13">
        <f t="shared" si="17"/>
        <v>26.351618603480414</v>
      </c>
      <c r="H59" s="13">
        <f t="shared" si="17"/>
        <v>26.841943022121704</v>
      </c>
      <c r="I59" s="13">
        <f t="shared" si="17"/>
        <v>27.332267440762983</v>
      </c>
      <c r="J59" s="13">
        <f t="shared" si="17"/>
        <v>27.822591859404266</v>
      </c>
      <c r="K59" s="13">
        <f t="shared" si="17"/>
        <v>28.312916278045545</v>
      </c>
      <c r="L59" s="13">
        <f t="shared" si="17"/>
        <v>28.803240696686814</v>
      </c>
      <c r="M59" s="13">
        <f t="shared" si="17"/>
        <v>29.293565115328086</v>
      </c>
      <c r="N59" s="13">
        <f t="shared" si="17"/>
        <v>29.783889533969351</v>
      </c>
      <c r="O59" s="13">
        <f t="shared" si="17"/>
        <v>30.274213952610619</v>
      </c>
      <c r="P59" s="13">
        <f t="shared" si="17"/>
        <v>30.764538371251877</v>
      </c>
      <c r="Q59" s="13">
        <f t="shared" si="17"/>
        <v>31.254862789893139</v>
      </c>
      <c r="R59" s="13">
        <f t="shared" si="17"/>
        <v>31.7451872085344</v>
      </c>
      <c r="S59" s="13">
        <f t="shared" si="17"/>
        <v>32.235511627175647</v>
      </c>
      <c r="T59" s="13">
        <f t="shared" si="17"/>
        <v>32.725836045816898</v>
      </c>
      <c r="U59" s="13">
        <f t="shared" si="17"/>
        <v>33.216160464458149</v>
      </c>
      <c r="V59" s="13">
        <f t="shared" si="17"/>
        <v>33.706484883099385</v>
      </c>
      <c r="W59" s="13">
        <f t="shared" si="17"/>
        <v>34.196809301740622</v>
      </c>
      <c r="X59" s="13">
        <f t="shared" si="17"/>
        <v>34.687133720381865</v>
      </c>
      <c r="Y59" s="13">
        <f t="shared" si="17"/>
        <v>35.177458139023095</v>
      </c>
      <c r="Z59" s="13">
        <f t="shared" si="17"/>
        <v>35.667782557664324</v>
      </c>
      <c r="AA59" s="13">
        <f t="shared" si="17"/>
        <v>36.158106976305547</v>
      </c>
      <c r="AB59" s="13">
        <f t="shared" si="17"/>
        <v>36.648431394946769</v>
      </c>
      <c r="AC59" s="13">
        <f t="shared" si="17"/>
        <v>37.138755813587991</v>
      </c>
      <c r="AD59" s="13">
        <f t="shared" si="17"/>
        <v>37.629080232229207</v>
      </c>
      <c r="AE59" s="13">
        <f t="shared" si="17"/>
        <v>38.119404650870415</v>
      </c>
      <c r="AF59" s="13">
        <f t="shared" si="17"/>
        <v>38.609729069511623</v>
      </c>
      <c r="AG59" s="13">
        <f t="shared" si="17"/>
        <v>39.100053488152838</v>
      </c>
      <c r="AH59" s="13">
        <f t="shared" si="17"/>
        <v>39.590377906794032</v>
      </c>
      <c r="AI59" s="13">
        <f t="shared" si="17"/>
        <v>40.080702325435233</v>
      </c>
      <c r="AJ59" s="13">
        <f t="shared" si="17"/>
        <v>40.571026744076427</v>
      </c>
      <c r="AK59" s="13">
        <f t="shared" si="17"/>
        <v>41.061351162717621</v>
      </c>
      <c r="AL59" s="13">
        <f>$AM$57*AL61</f>
        <v>41.551675581358808</v>
      </c>
      <c r="AM59" s="13">
        <f>LCOE!AS4*1000*'Capacités installées'!B4/1000000</f>
        <v>42.042000000000002</v>
      </c>
    </row>
    <row r="60" spans="1:39" outlineLevel="1" x14ac:dyDescent="0.25">
      <c r="A60" t="s">
        <v>111</v>
      </c>
      <c r="B60" s="41">
        <f>B61-B59</f>
        <v>104.28202558972609</v>
      </c>
      <c r="C60" s="41">
        <f t="shared" ref="C60:AM60" si="18">C61-C59</f>
        <v>106.42144111432832</v>
      </c>
      <c r="D60" s="41">
        <f t="shared" si="18"/>
        <v>108.56085663893055</v>
      </c>
      <c r="E60" s="41">
        <f t="shared" si="18"/>
        <v>110.70027216353277</v>
      </c>
      <c r="F60" s="41">
        <f t="shared" si="18"/>
        <v>112.83968768813497</v>
      </c>
      <c r="G60" s="41">
        <f t="shared" si="18"/>
        <v>114.97910321273717</v>
      </c>
      <c r="H60" s="41">
        <f t="shared" si="18"/>
        <v>117.11851873733937</v>
      </c>
      <c r="I60" s="41">
        <f t="shared" si="18"/>
        <v>119.25793426194153</v>
      </c>
      <c r="J60" s="41">
        <f t="shared" si="18"/>
        <v>121.39734978654369</v>
      </c>
      <c r="K60" s="41">
        <f t="shared" si="18"/>
        <v>123.53676531114584</v>
      </c>
      <c r="L60" s="41">
        <f t="shared" si="18"/>
        <v>125.67618083574796</v>
      </c>
      <c r="M60" s="41">
        <f t="shared" si="18"/>
        <v>127.8155963603501</v>
      </c>
      <c r="N60" s="41">
        <f t="shared" si="18"/>
        <v>129.95501188495217</v>
      </c>
      <c r="O60" s="41">
        <f t="shared" si="18"/>
        <v>132.0944274095543</v>
      </c>
      <c r="P60" s="41">
        <f t="shared" si="18"/>
        <v>134.23384293415634</v>
      </c>
      <c r="Q60" s="41">
        <f t="shared" si="18"/>
        <v>136.37325845875844</v>
      </c>
      <c r="R60" s="41">
        <f t="shared" si="18"/>
        <v>138.51267398336051</v>
      </c>
      <c r="S60" s="41">
        <f t="shared" si="18"/>
        <v>140.65208950796253</v>
      </c>
      <c r="T60" s="41">
        <f t="shared" si="18"/>
        <v>142.79150503256457</v>
      </c>
      <c r="U60" s="41">
        <f t="shared" si="18"/>
        <v>144.93092055716659</v>
      </c>
      <c r="V60" s="41">
        <f t="shared" si="18"/>
        <v>147.07033608176855</v>
      </c>
      <c r="W60" s="41">
        <f t="shared" si="18"/>
        <v>149.20975160637056</v>
      </c>
      <c r="X60" s="41">
        <f t="shared" si="18"/>
        <v>151.34916713097252</v>
      </c>
      <c r="Y60" s="41">
        <f t="shared" si="18"/>
        <v>153.48858265557448</v>
      </c>
      <c r="Z60" s="41">
        <f t="shared" si="18"/>
        <v>155.62799818017641</v>
      </c>
      <c r="AA60" s="41">
        <f t="shared" si="18"/>
        <v>157.76741370477833</v>
      </c>
      <c r="AB60" s="41">
        <f t="shared" si="18"/>
        <v>159.90682922938021</v>
      </c>
      <c r="AC60" s="41">
        <f t="shared" si="18"/>
        <v>162.04624475398214</v>
      </c>
      <c r="AD60" s="41">
        <f t="shared" si="18"/>
        <v>164.18566027858401</v>
      </c>
      <c r="AE60" s="41">
        <f t="shared" si="18"/>
        <v>166.32507580318585</v>
      </c>
      <c r="AF60" s="41">
        <f t="shared" si="18"/>
        <v>168.46449132778773</v>
      </c>
      <c r="AG60" s="41">
        <f t="shared" si="18"/>
        <v>170.60390685238957</v>
      </c>
      <c r="AH60" s="41">
        <f t="shared" si="18"/>
        <v>172.74332237699139</v>
      </c>
      <c r="AI60" s="41">
        <f t="shared" si="18"/>
        <v>174.8827379015932</v>
      </c>
      <c r="AJ60" s="41">
        <f t="shared" si="18"/>
        <v>177.02215342619499</v>
      </c>
      <c r="AK60" s="41">
        <f t="shared" si="18"/>
        <v>179.16156895079675</v>
      </c>
      <c r="AL60" s="41">
        <f t="shared" si="18"/>
        <v>181.30098447539851</v>
      </c>
      <c r="AM60" s="41">
        <f t="shared" si="18"/>
        <v>183.4404000000003</v>
      </c>
    </row>
    <row r="61" spans="1:39" outlineLevel="1" x14ac:dyDescent="0.25">
      <c r="A61" t="s">
        <v>186</v>
      </c>
      <c r="B61" s="111">
        <v>128.18202210000004</v>
      </c>
      <c r="C61" s="111">
        <v>130.81176204324356</v>
      </c>
      <c r="D61" s="111">
        <v>133.44150198648708</v>
      </c>
      <c r="E61" s="111">
        <v>136.0712419297306</v>
      </c>
      <c r="F61" s="111">
        <v>138.7009818729741</v>
      </c>
      <c r="G61" s="111">
        <v>141.33072181621759</v>
      </c>
      <c r="H61" s="111">
        <v>143.96046175946108</v>
      </c>
      <c r="I61" s="111">
        <v>146.59020170270452</v>
      </c>
      <c r="J61" s="111">
        <v>149.21994164594796</v>
      </c>
      <c r="K61" s="111">
        <v>151.84968158919139</v>
      </c>
      <c r="L61" s="111">
        <v>154.47942153243477</v>
      </c>
      <c r="M61" s="111">
        <v>157.10916147567818</v>
      </c>
      <c r="N61" s="111">
        <v>159.73890141892153</v>
      </c>
      <c r="O61" s="111">
        <v>162.36864136216491</v>
      </c>
      <c r="P61" s="111">
        <v>164.99838130540823</v>
      </c>
      <c r="Q61" s="111">
        <v>167.62812124865158</v>
      </c>
      <c r="R61" s="111">
        <v>170.2578611918949</v>
      </c>
      <c r="S61" s="111">
        <v>172.88760113513817</v>
      </c>
      <c r="T61" s="111">
        <v>175.51734107838146</v>
      </c>
      <c r="U61" s="111">
        <v>178.14708102162473</v>
      </c>
      <c r="V61" s="111">
        <v>180.77682096486794</v>
      </c>
      <c r="W61" s="111">
        <v>183.40656090811117</v>
      </c>
      <c r="X61" s="111">
        <v>186.03630085135438</v>
      </c>
      <c r="Y61" s="111">
        <v>188.66604079459756</v>
      </c>
      <c r="Z61" s="111">
        <v>191.29578073784074</v>
      </c>
      <c r="AA61" s="111">
        <v>193.92552068108387</v>
      </c>
      <c r="AB61" s="111">
        <v>196.55526062432699</v>
      </c>
      <c r="AC61" s="111">
        <v>199.18500056757011</v>
      </c>
      <c r="AD61" s="111">
        <v>201.81474051081321</v>
      </c>
      <c r="AE61" s="111">
        <v>204.44448045405628</v>
      </c>
      <c r="AF61" s="111">
        <v>207.07422039729934</v>
      </c>
      <c r="AG61" s="111">
        <v>209.70396034054241</v>
      </c>
      <c r="AH61" s="111">
        <v>212.33370028378542</v>
      </c>
      <c r="AI61" s="111">
        <v>214.96344022702843</v>
      </c>
      <c r="AJ61" s="111">
        <v>217.59318017027141</v>
      </c>
      <c r="AK61" s="111">
        <v>220.22292011351436</v>
      </c>
      <c r="AL61" s="111">
        <v>222.85266005675732</v>
      </c>
      <c r="AM61" s="111">
        <v>225.4824000000003</v>
      </c>
    </row>
    <row r="62" spans="1:39" outlineLevel="1" x14ac:dyDescent="0.25"/>
    <row r="63" spans="1:39" outlineLevel="1" x14ac:dyDescent="0.25"/>
    <row r="64" spans="1:39" outlineLevel="1" x14ac:dyDescent="0.25">
      <c r="A64" s="3" t="s">
        <v>22</v>
      </c>
      <c r="B64" s="47">
        <v>2013</v>
      </c>
      <c r="C64" s="47">
        <v>2014</v>
      </c>
      <c r="D64" s="47">
        <v>2015</v>
      </c>
      <c r="E64" s="47">
        <v>2016</v>
      </c>
      <c r="F64" s="47">
        <v>2017</v>
      </c>
      <c r="G64" s="47">
        <v>2018</v>
      </c>
      <c r="H64" s="47">
        <v>2019</v>
      </c>
      <c r="I64" s="47">
        <v>2020</v>
      </c>
      <c r="J64" s="47">
        <v>2021</v>
      </c>
      <c r="K64" s="47">
        <v>2022</v>
      </c>
      <c r="L64" s="47">
        <v>2023</v>
      </c>
      <c r="M64" s="47">
        <v>2024</v>
      </c>
      <c r="N64" s="47">
        <v>2025</v>
      </c>
      <c r="O64" s="47">
        <v>2026</v>
      </c>
      <c r="P64" s="47">
        <v>2027</v>
      </c>
      <c r="Q64" s="47">
        <v>2028</v>
      </c>
      <c r="R64" s="47">
        <v>2029</v>
      </c>
      <c r="S64" s="47">
        <v>2030</v>
      </c>
      <c r="T64" s="47">
        <v>2031</v>
      </c>
      <c r="U64" s="47">
        <v>2032</v>
      </c>
      <c r="V64" s="47">
        <v>2033</v>
      </c>
      <c r="W64" s="47">
        <v>2034</v>
      </c>
      <c r="X64" s="47">
        <v>2035</v>
      </c>
      <c r="Y64" s="47">
        <v>2036</v>
      </c>
      <c r="Z64" s="47">
        <v>2037</v>
      </c>
      <c r="AA64" s="47">
        <v>2038</v>
      </c>
      <c r="AB64" s="47">
        <v>2039</v>
      </c>
      <c r="AC64" s="47">
        <v>2040</v>
      </c>
      <c r="AD64" s="47">
        <v>2041</v>
      </c>
      <c r="AE64" s="47">
        <v>2042</v>
      </c>
      <c r="AF64" s="47">
        <v>2043</v>
      </c>
      <c r="AG64" s="47">
        <v>2044</v>
      </c>
      <c r="AH64" s="47">
        <v>2045</v>
      </c>
      <c r="AI64" s="47">
        <v>2046</v>
      </c>
      <c r="AJ64" s="47">
        <v>2047</v>
      </c>
      <c r="AK64" s="47">
        <v>2048</v>
      </c>
      <c r="AL64" s="47">
        <v>2049</v>
      </c>
      <c r="AM64" s="47">
        <v>2050</v>
      </c>
    </row>
    <row r="65" spans="1:39" outlineLevel="1" x14ac:dyDescent="0.25">
      <c r="A65" t="s">
        <v>171</v>
      </c>
      <c r="B65" s="60">
        <f>'Linéarisation mix'!B7*1000000</f>
        <v>1500000</v>
      </c>
      <c r="C65" s="60">
        <f>'Linéarisation mix'!C7*1000000</f>
        <v>1676480.8556027412</v>
      </c>
      <c r="D65" s="60">
        <f>'Linéarisation mix'!D7*1000000</f>
        <v>1852961.7112047824</v>
      </c>
      <c r="E65" s="60">
        <f>'Linéarisation mix'!E7*1000000</f>
        <v>2029442.5668057832</v>
      </c>
      <c r="F65" s="60">
        <f>'Linéarisation mix'!F7*1000000</f>
        <v>2205923.4224054134</v>
      </c>
      <c r="G65" s="60">
        <f>'Linéarisation mix'!G7*1000000</f>
        <v>2382404.2780033546</v>
      </c>
      <c r="H65" s="60">
        <f>'Linéarisation mix'!H7*1000000</f>
        <v>2558885.1335993046</v>
      </c>
      <c r="I65" s="60">
        <f>'Linéarisation mix'!I7*1000000</f>
        <v>2735365.9891929752</v>
      </c>
      <c r="J65" s="60">
        <f>'Linéarisation mix'!J7*1000000</f>
        <v>2911846.8447840991</v>
      </c>
      <c r="K65" s="60">
        <f>'Linéarisation mix'!K7*1000000</f>
        <v>3088327.7003724277</v>
      </c>
      <c r="L65" s="60">
        <f>'Linéarisation mix'!L7*1000000</f>
        <v>3264808.5559577341</v>
      </c>
      <c r="M65" s="60">
        <f>'Linéarisation mix'!M7*1000000</f>
        <v>3441289.4115398149</v>
      </c>
      <c r="N65" s="60">
        <f>'Linéarisation mix'!N7*1000000</f>
        <v>3617770.2671184926</v>
      </c>
      <c r="O65" s="60">
        <f>'Linéarisation mix'!O7*1000000</f>
        <v>3794251.122693615</v>
      </c>
      <c r="P65" s="60">
        <f>'Linéarisation mix'!P7*1000000</f>
        <v>3970731.9782650555</v>
      </c>
      <c r="Q65" s="60">
        <f>'Linéarisation mix'!Q7*1000000</f>
        <v>4147212.8338327156</v>
      </c>
      <c r="R65" s="60">
        <f>'Linéarisation mix'!R7*1000000</f>
        <v>4323693.6893965239</v>
      </c>
      <c r="S65" s="60">
        <f>'Linéarisation mix'!S7*1000000</f>
        <v>4500174.5449564392</v>
      </c>
      <c r="T65" s="60">
        <f>'Linéarisation mix'!T7*1000000</f>
        <v>4676655.4005124466</v>
      </c>
      <c r="U65" s="60">
        <f>'Linéarisation mix'!U7*1000000</f>
        <v>4853136.2560645612</v>
      </c>
      <c r="V65" s="60">
        <f>'Linéarisation mix'!V7*1000000</f>
        <v>5029617.1116128238</v>
      </c>
      <c r="W65" s="60">
        <f>'Linéarisation mix'!W7*1000000</f>
        <v>5206097.9671573052</v>
      </c>
      <c r="X65" s="60">
        <f>'Linéarisation mix'!X7*1000000</f>
        <v>5382578.8226981005</v>
      </c>
      <c r="Y65" s="60">
        <f>'Linéarisation mix'!Y7*1000000</f>
        <v>5559059.6782353316</v>
      </c>
      <c r="Z65" s="60">
        <f>'Linéarisation mix'!Z7*1000000</f>
        <v>5735540.5337691447</v>
      </c>
      <c r="AA65" s="60">
        <f>'Linéarisation mix'!AA7*1000000</f>
        <v>5912021.3892997112</v>
      </c>
      <c r="AB65" s="60">
        <f>'Linéarisation mix'!AB7*1000000</f>
        <v>6088502.2448272221</v>
      </c>
      <c r="AC65" s="60">
        <f>'Linéarisation mix'!AC7*1000000</f>
        <v>6264983.1003518915</v>
      </c>
      <c r="AD65" s="60">
        <f>'Linéarisation mix'!AD7*1000000</f>
        <v>6441463.9558739495</v>
      </c>
      <c r="AE65" s="60">
        <f>'Linéarisation mix'!AE7*1000000</f>
        <v>6617944.8113936465</v>
      </c>
      <c r="AF65" s="60">
        <f>'Linéarisation mix'!AF7*1000000</f>
        <v>6794425.6669112463</v>
      </c>
      <c r="AG65" s="60">
        <f>'Linéarisation mix'!AG7*1000000</f>
        <v>6970906.5224270271</v>
      </c>
      <c r="AH65" s="60">
        <f>'Linéarisation mix'!AH7*1000000</f>
        <v>7147387.3779412759</v>
      </c>
      <c r="AI65" s="60">
        <f>'Linéarisation mix'!AI7*1000000</f>
        <v>7323868.2334542898</v>
      </c>
      <c r="AJ65" s="60">
        <f>'Linéarisation mix'!AJ7*1000000</f>
        <v>7500349.0889663734</v>
      </c>
      <c r="AK65" s="60">
        <f>'Linéarisation mix'!AK7*1000000</f>
        <v>7676829.9444778366</v>
      </c>
      <c r="AL65" s="60">
        <f>'Linéarisation mix'!AL7*1000000</f>
        <v>7853310.7999889897</v>
      </c>
      <c r="AM65" s="60">
        <f>'Linéarisation mix'!AM7*1000000</f>
        <v>8029791.655500141</v>
      </c>
    </row>
    <row r="66" spans="1:39" outlineLevel="1" x14ac:dyDescent="0.25">
      <c r="A66" t="s">
        <v>185</v>
      </c>
      <c r="B66" s="60">
        <f>LCOE!B5</f>
        <v>150</v>
      </c>
      <c r="C66" s="60">
        <f>LCOE!C5</f>
        <v>147.05882352941177</v>
      </c>
      <c r="D66" s="60">
        <f>LCOE!D5</f>
        <v>144.11764705882354</v>
      </c>
      <c r="E66" s="60">
        <f>LCOE!E5</f>
        <v>141.1764705882353</v>
      </c>
      <c r="F66" s="60">
        <f>LCOE!F5</f>
        <v>138.23529411764707</v>
      </c>
      <c r="G66" s="60">
        <f>LCOE!G5</f>
        <v>135.29411764705884</v>
      </c>
      <c r="H66" s="60">
        <f>LCOE!H5</f>
        <v>132.35294117647061</v>
      </c>
      <c r="I66" s="60">
        <f>LCOE!I5</f>
        <v>129.41176470588238</v>
      </c>
      <c r="J66" s="60">
        <f>LCOE!J5</f>
        <v>126.47058823529414</v>
      </c>
      <c r="K66" s="60">
        <f>LCOE!K5</f>
        <v>123.52941176470591</v>
      </c>
      <c r="L66" s="60">
        <f>LCOE!L5</f>
        <v>120.58823529411768</v>
      </c>
      <c r="M66" s="60">
        <f>LCOE!M5</f>
        <v>117.64705882352945</v>
      </c>
      <c r="N66" s="60">
        <f>LCOE!N5</f>
        <v>114.70588235294122</v>
      </c>
      <c r="O66" s="60">
        <f>LCOE!O5</f>
        <v>111.76470588235298</v>
      </c>
      <c r="P66" s="60">
        <f>LCOE!P5</f>
        <v>108.82352941176475</v>
      </c>
      <c r="Q66" s="60">
        <f>LCOE!Q5</f>
        <v>105.88235294117652</v>
      </c>
      <c r="R66" s="60">
        <f>LCOE!R5</f>
        <v>102.94117647058829</v>
      </c>
      <c r="S66" s="60">
        <f>LCOE!S5</f>
        <v>100</v>
      </c>
      <c r="T66" s="60">
        <f>LCOE!T5</f>
        <v>97.5</v>
      </c>
      <c r="U66" s="60">
        <f>LCOE!U5</f>
        <v>95</v>
      </c>
      <c r="V66" s="60">
        <f>LCOE!V5</f>
        <v>92.5</v>
      </c>
      <c r="W66" s="60">
        <f>LCOE!W5</f>
        <v>90</v>
      </c>
      <c r="X66" s="60">
        <f>LCOE!X5</f>
        <v>87.5</v>
      </c>
      <c r="Y66" s="60">
        <f>LCOE!Y5</f>
        <v>85</v>
      </c>
      <c r="Z66" s="60">
        <f>LCOE!Z5</f>
        <v>82.5</v>
      </c>
      <c r="AA66" s="60">
        <f>LCOE!AA5</f>
        <v>80</v>
      </c>
      <c r="AB66" s="60">
        <f>LCOE!AB5</f>
        <v>77.5</v>
      </c>
      <c r="AC66" s="60">
        <f>LCOE!AC5</f>
        <v>75</v>
      </c>
      <c r="AD66" s="60">
        <f>LCOE!AD5</f>
        <v>72.5</v>
      </c>
      <c r="AE66" s="60">
        <f>LCOE!AE5</f>
        <v>70</v>
      </c>
      <c r="AF66" s="60">
        <f>LCOE!AF5</f>
        <v>67.5</v>
      </c>
      <c r="AG66" s="60">
        <f>LCOE!AG5</f>
        <v>65</v>
      </c>
      <c r="AH66" s="60">
        <f>LCOE!AH5</f>
        <v>62.5</v>
      </c>
      <c r="AI66" s="60">
        <f>LCOE!AI5</f>
        <v>60</v>
      </c>
      <c r="AJ66" s="60">
        <f>LCOE!AJ5</f>
        <v>57.5</v>
      </c>
      <c r="AK66" s="60">
        <f>LCOE!AK5</f>
        <v>55</v>
      </c>
      <c r="AL66" s="60">
        <f>LCOE!AL5</f>
        <v>52.5</v>
      </c>
      <c r="AM66" s="60">
        <f>LCOE!AM5</f>
        <v>50</v>
      </c>
    </row>
    <row r="67" spans="1:39" outlineLevel="1" x14ac:dyDescent="0.25">
      <c r="A67" t="s">
        <v>127</v>
      </c>
      <c r="B67" s="48">
        <v>0</v>
      </c>
      <c r="C67" s="64">
        <f t="shared" ref="C67:AM67" si="19">B67+C65-B65</f>
        <v>176480.85560274124</v>
      </c>
      <c r="D67" s="64">
        <f t="shared" si="19"/>
        <v>352961.71120478236</v>
      </c>
      <c r="E67" s="64">
        <f t="shared" si="19"/>
        <v>529442.56680578343</v>
      </c>
      <c r="F67" s="64">
        <f t="shared" si="19"/>
        <v>705923.42240541382</v>
      </c>
      <c r="G67" s="64">
        <f t="shared" si="19"/>
        <v>882404.27800335502</v>
      </c>
      <c r="H67" s="64">
        <f t="shared" si="19"/>
        <v>1058885.1335993051</v>
      </c>
      <c r="I67" s="64">
        <f t="shared" si="19"/>
        <v>1235365.9891929757</v>
      </c>
      <c r="J67" s="64">
        <f t="shared" si="19"/>
        <v>1411846.8447840996</v>
      </c>
      <c r="K67" s="64">
        <f t="shared" si="19"/>
        <v>1588327.7003724282</v>
      </c>
      <c r="L67" s="64">
        <f t="shared" si="19"/>
        <v>1764808.5559577346</v>
      </c>
      <c r="M67" s="64">
        <f t="shared" si="19"/>
        <v>1941289.4115398158</v>
      </c>
      <c r="N67" s="64">
        <f t="shared" si="19"/>
        <v>2117770.2671184936</v>
      </c>
      <c r="O67" s="64">
        <f t="shared" si="19"/>
        <v>2294251.1226936155</v>
      </c>
      <c r="P67" s="64">
        <f t="shared" si="19"/>
        <v>2470731.9782650564</v>
      </c>
      <c r="Q67" s="64">
        <f t="shared" si="19"/>
        <v>2647212.8338327166</v>
      </c>
      <c r="R67" s="64">
        <f t="shared" si="19"/>
        <v>2823693.6893965248</v>
      </c>
      <c r="S67" s="64">
        <f t="shared" si="19"/>
        <v>3000174.5449564401</v>
      </c>
      <c r="T67" s="64">
        <f t="shared" si="19"/>
        <v>3176655.4005124476</v>
      </c>
      <c r="U67" s="64">
        <f t="shared" si="19"/>
        <v>3353136.2560645621</v>
      </c>
      <c r="V67" s="64">
        <f t="shared" si="19"/>
        <v>3529617.1116128247</v>
      </c>
      <c r="W67" s="64">
        <f t="shared" si="19"/>
        <v>3706097.9671573071</v>
      </c>
      <c r="X67" s="64">
        <f t="shared" si="19"/>
        <v>3882578.8226981023</v>
      </c>
      <c r="Y67" s="64">
        <f t="shared" si="19"/>
        <v>4059059.6782353343</v>
      </c>
      <c r="Z67" s="64">
        <f t="shared" si="19"/>
        <v>4235540.5337691475</v>
      </c>
      <c r="AA67" s="64">
        <f t="shared" si="19"/>
        <v>4412021.389299714</v>
      </c>
      <c r="AB67" s="64">
        <f t="shared" si="19"/>
        <v>4588502.2448272239</v>
      </c>
      <c r="AC67" s="64">
        <f t="shared" si="19"/>
        <v>4764983.1003518924</v>
      </c>
      <c r="AD67" s="64">
        <f t="shared" si="19"/>
        <v>4941463.9558739504</v>
      </c>
      <c r="AE67" s="64">
        <f t="shared" si="19"/>
        <v>5117944.8113936465</v>
      </c>
      <c r="AF67" s="64">
        <f t="shared" si="19"/>
        <v>5294425.6669112463</v>
      </c>
      <c r="AG67" s="64">
        <f t="shared" si="19"/>
        <v>5470906.522427028</v>
      </c>
      <c r="AH67" s="64">
        <f t="shared" si="19"/>
        <v>5647387.3779412759</v>
      </c>
      <c r="AI67" s="64">
        <f t="shared" si="19"/>
        <v>5823868.2334542898</v>
      </c>
      <c r="AJ67" s="64">
        <f t="shared" si="19"/>
        <v>6000349.0889663743</v>
      </c>
      <c r="AK67" s="64">
        <f t="shared" si="19"/>
        <v>6176829.9444778375</v>
      </c>
      <c r="AL67" s="64">
        <f t="shared" si="19"/>
        <v>6353310.7999889897</v>
      </c>
      <c r="AM67" s="64">
        <f t="shared" si="19"/>
        <v>6529791.655500141</v>
      </c>
    </row>
    <row r="68" spans="1:39" outlineLevel="1" x14ac:dyDescent="0.25">
      <c r="A68" t="s">
        <v>188</v>
      </c>
      <c r="B68" s="48"/>
      <c r="C68" s="42"/>
      <c r="D68" s="42"/>
      <c r="E68" s="42"/>
      <c r="F68" s="42"/>
      <c r="G68" s="42"/>
      <c r="H68" s="42"/>
      <c r="I68" s="42"/>
      <c r="J68" s="42"/>
      <c r="K68" s="42"/>
      <c r="L68" s="42"/>
      <c r="M68" s="49"/>
      <c r="N68" s="42"/>
      <c r="O68" s="42"/>
      <c r="P68" s="42"/>
      <c r="Q68" s="42"/>
      <c r="R68" s="42"/>
      <c r="S68" s="43"/>
      <c r="T68" s="42"/>
      <c r="U68" s="42"/>
      <c r="V68" s="42"/>
      <c r="W68" s="42"/>
      <c r="X68" s="42"/>
      <c r="Y68" s="42"/>
      <c r="Z68" s="42"/>
      <c r="AA68" s="42"/>
      <c r="AB68" s="42"/>
      <c r="AC68" s="42"/>
      <c r="AD68" s="42"/>
      <c r="AE68" s="49"/>
      <c r="AF68" s="49"/>
      <c r="AG68" s="49"/>
      <c r="AH68" s="49"/>
      <c r="AI68" s="49"/>
      <c r="AJ68" s="49"/>
      <c r="AK68" s="49"/>
      <c r="AL68" s="42"/>
      <c r="AM68" s="104">
        <f>AM70/AM72</f>
        <v>0.28559031923885753</v>
      </c>
    </row>
    <row r="69" spans="1:39" outlineLevel="1" x14ac:dyDescent="0.25">
      <c r="A69" t="s">
        <v>206</v>
      </c>
      <c r="B69" s="58">
        <v>20</v>
      </c>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row>
    <row r="70" spans="1:39" outlineLevel="1" x14ac:dyDescent="0.25">
      <c r="A70" t="s">
        <v>107</v>
      </c>
      <c r="B70" s="13">
        <f t="shared" ref="B70:AK70" si="20">$AM$68*B72</f>
        <v>64.257821828742948</v>
      </c>
      <c r="C70" s="13">
        <f t="shared" si="20"/>
        <v>71.606768654077541</v>
      </c>
      <c r="D70" s="13">
        <f t="shared" si="20"/>
        <v>78.905123275619744</v>
      </c>
      <c r="E70" s="13">
        <f t="shared" si="20"/>
        <v>85.992241138785147</v>
      </c>
      <c r="F70" s="13">
        <f t="shared" si="20"/>
        <v>92.868122243562425</v>
      </c>
      <c r="G70" s="13">
        <f t="shared" si="20"/>
        <v>99.532766589941659</v>
      </c>
      <c r="H70" s="13">
        <f t="shared" si="20"/>
        <v>105.98617417791421</v>
      </c>
      <c r="I70" s="13">
        <f t="shared" si="20"/>
        <v>112.22834500747281</v>
      </c>
      <c r="J70" s="13">
        <f t="shared" si="20"/>
        <v>118.25927907861158</v>
      </c>
      <c r="K70" s="13">
        <f t="shared" si="20"/>
        <v>124.07897639132607</v>
      </c>
      <c r="L70" s="13">
        <f t="shared" si="20"/>
        <v>129.68743694561314</v>
      </c>
      <c r="M70" s="13">
        <f t="shared" si="20"/>
        <v>135.08466074147108</v>
      </c>
      <c r="N70" s="13">
        <f t="shared" si="20"/>
        <v>140.27064777889942</v>
      </c>
      <c r="O70" s="13">
        <f t="shared" si="20"/>
        <v>145.24539805789908</v>
      </c>
      <c r="P70" s="13">
        <f t="shared" si="20"/>
        <v>150.00891157847209</v>
      </c>
      <c r="Q70" s="13">
        <f t="shared" si="20"/>
        <v>154.56118834062164</v>
      </c>
      <c r="R70" s="13">
        <f t="shared" si="20"/>
        <v>158.90222834435198</v>
      </c>
      <c r="S70" s="13">
        <f t="shared" si="20"/>
        <v>163.03203158966843</v>
      </c>
      <c r="T70" s="13">
        <f t="shared" si="20"/>
        <v>166.98228359032152</v>
      </c>
      <c r="U70" s="13">
        <f t="shared" si="20"/>
        <v>170.75298434631722</v>
      </c>
      <c r="V70" s="13">
        <f t="shared" si="20"/>
        <v>171.29188732079686</v>
      </c>
      <c r="W70" s="13">
        <f t="shared" si="20"/>
        <v>171.73000435779394</v>
      </c>
      <c r="X70" s="13">
        <f t="shared" si="20"/>
        <v>172.07380384877433</v>
      </c>
      <c r="Y70" s="13">
        <f t="shared" si="20"/>
        <v>172.32328579375147</v>
      </c>
      <c r="Z70" s="13">
        <f t="shared" si="20"/>
        <v>172.47845019273899</v>
      </c>
      <c r="AA70" s="13">
        <f t="shared" si="20"/>
        <v>172.53929704575026</v>
      </c>
      <c r="AB70" s="13">
        <f t="shared" si="20"/>
        <v>172.50582635279855</v>
      </c>
      <c r="AC70" s="13">
        <f t="shared" si="20"/>
        <v>172.37803811389674</v>
      </c>
      <c r="AD70" s="13">
        <f t="shared" si="20"/>
        <v>172.15593232905715</v>
      </c>
      <c r="AE70" s="13">
        <f t="shared" si="20"/>
        <v>171.83950899829176</v>
      </c>
      <c r="AF70" s="13">
        <f t="shared" si="20"/>
        <v>171.42876812161165</v>
      </c>
      <c r="AG70" s="13">
        <f t="shared" si="20"/>
        <v>170.9237096990274</v>
      </c>
      <c r="AH70" s="13">
        <f t="shared" si="20"/>
        <v>170.32433373054852</v>
      </c>
      <c r="AI70" s="13">
        <f t="shared" si="20"/>
        <v>169.63064021618359</v>
      </c>
      <c r="AJ70" s="13">
        <f t="shared" si="20"/>
        <v>168.84262915594047</v>
      </c>
      <c r="AK70" s="13">
        <f t="shared" si="20"/>
        <v>167.9603005498258</v>
      </c>
      <c r="AL70" s="13">
        <f>$AM$68*AL72</f>
        <v>166.98365439784527</v>
      </c>
      <c r="AM70" s="13">
        <f>LCOE!AS5*1000*'Capacités installées'!B25/1000000</f>
        <v>165.91269070000325</v>
      </c>
    </row>
    <row r="71" spans="1:39" outlineLevel="1" x14ac:dyDescent="0.25">
      <c r="A71" t="s">
        <v>111</v>
      </c>
      <c r="B71" s="41">
        <f>B72-B70</f>
        <v>160.74217817125705</v>
      </c>
      <c r="C71" s="41">
        <f t="shared" ref="C71:AM71" si="21">C72-C70</f>
        <v>179.12571011103145</v>
      </c>
      <c r="D71" s="41">
        <f t="shared" si="21"/>
        <v>197.38268467919511</v>
      </c>
      <c r="E71" s="41">
        <f t="shared" si="21"/>
        <v>215.11124643028862</v>
      </c>
      <c r="F71" s="41">
        <f t="shared" si="21"/>
        <v>232.31139536428356</v>
      </c>
      <c r="G71" s="41">
        <f t="shared" si="21"/>
        <v>248.98313148115511</v>
      </c>
      <c r="H71" s="41">
        <f t="shared" si="21"/>
        <v>265.12645478088172</v>
      </c>
      <c r="I71" s="41">
        <f t="shared" si="21"/>
        <v>280.74136526344518</v>
      </c>
      <c r="J71" s="41">
        <f t="shared" si="21"/>
        <v>295.82786292883071</v>
      </c>
      <c r="K71" s="41">
        <f t="shared" si="21"/>
        <v>310.3859477770273</v>
      </c>
      <c r="L71" s="41">
        <f t="shared" si="21"/>
        <v>324.41561980802703</v>
      </c>
      <c r="M71" s="41">
        <f t="shared" si="21"/>
        <v>337.91687902182571</v>
      </c>
      <c r="N71" s="41">
        <f t="shared" si="21"/>
        <v>350.88972541842202</v>
      </c>
      <c r="O71" s="41">
        <f t="shared" si="21"/>
        <v>363.33415899781829</v>
      </c>
      <c r="P71" s="41">
        <f t="shared" si="21"/>
        <v>375.25017976001971</v>
      </c>
      <c r="Q71" s="41">
        <f t="shared" si="21"/>
        <v>386.6377877050341</v>
      </c>
      <c r="R71" s="41">
        <f t="shared" si="21"/>
        <v>397.49698283287228</v>
      </c>
      <c r="S71" s="41">
        <f t="shared" si="21"/>
        <v>407.82776514354737</v>
      </c>
      <c r="T71" s="41">
        <f t="shared" si="21"/>
        <v>417.70939655960507</v>
      </c>
      <c r="U71" s="41">
        <f t="shared" si="21"/>
        <v>427.14187708106022</v>
      </c>
      <c r="V71" s="41">
        <f t="shared" si="21"/>
        <v>428.48995324479483</v>
      </c>
      <c r="W71" s="41">
        <f t="shared" si="21"/>
        <v>429.58591144593856</v>
      </c>
      <c r="X71" s="41">
        <f t="shared" si="21"/>
        <v>430.44593249025036</v>
      </c>
      <c r="Y71" s="41">
        <f t="shared" si="21"/>
        <v>431.07001637776386</v>
      </c>
      <c r="Z71" s="41">
        <f t="shared" si="21"/>
        <v>431.45816310851291</v>
      </c>
      <c r="AA71" s="41">
        <f t="shared" si="21"/>
        <v>431.61037268253131</v>
      </c>
      <c r="AB71" s="41">
        <f t="shared" si="21"/>
        <v>431.52664509985198</v>
      </c>
      <c r="AC71" s="41">
        <f t="shared" si="21"/>
        <v>431.20698036050715</v>
      </c>
      <c r="AD71" s="41">
        <f t="shared" si="21"/>
        <v>430.65137846452785</v>
      </c>
      <c r="AE71" s="41">
        <f t="shared" si="21"/>
        <v>429.85983941194388</v>
      </c>
      <c r="AF71" s="41">
        <f t="shared" si="21"/>
        <v>428.83236320278303</v>
      </c>
      <c r="AG71" s="41">
        <f t="shared" si="21"/>
        <v>427.56894983707161</v>
      </c>
      <c r="AH71" s="41">
        <f t="shared" si="21"/>
        <v>426.06959931483362</v>
      </c>
      <c r="AI71" s="41">
        <f t="shared" si="21"/>
        <v>424.33431163609055</v>
      </c>
      <c r="AJ71" s="41">
        <f t="shared" si="21"/>
        <v>422.36308680086177</v>
      </c>
      <c r="AK71" s="41">
        <f t="shared" si="21"/>
        <v>420.15592480916416</v>
      </c>
      <c r="AL71" s="41">
        <f t="shared" si="21"/>
        <v>417.71282566101172</v>
      </c>
      <c r="AM71" s="41">
        <f t="shared" si="21"/>
        <v>415.03378935641558</v>
      </c>
    </row>
    <row r="72" spans="1:39" outlineLevel="1" x14ac:dyDescent="0.25">
      <c r="A72" t="s">
        <v>186</v>
      </c>
      <c r="B72" s="111">
        <v>225</v>
      </c>
      <c r="C72" s="111">
        <v>250.73247876510899</v>
      </c>
      <c r="D72" s="111">
        <v>276.28780795481487</v>
      </c>
      <c r="E72" s="111">
        <v>301.10348756907376</v>
      </c>
      <c r="F72" s="111">
        <v>325.17951760784598</v>
      </c>
      <c r="G72" s="111">
        <v>348.51589807109679</v>
      </c>
      <c r="H72" s="111">
        <v>371.11262895879594</v>
      </c>
      <c r="I72" s="111">
        <v>392.96971027091797</v>
      </c>
      <c r="J72" s="111">
        <v>414.08714200744231</v>
      </c>
      <c r="K72" s="111">
        <v>434.46492416835338</v>
      </c>
      <c r="L72" s="111">
        <v>454.1030567536402</v>
      </c>
      <c r="M72" s="111">
        <v>473.00153976329676</v>
      </c>
      <c r="N72" s="111">
        <v>491.16037319732141</v>
      </c>
      <c r="O72" s="111">
        <v>508.57955705571737</v>
      </c>
      <c r="P72" s="111">
        <v>525.25909133849177</v>
      </c>
      <c r="Q72" s="111">
        <v>541.19897604565574</v>
      </c>
      <c r="R72" s="111">
        <v>556.39921117722429</v>
      </c>
      <c r="S72" s="111">
        <v>570.85979673321583</v>
      </c>
      <c r="T72" s="111">
        <v>584.69168014992658</v>
      </c>
      <c r="U72" s="111">
        <v>597.89486142737746</v>
      </c>
      <c r="V72" s="111">
        <v>599.78184056559166</v>
      </c>
      <c r="W72" s="111">
        <v>601.31591580373254</v>
      </c>
      <c r="X72" s="111">
        <v>602.51973633902469</v>
      </c>
      <c r="Y72" s="111">
        <v>603.3933021715153</v>
      </c>
      <c r="Z72" s="111">
        <v>603.9366133012519</v>
      </c>
      <c r="AA72" s="111">
        <v>604.14966972828154</v>
      </c>
      <c r="AB72" s="111">
        <v>604.0324714526505</v>
      </c>
      <c r="AC72" s="111">
        <v>603.58501847440391</v>
      </c>
      <c r="AD72" s="111">
        <v>602.80731079358497</v>
      </c>
      <c r="AE72" s="111">
        <v>601.69934841023564</v>
      </c>
      <c r="AF72" s="111">
        <v>600.26113132439468</v>
      </c>
      <c r="AG72" s="111">
        <v>598.49265953609904</v>
      </c>
      <c r="AH72" s="111">
        <v>596.39393304538214</v>
      </c>
      <c r="AI72" s="111">
        <v>593.96495185227411</v>
      </c>
      <c r="AJ72" s="111">
        <v>591.20571595680224</v>
      </c>
      <c r="AK72" s="111">
        <v>588.11622535898994</v>
      </c>
      <c r="AL72" s="111">
        <v>584.69648005885699</v>
      </c>
      <c r="AM72" s="111">
        <v>580.94648005641886</v>
      </c>
    </row>
    <row r="74" spans="1:39" ht="23.25" x14ac:dyDescent="0.25">
      <c r="A74" s="62" t="s">
        <v>128</v>
      </c>
    </row>
    <row r="76" spans="1:39" outlineLevel="1" x14ac:dyDescent="0.25">
      <c r="A76" s="3" t="s">
        <v>15</v>
      </c>
      <c r="B76" s="47">
        <v>2013</v>
      </c>
      <c r="C76" s="47">
        <v>2014</v>
      </c>
      <c r="D76" s="47">
        <v>2015</v>
      </c>
      <c r="E76" s="47">
        <v>2016</v>
      </c>
      <c r="F76" s="47">
        <v>2017</v>
      </c>
      <c r="G76" s="47">
        <v>2018</v>
      </c>
      <c r="H76" s="47">
        <v>2019</v>
      </c>
      <c r="I76" s="47">
        <v>2020</v>
      </c>
      <c r="J76" s="47">
        <v>2021</v>
      </c>
      <c r="K76" s="47">
        <v>2022</v>
      </c>
      <c r="L76" s="47">
        <v>2023</v>
      </c>
      <c r="M76" s="47">
        <v>2024</v>
      </c>
      <c r="N76" s="47">
        <v>2025</v>
      </c>
      <c r="O76" s="47">
        <v>2026</v>
      </c>
      <c r="P76" s="47">
        <v>2027</v>
      </c>
      <c r="Q76" s="47">
        <v>2028</v>
      </c>
      <c r="R76" s="47">
        <v>2029</v>
      </c>
      <c r="S76" s="47">
        <v>2030</v>
      </c>
      <c r="T76" s="47">
        <v>2031</v>
      </c>
      <c r="U76" s="47">
        <v>2032</v>
      </c>
      <c r="V76" s="47">
        <v>2033</v>
      </c>
      <c r="W76" s="47">
        <v>2034</v>
      </c>
      <c r="X76" s="47">
        <v>2035</v>
      </c>
      <c r="Y76" s="47">
        <v>2036</v>
      </c>
      <c r="Z76" s="47">
        <v>2037</v>
      </c>
      <c r="AA76" s="47">
        <v>2038</v>
      </c>
      <c r="AB76" s="47">
        <v>2039</v>
      </c>
      <c r="AC76" s="47">
        <v>2040</v>
      </c>
      <c r="AD76" s="47">
        <v>2041</v>
      </c>
      <c r="AE76" s="47">
        <v>2042</v>
      </c>
      <c r="AF76" s="47">
        <v>2043</v>
      </c>
      <c r="AG76" s="47">
        <v>2044</v>
      </c>
      <c r="AH76" s="47">
        <v>2045</v>
      </c>
      <c r="AI76" s="47">
        <v>2046</v>
      </c>
      <c r="AJ76" s="47">
        <v>2047</v>
      </c>
      <c r="AK76" s="47">
        <v>2048</v>
      </c>
      <c r="AL76" s="47">
        <v>2049</v>
      </c>
      <c r="AM76" s="47">
        <v>2050</v>
      </c>
    </row>
    <row r="77" spans="1:39" outlineLevel="1" x14ac:dyDescent="0.25">
      <c r="A77" t="s">
        <v>171</v>
      </c>
      <c r="B77" s="49">
        <f>'Linéarisation mix'!B12*1000000</f>
        <v>418680</v>
      </c>
      <c r="C77" s="49">
        <f>B77+($AM$77-$B$77)/(2050-2013)</f>
        <v>420442.06054054055</v>
      </c>
      <c r="D77" s="49">
        <f t="shared" ref="D77:AL77" si="22">C77+($AM$77-$B$77)/(2050-2013)</f>
        <v>422204.1210810811</v>
      </c>
      <c r="E77" s="49">
        <f t="shared" si="22"/>
        <v>423966.18162162165</v>
      </c>
      <c r="F77" s="49">
        <f t="shared" si="22"/>
        <v>425728.24216216221</v>
      </c>
      <c r="G77" s="49">
        <f t="shared" si="22"/>
        <v>427490.30270270276</v>
      </c>
      <c r="H77" s="49">
        <f t="shared" si="22"/>
        <v>429252.36324324331</v>
      </c>
      <c r="I77" s="49">
        <f t="shared" si="22"/>
        <v>431014.42378378386</v>
      </c>
      <c r="J77" s="49">
        <f t="shared" si="22"/>
        <v>432776.48432432441</v>
      </c>
      <c r="K77" s="49">
        <f t="shared" si="22"/>
        <v>434538.54486486496</v>
      </c>
      <c r="L77" s="49">
        <f t="shared" si="22"/>
        <v>436300.60540540551</v>
      </c>
      <c r="M77" s="49">
        <f t="shared" si="22"/>
        <v>438062.66594594606</v>
      </c>
      <c r="N77" s="49">
        <f t="shared" si="22"/>
        <v>439824.72648648662</v>
      </c>
      <c r="O77" s="49">
        <f t="shared" si="22"/>
        <v>441586.78702702717</v>
      </c>
      <c r="P77" s="49">
        <f t="shared" si="22"/>
        <v>443348.84756756772</v>
      </c>
      <c r="Q77" s="49">
        <f t="shared" si="22"/>
        <v>445110.90810810827</v>
      </c>
      <c r="R77" s="49">
        <f t="shared" si="22"/>
        <v>446872.96864864882</v>
      </c>
      <c r="S77" s="49">
        <f t="shared" si="22"/>
        <v>448635.02918918937</v>
      </c>
      <c r="T77" s="49">
        <f t="shared" si="22"/>
        <v>450397.08972972992</v>
      </c>
      <c r="U77" s="49">
        <f t="shared" si="22"/>
        <v>452159.15027027047</v>
      </c>
      <c r="V77" s="49">
        <f t="shared" si="22"/>
        <v>453921.21081081103</v>
      </c>
      <c r="W77" s="49">
        <f t="shared" si="22"/>
        <v>455683.27135135158</v>
      </c>
      <c r="X77" s="49">
        <f t="shared" si="22"/>
        <v>457445.33189189213</v>
      </c>
      <c r="Y77" s="49">
        <f t="shared" si="22"/>
        <v>459207.39243243268</v>
      </c>
      <c r="Z77" s="49">
        <f t="shared" si="22"/>
        <v>460969.45297297323</v>
      </c>
      <c r="AA77" s="49">
        <f t="shared" si="22"/>
        <v>462731.51351351378</v>
      </c>
      <c r="AB77" s="49">
        <f t="shared" si="22"/>
        <v>464493.57405405433</v>
      </c>
      <c r="AC77" s="49">
        <f t="shared" si="22"/>
        <v>466255.63459459489</v>
      </c>
      <c r="AD77" s="49">
        <f t="shared" si="22"/>
        <v>468017.69513513544</v>
      </c>
      <c r="AE77" s="49">
        <f t="shared" si="22"/>
        <v>469779.75567567599</v>
      </c>
      <c r="AF77" s="49">
        <f t="shared" si="22"/>
        <v>471541.81621621654</v>
      </c>
      <c r="AG77" s="49">
        <f t="shared" si="22"/>
        <v>473303.87675675709</v>
      </c>
      <c r="AH77" s="49">
        <f t="shared" si="22"/>
        <v>475065.93729729764</v>
      </c>
      <c r="AI77" s="49">
        <f t="shared" si="22"/>
        <v>476827.99783783819</v>
      </c>
      <c r="AJ77" s="49">
        <f t="shared" si="22"/>
        <v>478590.05837837874</v>
      </c>
      <c r="AK77" s="49">
        <f t="shared" si="22"/>
        <v>480352.1189189193</v>
      </c>
      <c r="AL77" s="49">
        <f t="shared" si="22"/>
        <v>482114.17945945985</v>
      </c>
      <c r="AM77" s="49">
        <f>Production!B12</f>
        <v>483876.24</v>
      </c>
    </row>
    <row r="78" spans="1:39" outlineLevel="1" x14ac:dyDescent="0.25">
      <c r="A78" t="s">
        <v>185</v>
      </c>
      <c r="B78" s="60">
        <f>LCOE!B16</f>
        <v>201.20834630956088</v>
      </c>
      <c r="C78" s="60">
        <f>LCOE!C16</f>
        <v>198.78432593841023</v>
      </c>
      <c r="D78" s="60">
        <f>LCOE!D16</f>
        <v>196.36030556725959</v>
      </c>
      <c r="E78" s="60">
        <f>LCOE!E16</f>
        <v>193.93628519610894</v>
      </c>
      <c r="F78" s="60">
        <f>LCOE!F16</f>
        <v>191.51226482495829</v>
      </c>
      <c r="G78" s="60">
        <f>LCOE!G16</f>
        <v>189.08824445380765</v>
      </c>
      <c r="H78" s="60">
        <f>LCOE!H16</f>
        <v>186.664224082657</v>
      </c>
      <c r="I78" s="60">
        <f>LCOE!I16</f>
        <v>184.24020371150635</v>
      </c>
      <c r="J78" s="60">
        <f>LCOE!J16</f>
        <v>181.81618334035571</v>
      </c>
      <c r="K78" s="60">
        <f>LCOE!K16</f>
        <v>179.39216296920506</v>
      </c>
      <c r="L78" s="60">
        <f>LCOE!L16</f>
        <v>176.96814259805441</v>
      </c>
      <c r="M78" s="60">
        <f>LCOE!M16</f>
        <v>174.54412222690377</v>
      </c>
      <c r="N78" s="60">
        <f>LCOE!N16</f>
        <v>172.12010185575312</v>
      </c>
      <c r="O78" s="60">
        <f>LCOE!O16</f>
        <v>169.69608148460247</v>
      </c>
      <c r="P78" s="60">
        <f>LCOE!P16</f>
        <v>167.27206111345183</v>
      </c>
      <c r="Q78" s="60">
        <f>LCOE!Q16</f>
        <v>164.84804074230118</v>
      </c>
      <c r="R78" s="60">
        <f>LCOE!R16</f>
        <v>162.42402037115053</v>
      </c>
      <c r="S78" s="60">
        <f>LCOE!S16</f>
        <v>160</v>
      </c>
      <c r="T78" s="60">
        <f>LCOE!T16</f>
        <v>160</v>
      </c>
      <c r="U78" s="60">
        <f>LCOE!U16</f>
        <v>160</v>
      </c>
      <c r="V78" s="60">
        <f>LCOE!V16</f>
        <v>160</v>
      </c>
      <c r="W78" s="60">
        <f>LCOE!W16</f>
        <v>160</v>
      </c>
      <c r="X78" s="60">
        <f>LCOE!X16</f>
        <v>160</v>
      </c>
      <c r="Y78" s="60">
        <f>LCOE!Y16</f>
        <v>160</v>
      </c>
      <c r="Z78" s="60">
        <f>LCOE!Z16</f>
        <v>160</v>
      </c>
      <c r="AA78" s="60">
        <f>LCOE!AA16</f>
        <v>160</v>
      </c>
      <c r="AB78" s="60">
        <f>LCOE!AB16</f>
        <v>160</v>
      </c>
      <c r="AC78" s="60">
        <f>LCOE!AC16</f>
        <v>160</v>
      </c>
      <c r="AD78" s="60">
        <f>LCOE!AD16</f>
        <v>160</v>
      </c>
      <c r="AE78" s="60">
        <f>LCOE!AE16</f>
        <v>160</v>
      </c>
      <c r="AF78" s="60">
        <f>LCOE!AF16</f>
        <v>160</v>
      </c>
      <c r="AG78" s="60">
        <f>LCOE!AG16</f>
        <v>160</v>
      </c>
      <c r="AH78" s="60">
        <f>LCOE!AH16</f>
        <v>160</v>
      </c>
      <c r="AI78" s="60">
        <f>LCOE!AI16</f>
        <v>160</v>
      </c>
      <c r="AJ78" s="60">
        <f>LCOE!AJ16</f>
        <v>160</v>
      </c>
      <c r="AK78" s="60">
        <f>LCOE!AK16</f>
        <v>160</v>
      </c>
      <c r="AL78" s="60">
        <f>LCOE!AL16</f>
        <v>160</v>
      </c>
      <c r="AM78" s="60">
        <f>LCOE!AM16</f>
        <v>160</v>
      </c>
    </row>
    <row r="79" spans="1:39" outlineLevel="1" x14ac:dyDescent="0.25">
      <c r="A79" t="s">
        <v>127</v>
      </c>
      <c r="B79" s="48">
        <v>0</v>
      </c>
      <c r="C79" s="64">
        <f>B79+C77-B77</f>
        <v>1762.0605405405513</v>
      </c>
      <c r="D79" s="64">
        <f t="shared" ref="D79:AM79" si="23">C79+D77-C77</f>
        <v>3524.1210810811026</v>
      </c>
      <c r="E79" s="64">
        <f t="shared" si="23"/>
        <v>5286.1816216216539</v>
      </c>
      <c r="F79" s="64">
        <f t="shared" si="23"/>
        <v>7048.2421621622052</v>
      </c>
      <c r="G79" s="64">
        <f t="shared" si="23"/>
        <v>8810.3027027027565</v>
      </c>
      <c r="H79" s="64">
        <f t="shared" si="23"/>
        <v>10572.363243243308</v>
      </c>
      <c r="I79" s="64">
        <f t="shared" si="23"/>
        <v>12334.423783783859</v>
      </c>
      <c r="J79" s="64">
        <f t="shared" si="23"/>
        <v>14096.48432432441</v>
      </c>
      <c r="K79" s="64">
        <f t="shared" si="23"/>
        <v>15858.544864864962</v>
      </c>
      <c r="L79" s="64">
        <f t="shared" si="23"/>
        <v>17620.605405405513</v>
      </c>
      <c r="M79" s="64">
        <f t="shared" si="23"/>
        <v>19382.665945946064</v>
      </c>
      <c r="N79" s="64">
        <f t="shared" si="23"/>
        <v>21144.726486486616</v>
      </c>
      <c r="O79" s="64">
        <f t="shared" si="23"/>
        <v>22906.787027027167</v>
      </c>
      <c r="P79" s="64">
        <f t="shared" si="23"/>
        <v>24668.847567567718</v>
      </c>
      <c r="Q79" s="64">
        <f t="shared" si="23"/>
        <v>26430.90810810827</v>
      </c>
      <c r="R79" s="64">
        <f t="shared" si="23"/>
        <v>28192.968648648821</v>
      </c>
      <c r="S79" s="64">
        <f t="shared" si="23"/>
        <v>29955.029189189372</v>
      </c>
      <c r="T79" s="64">
        <f t="shared" si="23"/>
        <v>31717.089729729923</v>
      </c>
      <c r="U79" s="64">
        <f t="shared" si="23"/>
        <v>33479.150270270475</v>
      </c>
      <c r="V79" s="64">
        <f t="shared" si="23"/>
        <v>35241.210810811026</v>
      </c>
      <c r="W79" s="64">
        <f t="shared" si="23"/>
        <v>37003.271351351577</v>
      </c>
      <c r="X79" s="64">
        <f t="shared" si="23"/>
        <v>38765.331891892129</v>
      </c>
      <c r="Y79" s="64">
        <f t="shared" si="23"/>
        <v>40527.39243243268</v>
      </c>
      <c r="Z79" s="64">
        <f t="shared" si="23"/>
        <v>42289.452972973231</v>
      </c>
      <c r="AA79" s="64">
        <f t="shared" si="23"/>
        <v>44051.513513513783</v>
      </c>
      <c r="AB79" s="64">
        <f t="shared" si="23"/>
        <v>45813.574054054334</v>
      </c>
      <c r="AC79" s="64">
        <f t="shared" si="23"/>
        <v>47575.634594594885</v>
      </c>
      <c r="AD79" s="64">
        <f t="shared" si="23"/>
        <v>49337.695135135436</v>
      </c>
      <c r="AE79" s="64">
        <f t="shared" si="23"/>
        <v>51099.755675675988</v>
      </c>
      <c r="AF79" s="64">
        <f t="shared" si="23"/>
        <v>52861.816216216539</v>
      </c>
      <c r="AG79" s="64">
        <f t="shared" si="23"/>
        <v>54623.876756757149</v>
      </c>
      <c r="AH79" s="64">
        <f t="shared" si="23"/>
        <v>56385.9372972977</v>
      </c>
      <c r="AI79" s="64">
        <f t="shared" si="23"/>
        <v>58147.997837838251</v>
      </c>
      <c r="AJ79" s="64">
        <f t="shared" si="23"/>
        <v>59910.058378378802</v>
      </c>
      <c r="AK79" s="64">
        <f t="shared" si="23"/>
        <v>61672.118918919354</v>
      </c>
      <c r="AL79" s="64">
        <f t="shared" si="23"/>
        <v>63434.179459459905</v>
      </c>
      <c r="AM79" s="64">
        <f t="shared" si="23"/>
        <v>65196.239999999991</v>
      </c>
    </row>
    <row r="80" spans="1:39" outlineLevel="1" x14ac:dyDescent="0.25">
      <c r="A80" t="s">
        <v>188</v>
      </c>
      <c r="B80" s="48"/>
      <c r="C80" s="42"/>
      <c r="D80" s="42"/>
      <c r="E80" s="42"/>
      <c r="F80" s="42"/>
      <c r="G80" s="42"/>
      <c r="H80" s="42"/>
      <c r="I80" s="42"/>
      <c r="J80" s="42"/>
      <c r="K80" s="42"/>
      <c r="L80" s="42"/>
      <c r="M80" s="49"/>
      <c r="N80" s="42"/>
      <c r="O80" s="42"/>
      <c r="P80" s="42"/>
      <c r="Q80" s="42"/>
      <c r="R80" s="42"/>
      <c r="S80" s="43"/>
      <c r="T80" s="42"/>
      <c r="U80" s="42"/>
      <c r="V80" s="42"/>
      <c r="W80" s="42"/>
      <c r="X80" s="42"/>
      <c r="Y80" s="42"/>
      <c r="Z80" s="42"/>
      <c r="AA80" s="42"/>
      <c r="AB80" s="42"/>
      <c r="AC80" s="42"/>
      <c r="AD80" s="42"/>
      <c r="AE80" s="49"/>
      <c r="AF80" s="49"/>
      <c r="AG80" s="49"/>
      <c r="AH80" s="49"/>
      <c r="AI80" s="49"/>
      <c r="AJ80" s="49"/>
      <c r="AK80" s="49"/>
      <c r="AL80" s="42"/>
      <c r="AM80" s="104">
        <f>AM82/AM84</f>
        <v>0.38927192670421623</v>
      </c>
    </row>
    <row r="81" spans="1:39" outlineLevel="1" x14ac:dyDescent="0.25">
      <c r="A81" t="s">
        <v>206</v>
      </c>
      <c r="B81" s="58">
        <v>30</v>
      </c>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row>
    <row r="82" spans="1:39" outlineLevel="1" x14ac:dyDescent="0.25">
      <c r="A82" t="s">
        <v>107</v>
      </c>
      <c r="B82" s="41">
        <f t="shared" ref="B82:AK82" si="24">$AM$80*B84</f>
        <v>32.793010783453916</v>
      </c>
      <c r="C82" s="41">
        <f t="shared" si="24"/>
        <v>32.916192143177888</v>
      </c>
      <c r="D82" s="41">
        <f t="shared" si="24"/>
        <v>33.024541892560279</v>
      </c>
      <c r="E82" s="41">
        <f t="shared" si="24"/>
        <v>33.11806003160109</v>
      </c>
      <c r="F82" s="41">
        <f t="shared" si="24"/>
        <v>33.196746560300319</v>
      </c>
      <c r="G82" s="41">
        <f t="shared" si="24"/>
        <v>33.260601478657968</v>
      </c>
      <c r="H82" s="41">
        <f t="shared" si="24"/>
        <v>33.309624786674028</v>
      </c>
      <c r="I82" s="41">
        <f t="shared" si="24"/>
        <v>33.343816484348523</v>
      </c>
      <c r="J82" s="41">
        <f t="shared" si="24"/>
        <v>33.363176571681429</v>
      </c>
      <c r="K82" s="41">
        <f t="shared" si="24"/>
        <v>33.367705048672761</v>
      </c>
      <c r="L82" s="41">
        <f t="shared" si="24"/>
        <v>33.357401915322512</v>
      </c>
      <c r="M82" s="41">
        <f t="shared" si="24"/>
        <v>33.332267171630683</v>
      </c>
      <c r="N82" s="41">
        <f t="shared" si="24"/>
        <v>33.292300817597273</v>
      </c>
      <c r="O82" s="41">
        <f t="shared" si="24"/>
        <v>33.237502853222288</v>
      </c>
      <c r="P82" s="41">
        <f t="shared" si="24"/>
        <v>33.167873278505716</v>
      </c>
      <c r="Q82" s="41">
        <f t="shared" si="24"/>
        <v>33.083412093447571</v>
      </c>
      <c r="R82" s="41">
        <f t="shared" si="24"/>
        <v>32.984119298047844</v>
      </c>
      <c r="S82" s="41">
        <f t="shared" si="24"/>
        <v>32.869994892306543</v>
      </c>
      <c r="T82" s="41">
        <f t="shared" si="24"/>
        <v>32.755870486565236</v>
      </c>
      <c r="U82" s="41">
        <f t="shared" si="24"/>
        <v>32.641746080823928</v>
      </c>
      <c r="V82" s="41">
        <f t="shared" si="24"/>
        <v>32.527621675082621</v>
      </c>
      <c r="W82" s="41">
        <f t="shared" si="24"/>
        <v>32.413497269341313</v>
      </c>
      <c r="X82" s="41">
        <f t="shared" si="24"/>
        <v>32.299372863600006</v>
      </c>
      <c r="Y82" s="41">
        <f t="shared" si="24"/>
        <v>32.185248457858698</v>
      </c>
      <c r="Z82" s="41">
        <f t="shared" si="24"/>
        <v>32.071124052117391</v>
      </c>
      <c r="AA82" s="41">
        <f t="shared" si="24"/>
        <v>31.956999646376083</v>
      </c>
      <c r="AB82" s="41">
        <f t="shared" si="24"/>
        <v>31.842875240634768</v>
      </c>
      <c r="AC82" s="41">
        <f t="shared" si="24"/>
        <v>31.728750834893461</v>
      </c>
      <c r="AD82" s="41">
        <f t="shared" si="24"/>
        <v>31.614626429152157</v>
      </c>
      <c r="AE82" s="41">
        <f t="shared" si="24"/>
        <v>31.500502023410849</v>
      </c>
      <c r="AF82" s="41">
        <f t="shared" si="24"/>
        <v>31.386377617669524</v>
      </c>
      <c r="AG82" s="41">
        <f t="shared" si="24"/>
        <v>31.258819164457957</v>
      </c>
      <c r="AH82" s="41">
        <f t="shared" si="24"/>
        <v>31.211936944527686</v>
      </c>
      <c r="AI82" s="41">
        <f t="shared" si="24"/>
        <v>31.179886334938992</v>
      </c>
      <c r="AJ82" s="41">
        <f t="shared" si="24"/>
        <v>31.162667335691882</v>
      </c>
      <c r="AK82" s="41">
        <f t="shared" si="24"/>
        <v>31.16027994678635</v>
      </c>
      <c r="AL82" s="41">
        <f>$AM$80*AL84</f>
        <v>31.172724168222395</v>
      </c>
      <c r="AM82" s="41">
        <f>LCOE!AS16*1000*'Capacités installées'!B12/1000000</f>
        <v>31.2</v>
      </c>
    </row>
    <row r="83" spans="1:39" outlineLevel="1" x14ac:dyDescent="0.25">
      <c r="A83" t="s">
        <v>111</v>
      </c>
      <c r="B83" s="13">
        <f>B84-B82</f>
        <v>51.448899649433024</v>
      </c>
      <c r="C83" s="13">
        <f t="shared" ref="C83:AM83" si="25">C84-C82</f>
        <v>51.642158678223304</v>
      </c>
      <c r="D83" s="13">
        <f t="shared" si="25"/>
        <v>51.812148418409905</v>
      </c>
      <c r="E83" s="13">
        <f t="shared" si="25"/>
        <v>51.958868869992841</v>
      </c>
      <c r="F83" s="13">
        <f t="shared" si="25"/>
        <v>52.082320032972099</v>
      </c>
      <c r="G83" s="13">
        <f t="shared" si="25"/>
        <v>52.182501907347692</v>
      </c>
      <c r="H83" s="13">
        <f t="shared" si="25"/>
        <v>52.259414493119614</v>
      </c>
      <c r="I83" s="13">
        <f t="shared" si="25"/>
        <v>52.313057790287871</v>
      </c>
      <c r="J83" s="13">
        <f t="shared" si="25"/>
        <v>52.343431798852457</v>
      </c>
      <c r="K83" s="13">
        <f t="shared" si="25"/>
        <v>52.350536518813371</v>
      </c>
      <c r="L83" s="13">
        <f t="shared" si="25"/>
        <v>52.33437195017062</v>
      </c>
      <c r="M83" s="13">
        <f t="shared" si="25"/>
        <v>52.294938092924191</v>
      </c>
      <c r="N83" s="13">
        <f t="shared" si="25"/>
        <v>52.232234947074097</v>
      </c>
      <c r="O83" s="13">
        <f t="shared" si="25"/>
        <v>52.146262512620332</v>
      </c>
      <c r="P83" s="13">
        <f t="shared" si="25"/>
        <v>52.037020789562909</v>
      </c>
      <c r="Q83" s="13">
        <f t="shared" si="25"/>
        <v>51.904509777901815</v>
      </c>
      <c r="R83" s="13">
        <f t="shared" si="25"/>
        <v>51.748729477637042</v>
      </c>
      <c r="S83" s="13">
        <f t="shared" si="25"/>
        <v>51.569679888768611</v>
      </c>
      <c r="T83" s="13">
        <f t="shared" si="25"/>
        <v>51.390630299900174</v>
      </c>
      <c r="U83" s="13">
        <f t="shared" si="25"/>
        <v>51.211580711031736</v>
      </c>
      <c r="V83" s="13">
        <f t="shared" si="25"/>
        <v>51.032531122163299</v>
      </c>
      <c r="W83" s="13">
        <f t="shared" si="25"/>
        <v>50.853481533294861</v>
      </c>
      <c r="X83" s="13">
        <f t="shared" si="25"/>
        <v>50.674431944426409</v>
      </c>
      <c r="Y83" s="13">
        <f t="shared" si="25"/>
        <v>50.495382355557972</v>
      </c>
      <c r="Z83" s="13">
        <f t="shared" si="25"/>
        <v>50.316332766689534</v>
      </c>
      <c r="AA83" s="13">
        <f t="shared" si="25"/>
        <v>50.137283177821097</v>
      </c>
      <c r="AB83" s="13">
        <f t="shared" si="25"/>
        <v>49.958233588952652</v>
      </c>
      <c r="AC83" s="13">
        <f t="shared" si="25"/>
        <v>49.779184000084214</v>
      </c>
      <c r="AD83" s="13">
        <f t="shared" si="25"/>
        <v>49.600134411215777</v>
      </c>
      <c r="AE83" s="13">
        <f t="shared" si="25"/>
        <v>49.421084822347339</v>
      </c>
      <c r="AF83" s="13">
        <f t="shared" si="25"/>
        <v>49.242035233478873</v>
      </c>
      <c r="AG83" s="13">
        <f t="shared" si="25"/>
        <v>49.041908990052931</v>
      </c>
      <c r="AH83" s="13">
        <f t="shared" si="25"/>
        <v>48.968355553789856</v>
      </c>
      <c r="AI83" s="13">
        <f t="shared" si="25"/>
        <v>48.918071406130444</v>
      </c>
      <c r="AJ83" s="13">
        <f t="shared" si="25"/>
        <v>48.891056547074712</v>
      </c>
      <c r="AK83" s="13">
        <f t="shared" si="25"/>
        <v>48.887310976622643</v>
      </c>
      <c r="AL83" s="13">
        <f t="shared" si="25"/>
        <v>48.90683469477424</v>
      </c>
      <c r="AM83" s="13">
        <f t="shared" si="25"/>
        <v>48.949627701529465</v>
      </c>
    </row>
    <row r="84" spans="1:39" outlineLevel="1" x14ac:dyDescent="0.25">
      <c r="A84" t="s">
        <v>186</v>
      </c>
      <c r="B84" s="111">
        <v>84.241910432886939</v>
      </c>
      <c r="C84" s="111">
        <v>84.558350821401191</v>
      </c>
      <c r="D84" s="111">
        <v>84.836690310970184</v>
      </c>
      <c r="E84" s="111">
        <v>85.076928901593931</v>
      </c>
      <c r="F84" s="111">
        <v>85.279066593272418</v>
      </c>
      <c r="G84" s="111">
        <v>85.44310338600566</v>
      </c>
      <c r="H84" s="111">
        <v>85.569039279793643</v>
      </c>
      <c r="I84" s="111">
        <v>85.656874274636394</v>
      </c>
      <c r="J84" s="111">
        <v>85.706608370533885</v>
      </c>
      <c r="K84" s="111">
        <v>85.718241567486132</v>
      </c>
      <c r="L84" s="111">
        <v>85.691773865493133</v>
      </c>
      <c r="M84" s="111">
        <v>85.627205264554874</v>
      </c>
      <c r="N84" s="111">
        <v>85.52453576467137</v>
      </c>
      <c r="O84" s="111">
        <v>85.383765365842621</v>
      </c>
      <c r="P84" s="111">
        <v>85.204894068068626</v>
      </c>
      <c r="Q84" s="111">
        <v>84.987921871349386</v>
      </c>
      <c r="R84" s="111">
        <v>84.732848775684886</v>
      </c>
      <c r="S84" s="111">
        <v>84.439674781075155</v>
      </c>
      <c r="T84" s="111">
        <v>84.14650078646541</v>
      </c>
      <c r="U84" s="111">
        <v>83.853326791855665</v>
      </c>
      <c r="V84" s="111">
        <v>83.560152797245919</v>
      </c>
      <c r="W84" s="111">
        <v>83.266978802636174</v>
      </c>
      <c r="X84" s="111">
        <v>82.973804808026415</v>
      </c>
      <c r="Y84" s="111">
        <v>82.68063081341667</v>
      </c>
      <c r="Z84" s="111">
        <v>82.387456818806925</v>
      </c>
      <c r="AA84" s="111">
        <v>82.09428282419718</v>
      </c>
      <c r="AB84" s="111">
        <v>81.80110882958742</v>
      </c>
      <c r="AC84" s="111">
        <v>81.507934834977675</v>
      </c>
      <c r="AD84" s="111">
        <v>81.21476084036793</v>
      </c>
      <c r="AE84" s="111">
        <v>80.921586845758185</v>
      </c>
      <c r="AF84" s="111">
        <v>80.628412851148397</v>
      </c>
      <c r="AG84" s="111">
        <v>80.300728154510892</v>
      </c>
      <c r="AH84" s="111">
        <v>80.180292498317542</v>
      </c>
      <c r="AI84" s="111">
        <v>80.097957741069436</v>
      </c>
      <c r="AJ84" s="111">
        <v>80.05372388276659</v>
      </c>
      <c r="AK84" s="111">
        <v>80.04759092340899</v>
      </c>
      <c r="AL84" s="111">
        <v>80.079558862996635</v>
      </c>
      <c r="AM84" s="111">
        <v>80.149627701529468</v>
      </c>
    </row>
    <row r="86" spans="1:39" outlineLevel="1" x14ac:dyDescent="0.25">
      <c r="A86" s="3" t="s">
        <v>249</v>
      </c>
      <c r="B86" s="47">
        <v>2013</v>
      </c>
      <c r="C86" s="47">
        <v>2014</v>
      </c>
      <c r="D86" s="47">
        <v>2015</v>
      </c>
      <c r="E86" s="47">
        <v>2016</v>
      </c>
      <c r="F86" s="47">
        <v>2017</v>
      </c>
      <c r="G86" s="47">
        <v>2018</v>
      </c>
      <c r="H86" s="47">
        <v>2019</v>
      </c>
      <c r="I86" s="47">
        <v>2020</v>
      </c>
      <c r="J86" s="47">
        <v>2021</v>
      </c>
      <c r="K86" s="47">
        <v>2022</v>
      </c>
      <c r="L86" s="47">
        <v>2023</v>
      </c>
      <c r="M86" s="47">
        <v>2024</v>
      </c>
      <c r="N86" s="47">
        <v>2025</v>
      </c>
      <c r="O86" s="47">
        <v>2026</v>
      </c>
      <c r="P86" s="47">
        <v>2027</v>
      </c>
      <c r="Q86" s="47">
        <v>2028</v>
      </c>
      <c r="R86" s="47">
        <v>2029</v>
      </c>
      <c r="S86" s="47">
        <v>2030</v>
      </c>
      <c r="T86" s="47">
        <v>2031</v>
      </c>
      <c r="U86" s="47">
        <v>2032</v>
      </c>
      <c r="V86" s="47">
        <v>2033</v>
      </c>
      <c r="W86" s="47">
        <v>2034</v>
      </c>
      <c r="X86" s="47">
        <v>2035</v>
      </c>
      <c r="Y86" s="47">
        <v>2036</v>
      </c>
      <c r="Z86" s="47">
        <v>2037</v>
      </c>
      <c r="AA86" s="47">
        <v>2038</v>
      </c>
      <c r="AB86" s="47">
        <v>2039</v>
      </c>
      <c r="AC86" s="47">
        <v>2040</v>
      </c>
      <c r="AD86" s="47">
        <v>2041</v>
      </c>
      <c r="AE86" s="47">
        <v>2042</v>
      </c>
      <c r="AF86" s="47">
        <v>2043</v>
      </c>
      <c r="AG86" s="47">
        <v>2044</v>
      </c>
      <c r="AH86" s="47">
        <v>2045</v>
      </c>
      <c r="AI86" s="47">
        <v>2046</v>
      </c>
      <c r="AJ86" s="47">
        <v>2047</v>
      </c>
      <c r="AK86" s="47">
        <v>2048</v>
      </c>
      <c r="AL86" s="47">
        <v>2049</v>
      </c>
      <c r="AM86" s="47">
        <v>2050</v>
      </c>
    </row>
    <row r="87" spans="1:39" outlineLevel="1" x14ac:dyDescent="0.25">
      <c r="A87" t="s">
        <v>171</v>
      </c>
      <c r="B87" s="49">
        <f>'Linéarisation mix'!B12*1000000-B77</f>
        <v>0</v>
      </c>
      <c r="C87" s="49">
        <f>'Linéarisation mix'!C12*1000000-C77</f>
        <v>639807.83419559221</v>
      </c>
      <c r="D87" s="49">
        <f>'Linéarisation mix'!D12*1000000-D77</f>
        <v>1279616.8076219168</v>
      </c>
      <c r="E87" s="49">
        <f>'Linéarisation mix'!E12*1000000-E77</f>
        <v>1919427.4735075424</v>
      </c>
      <c r="F87" s="49">
        <f>'Linéarisation mix'!F12*1000000-F77</f>
        <v>2559240.3689299515</v>
      </c>
      <c r="G87" s="49">
        <f>'Linéarisation mix'!G12*1000000-G77</f>
        <v>3199056.0110690114</v>
      </c>
      <c r="H87" s="49">
        <f>'Linéarisation mix'!H12*1000000-H77</f>
        <v>3838874.8936304986</v>
      </c>
      <c r="I87" s="49">
        <f>'Linéarisation mix'!I12*1000000-I77</f>
        <v>4478697.483464173</v>
      </c>
      <c r="J87" s="49">
        <f>'Linéarisation mix'!J12*1000000-J77</f>
        <v>5118524.2173993234</v>
      </c>
      <c r="K87" s="49">
        <f>'Linéarisation mix'!K12*1000000-K77</f>
        <v>5758355.4993189797</v>
      </c>
      <c r="L87" s="49">
        <f>'Linéarisation mix'!L12*1000000-L77</f>
        <v>6398191.6974921143</v>
      </c>
      <c r="M87" s="49">
        <f>'Linéarisation mix'!M12*1000000-M77</f>
        <v>7038033.1421811804</v>
      </c>
      <c r="N87" s="49">
        <f>'Linéarisation mix'!N12*1000000-N77</f>
        <v>7677880.1235401938</v>
      </c>
      <c r="O87" s="49">
        <f>'Linéarisation mix'!O12*1000000-O77</f>
        <v>8317732.8898163829</v>
      </c>
      <c r="P87" s="49">
        <f>'Linéarisation mix'!P12*1000000-P77</f>
        <v>8957591.6458661985</v>
      </c>
      <c r="Q87" s="49">
        <f>'Linéarisation mix'!Q12*1000000-Q77</f>
        <v>9597456.551994022</v>
      </c>
      <c r="R87" s="49">
        <f>'Linéarisation mix'!R12*1000000-R77</f>
        <v>10237327.723119691</v>
      </c>
      <c r="S87" s="49">
        <f>'Linéarisation mix'!S12*1000000-S77</f>
        <v>10877205.228278387</v>
      </c>
      <c r="T87" s="49">
        <f>'Linéarisation mix'!T12*1000000-T77</f>
        <v>11517089.090454137</v>
      </c>
      <c r="U87" s="49">
        <f>'Linéarisation mix'!U12*1000000-U77</f>
        <v>12156979.286745712</v>
      </c>
      <c r="V87" s="49">
        <f>'Linéarisation mix'!V12*1000000-V77</f>
        <v>12796875.74886135</v>
      </c>
      <c r="W87" s="49">
        <f>'Linéarisation mix'!W12*1000000-W77</f>
        <v>13436778.36393635</v>
      </c>
      <c r="X87" s="49">
        <f>'Linéarisation mix'!X12*1000000-X77</f>
        <v>14076686.975665394</v>
      </c>
      <c r="Y87" s="49">
        <f>'Linéarisation mix'!Y12*1000000-Y77</f>
        <v>14716601.385739099</v>
      </c>
      <c r="Z87" s="49">
        <f>'Linéarisation mix'!Z12*1000000-Z77</f>
        <v>15356521.355572388</v>
      </c>
      <c r="AA87" s="49">
        <f>'Linéarisation mix'!AA12*1000000-AA77</f>
        <v>15996446.608310049</v>
      </c>
      <c r="AB87" s="49">
        <f>'Linéarisation mix'!AB12*1000000-AB77</f>
        <v>16636376.831093147</v>
      </c>
      <c r="AC87" s="49">
        <f>'Linéarisation mix'!AC12*1000000-AC77</f>
        <v>17276311.677568056</v>
      </c>
      <c r="AD87" s="49">
        <f>'Linéarisation mix'!AD12*1000000-AD77</f>
        <v>17916250.770618323</v>
      </c>
      <c r="AE87" s="49">
        <f>'Linéarisation mix'!AE12*1000000-AE77</f>
        <v>18556193.7052982</v>
      </c>
      <c r="AF87" s="49">
        <f>'Linéarisation mix'!AF12*1000000-AF77</f>
        <v>19196140.051945142</v>
      </c>
      <c r="AG87" s="49">
        <f>'Linéarisation mix'!AG12*1000000-AG77</f>
        <v>19836089.359447733</v>
      </c>
      <c r="AH87" s="49">
        <f>'Linéarisation mix'!AH12*1000000-AH77</f>
        <v>20476041.158644363</v>
      </c>
      <c r="AI87" s="49">
        <f>'Linéarisation mix'!AI12*1000000-AI77</f>
        <v>21115994.96582729</v>
      </c>
      <c r="AJ87" s="49">
        <f>'Linéarisation mix'!AJ12*1000000-AJ77</f>
        <v>21755950.286326077</v>
      </c>
      <c r="AK87" s="49">
        <f>'Linéarisation mix'!AK12*1000000-AK77</f>
        <v>22395906.618144158</v>
      </c>
      <c r="AL87" s="49">
        <f>'Linéarisation mix'!AL12*1000000-AL77</f>
        <v>23035863.45562188</v>
      </c>
      <c r="AM87" s="49">
        <f>'Linéarisation mix'!AM12*1000000-AM77</f>
        <v>23675820.293099608</v>
      </c>
    </row>
    <row r="88" spans="1:39" outlineLevel="1" x14ac:dyDescent="0.25">
      <c r="A88" t="s">
        <v>185</v>
      </c>
      <c r="B88" s="60">
        <f>LCOE!B17</f>
        <v>300</v>
      </c>
      <c r="C88" s="60">
        <f>LCOE!C17</f>
        <v>294.11764705882354</v>
      </c>
      <c r="D88" s="60">
        <f>LCOE!D17</f>
        <v>288.23529411764707</v>
      </c>
      <c r="E88" s="60">
        <f>LCOE!E17</f>
        <v>282.35294117647061</v>
      </c>
      <c r="F88" s="60">
        <f>LCOE!F17</f>
        <v>276.47058823529414</v>
      </c>
      <c r="G88" s="60">
        <f>LCOE!G17</f>
        <v>270.58823529411768</v>
      </c>
      <c r="H88" s="60">
        <f>LCOE!H17</f>
        <v>264.70588235294122</v>
      </c>
      <c r="I88" s="60">
        <f>LCOE!I17</f>
        <v>258.82352941176475</v>
      </c>
      <c r="J88" s="60">
        <f>LCOE!J17</f>
        <v>252.94117647058829</v>
      </c>
      <c r="K88" s="60">
        <f>LCOE!K17</f>
        <v>247.05882352941182</v>
      </c>
      <c r="L88" s="60">
        <f>LCOE!L17</f>
        <v>241.17647058823536</v>
      </c>
      <c r="M88" s="60">
        <f>LCOE!M17</f>
        <v>235.2941176470589</v>
      </c>
      <c r="N88" s="60">
        <f>LCOE!N17</f>
        <v>229.41176470588243</v>
      </c>
      <c r="O88" s="60">
        <f>LCOE!O17</f>
        <v>223.52941176470597</v>
      </c>
      <c r="P88" s="60">
        <f>LCOE!P17</f>
        <v>217.64705882352951</v>
      </c>
      <c r="Q88" s="60">
        <f>LCOE!Q17</f>
        <v>211.76470588235304</v>
      </c>
      <c r="R88" s="60">
        <f>LCOE!R17</f>
        <v>205.88235294117658</v>
      </c>
      <c r="S88" s="60">
        <f>LCOE!S17</f>
        <v>200</v>
      </c>
      <c r="T88" s="60">
        <f>LCOE!T17</f>
        <v>195.5</v>
      </c>
      <c r="U88" s="60">
        <f>LCOE!U17</f>
        <v>191</v>
      </c>
      <c r="V88" s="60">
        <f>LCOE!V17</f>
        <v>186.5</v>
      </c>
      <c r="W88" s="60">
        <f>LCOE!W17</f>
        <v>182</v>
      </c>
      <c r="X88" s="60">
        <f>LCOE!X17</f>
        <v>177.5</v>
      </c>
      <c r="Y88" s="60">
        <f>LCOE!Y17</f>
        <v>173</v>
      </c>
      <c r="Z88" s="60">
        <f>LCOE!Z17</f>
        <v>168.5</v>
      </c>
      <c r="AA88" s="60">
        <f>LCOE!AA17</f>
        <v>164</v>
      </c>
      <c r="AB88" s="60">
        <f>LCOE!AB17</f>
        <v>159.5</v>
      </c>
      <c r="AC88" s="60">
        <f>LCOE!AC17</f>
        <v>155</v>
      </c>
      <c r="AD88" s="60">
        <f>LCOE!AD17</f>
        <v>150.5</v>
      </c>
      <c r="AE88" s="60">
        <f>LCOE!AE17</f>
        <v>146</v>
      </c>
      <c r="AF88" s="60">
        <f>LCOE!AF17</f>
        <v>141.5</v>
      </c>
      <c r="AG88" s="60">
        <f>LCOE!AG17</f>
        <v>137</v>
      </c>
      <c r="AH88" s="60">
        <f>LCOE!AH17</f>
        <v>132.5</v>
      </c>
      <c r="AI88" s="60">
        <f>LCOE!AI17</f>
        <v>128</v>
      </c>
      <c r="AJ88" s="60">
        <f>LCOE!AJ17</f>
        <v>123.5</v>
      </c>
      <c r="AK88" s="60">
        <f>LCOE!AK17</f>
        <v>119</v>
      </c>
      <c r="AL88" s="60">
        <f>LCOE!AL17</f>
        <v>114.5</v>
      </c>
      <c r="AM88" s="60">
        <f>LCOE!AM17</f>
        <v>110</v>
      </c>
    </row>
    <row r="89" spans="1:39" outlineLevel="1" x14ac:dyDescent="0.25">
      <c r="A89" t="s">
        <v>127</v>
      </c>
      <c r="B89" s="48">
        <v>0</v>
      </c>
      <c r="C89" s="64">
        <f t="shared" ref="C89" si="26">B89+C87-B87</f>
        <v>639807.83419559221</v>
      </c>
      <c r="D89" s="64">
        <f t="shared" ref="D89" si="27">C89+D87-C87</f>
        <v>1279616.8076219168</v>
      </c>
      <c r="E89" s="64">
        <f t="shared" ref="E89" si="28">D89+E87-D87</f>
        <v>1919427.4735075422</v>
      </c>
      <c r="F89" s="64">
        <f t="shared" ref="F89" si="29">E89+F87-E87</f>
        <v>2559240.3689299515</v>
      </c>
      <c r="G89" s="64">
        <f t="shared" ref="G89" si="30">F89+G87-F87</f>
        <v>3199056.0110690119</v>
      </c>
      <c r="H89" s="64">
        <f t="shared" ref="H89" si="31">G89+H87-G87</f>
        <v>3838874.8936304986</v>
      </c>
      <c r="I89" s="64">
        <f t="shared" ref="I89" si="32">H89+I87-H87</f>
        <v>4478697.4834641721</v>
      </c>
      <c r="J89" s="64">
        <f t="shared" ref="J89" si="33">I89+J87-I87</f>
        <v>5118524.2173993224</v>
      </c>
      <c r="K89" s="64">
        <f t="shared" ref="K89" si="34">J89+K87-J87</f>
        <v>5758355.4993189778</v>
      </c>
      <c r="L89" s="64">
        <f t="shared" ref="L89" si="35">K89+L87-K87</f>
        <v>6398191.6974921115</v>
      </c>
      <c r="M89" s="64">
        <f t="shared" ref="M89" si="36">L89+M87-L87</f>
        <v>7038033.1421811776</v>
      </c>
      <c r="N89" s="64">
        <f t="shared" ref="N89" si="37">M89+N87-M87</f>
        <v>7677880.123540191</v>
      </c>
      <c r="O89" s="64">
        <f t="shared" ref="O89" si="38">N89+O87-N87</f>
        <v>8317732.8898163801</v>
      </c>
      <c r="P89" s="64">
        <f t="shared" ref="P89" si="39">O89+P87-O87</f>
        <v>8957591.6458661947</v>
      </c>
      <c r="Q89" s="64">
        <f t="shared" ref="Q89" si="40">P89+Q87-P87</f>
        <v>9597456.5519940201</v>
      </c>
      <c r="R89" s="64">
        <f t="shared" ref="R89" si="41">Q89+R87-Q87</f>
        <v>10237327.723119687</v>
      </c>
      <c r="S89" s="64">
        <f t="shared" ref="S89" si="42">R89+S87-R87</f>
        <v>10877205.228278384</v>
      </c>
      <c r="T89" s="64">
        <f t="shared" ref="T89" si="43">S89+T87-S87</f>
        <v>11517089.090454135</v>
      </c>
      <c r="U89" s="64">
        <f t="shared" ref="U89" si="44">T89+U87-T87</f>
        <v>12156979.28674571</v>
      </c>
      <c r="V89" s="64">
        <f t="shared" ref="V89" si="45">U89+V87-U87</f>
        <v>12796875.74886135</v>
      </c>
      <c r="W89" s="64">
        <f t="shared" ref="W89" si="46">V89+W87-V87</f>
        <v>13436778.36393635</v>
      </c>
      <c r="X89" s="64">
        <f t="shared" ref="X89" si="47">W89+X87-W87</f>
        <v>14076686.975665394</v>
      </c>
      <c r="Y89" s="64">
        <f t="shared" ref="Y89" si="48">X89+Y87-X87</f>
        <v>14716601.385739099</v>
      </c>
      <c r="Z89" s="64">
        <f t="shared" ref="Z89" si="49">Y89+Z87-Y87</f>
        <v>15356521.355572388</v>
      </c>
      <c r="AA89" s="64">
        <f t="shared" ref="AA89" si="50">Z89+AA87-Z87</f>
        <v>15996446.608310051</v>
      </c>
      <c r="AB89" s="64">
        <f t="shared" ref="AB89" si="51">AA89+AB87-AA87</f>
        <v>16636376.831093149</v>
      </c>
      <c r="AC89" s="64">
        <f t="shared" ref="AC89" si="52">AB89+AC87-AB87</f>
        <v>17276311.677568056</v>
      </c>
      <c r="AD89" s="64">
        <f t="shared" ref="AD89" si="53">AC89+AD87-AC87</f>
        <v>17916250.770618327</v>
      </c>
      <c r="AE89" s="64">
        <f t="shared" ref="AE89" si="54">AD89+AE87-AD87</f>
        <v>18556193.705298204</v>
      </c>
      <c r="AF89" s="64">
        <f t="shared" ref="AF89" si="55">AE89+AF87-AE87</f>
        <v>19196140.05194515</v>
      </c>
      <c r="AG89" s="64">
        <f t="shared" ref="AG89" si="56">AF89+AG87-AF87</f>
        <v>19836089.35944774</v>
      </c>
      <c r="AH89" s="64">
        <f t="shared" ref="AH89" si="57">AG89+AH87-AG87</f>
        <v>20476041.158644371</v>
      </c>
      <c r="AI89" s="64">
        <f t="shared" ref="AI89" si="58">AH89+AI87-AH87</f>
        <v>21115994.965827301</v>
      </c>
      <c r="AJ89" s="64">
        <f t="shared" ref="AJ89" si="59">AI89+AJ87-AI87</f>
        <v>21755950.286326092</v>
      </c>
      <c r="AK89" s="64">
        <f t="shared" ref="AK89" si="60">AJ89+AK87-AJ87</f>
        <v>22395906.618144173</v>
      </c>
      <c r="AL89" s="64">
        <f t="shared" ref="AL89" si="61">AK89+AL87-AK87</f>
        <v>23035863.455621894</v>
      </c>
      <c r="AM89" s="64">
        <f t="shared" ref="AM89" si="62">AL89+AM87-AL87</f>
        <v>23675820.293099623</v>
      </c>
    </row>
    <row r="90" spans="1:39" outlineLevel="1" x14ac:dyDescent="0.25">
      <c r="A90" t="s">
        <v>188</v>
      </c>
      <c r="B90" s="48"/>
      <c r="C90" s="42"/>
      <c r="D90" s="42"/>
      <c r="E90" s="42"/>
      <c r="F90" s="42"/>
      <c r="G90" s="42"/>
      <c r="H90" s="42"/>
      <c r="I90" s="42"/>
      <c r="J90" s="42"/>
      <c r="K90" s="42"/>
      <c r="L90" s="42"/>
      <c r="M90" s="49"/>
      <c r="N90" s="42"/>
      <c r="O90" s="42"/>
      <c r="P90" s="42"/>
      <c r="Q90" s="42"/>
      <c r="R90" s="42"/>
      <c r="S90" s="43"/>
      <c r="T90" s="42"/>
      <c r="U90" s="42"/>
      <c r="V90" s="42"/>
      <c r="W90" s="42"/>
      <c r="X90" s="42"/>
      <c r="Y90" s="42"/>
      <c r="Z90" s="42"/>
      <c r="AA90" s="42"/>
      <c r="AB90" s="42"/>
      <c r="AC90" s="42"/>
      <c r="AD90" s="42"/>
      <c r="AE90" s="49"/>
      <c r="AF90" s="49"/>
      <c r="AG90" s="49"/>
      <c r="AH90" s="49"/>
      <c r="AI90" s="49"/>
      <c r="AJ90" s="49"/>
      <c r="AK90" s="49"/>
      <c r="AL90" s="42"/>
      <c r="AM90" s="104">
        <f>AM92/AM94</f>
        <v>0.207731794387751</v>
      </c>
    </row>
    <row r="91" spans="1:39" outlineLevel="1" x14ac:dyDescent="0.25">
      <c r="A91" t="s">
        <v>206</v>
      </c>
      <c r="B91" s="58">
        <v>25</v>
      </c>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row>
    <row r="92" spans="1:39" outlineLevel="1" x14ac:dyDescent="0.25">
      <c r="A92" t="s">
        <v>107</v>
      </c>
      <c r="B92" s="41">
        <f t="shared" ref="B92:AK92" si="63">$AM90*B94</f>
        <v>0</v>
      </c>
      <c r="C92" s="41">
        <f t="shared" si="63"/>
        <v>39.090714547291483</v>
      </c>
      <c r="D92" s="41">
        <f t="shared" si="63"/>
        <v>77.399683015800491</v>
      </c>
      <c r="E92" s="41">
        <f t="shared" si="63"/>
        <v>114.92693507025024</v>
      </c>
      <c r="F92" s="41">
        <f t="shared" si="63"/>
        <v>151.6724974197233</v>
      </c>
      <c r="G92" s="41">
        <f t="shared" si="63"/>
        <v>187.63639368601338</v>
      </c>
      <c r="H92" s="41">
        <f t="shared" si="63"/>
        <v>222.8186443042184</v>
      </c>
      <c r="I92" s="41">
        <f t="shared" si="63"/>
        <v>257.2192664556452</v>
      </c>
      <c r="J92" s="41">
        <f t="shared" si="63"/>
        <v>290.83827403280361</v>
      </c>
      <c r="K92" s="41">
        <f t="shared" si="63"/>
        <v>323.6756776359835</v>
      </c>
      <c r="L92" s="41">
        <f t="shared" si="63"/>
        <v>355.73148460063305</v>
      </c>
      <c r="M92" s="41">
        <f t="shared" si="63"/>
        <v>387.00569905449436</v>
      </c>
      <c r="N92" s="41">
        <f t="shared" si="63"/>
        <v>417.49832200320293</v>
      </c>
      <c r="O92" s="41">
        <f t="shared" si="63"/>
        <v>447.20935144282481</v>
      </c>
      <c r="P92" s="41">
        <f t="shared" si="63"/>
        <v>476.1387824975946</v>
      </c>
      <c r="Q92" s="41">
        <f t="shared" si="63"/>
        <v>504.28660758091564</v>
      </c>
      <c r="R92" s="41">
        <f t="shared" si="63"/>
        <v>531.65281657751825</v>
      </c>
      <c r="S92" s="41">
        <f t="shared" si="63"/>
        <v>558.23739704451293</v>
      </c>
      <c r="T92" s="41">
        <f t="shared" si="63"/>
        <v>584.22408261941666</v>
      </c>
      <c r="U92" s="41">
        <f t="shared" si="63"/>
        <v>609.61286050859144</v>
      </c>
      <c r="V92" s="41">
        <f t="shared" si="63"/>
        <v>634.40371622410407</v>
      </c>
      <c r="W92" s="41">
        <f t="shared" si="63"/>
        <v>658.59663378435982</v>
      </c>
      <c r="X92" s="41">
        <f t="shared" si="63"/>
        <v>682.19159592252004</v>
      </c>
      <c r="Y92" s="41">
        <f t="shared" si="63"/>
        <v>705.18858430055991</v>
      </c>
      <c r="Z92" s="41">
        <f t="shared" si="63"/>
        <v>727.58757972682713</v>
      </c>
      <c r="AA92" s="41">
        <f t="shared" si="63"/>
        <v>749.38856237496475</v>
      </c>
      <c r="AB92" s="41">
        <f t="shared" si="63"/>
        <v>752.69969195380827</v>
      </c>
      <c r="AC92" s="41">
        <f t="shared" si="63"/>
        <v>755.59646289533055</v>
      </c>
      <c r="AD92" s="41">
        <f t="shared" si="63"/>
        <v>758.07884026643296</v>
      </c>
      <c r="AE92" s="41">
        <f t="shared" si="63"/>
        <v>760.14679026189879</v>
      </c>
      <c r="AF92" s="41">
        <f t="shared" si="63"/>
        <v>761.80028048185375</v>
      </c>
      <c r="AG92" s="41">
        <f t="shared" si="63"/>
        <v>763.03928018921408</v>
      </c>
      <c r="AH92" s="41">
        <f t="shared" si="63"/>
        <v>763.86376054521713</v>
      </c>
      <c r="AI92" s="41">
        <f t="shared" si="63"/>
        <v>764.27369482136874</v>
      </c>
      <c r="AJ92" s="41">
        <f t="shared" si="63"/>
        <v>764.26905858638156</v>
      </c>
      <c r="AK92" s="41">
        <f t="shared" si="63"/>
        <v>763.84982986692671</v>
      </c>
      <c r="AL92" s="41">
        <f>$AM90*AL94</f>
        <v>763.01598928128089</v>
      </c>
      <c r="AM92" s="41">
        <f>LCOE!AS17*1000*('Capacités installées'!B13+'Capacités installées'!B15)/1000000</f>
        <v>761.76752014521003</v>
      </c>
    </row>
    <row r="93" spans="1:39" outlineLevel="1" x14ac:dyDescent="0.25">
      <c r="A93" t="s">
        <v>111</v>
      </c>
      <c r="B93" s="13">
        <f>B94-B92</f>
        <v>0</v>
      </c>
      <c r="C93" s="13">
        <f t="shared" ref="C93:AM93" si="64">C94-C92</f>
        <v>149.08806021611798</v>
      </c>
      <c r="D93" s="13">
        <f t="shared" si="64"/>
        <v>295.1946193822555</v>
      </c>
      <c r="E93" s="13">
        <f t="shared" si="64"/>
        <v>438.31979063668837</v>
      </c>
      <c r="F93" s="13">
        <f t="shared" si="64"/>
        <v>578.46367584517554</v>
      </c>
      <c r="G93" s="13">
        <f t="shared" si="64"/>
        <v>715.62636509886647</v>
      </c>
      <c r="H93" s="13">
        <f t="shared" si="64"/>
        <v>849.8079363351726</v>
      </c>
      <c r="I93" s="13">
        <f t="shared" si="64"/>
        <v>981.00845508187342</v>
      </c>
      <c r="J93" s="13">
        <f t="shared" si="64"/>
        <v>1109.2279743236061</v>
      </c>
      <c r="K93" s="13">
        <f t="shared" si="64"/>
        <v>1234.4665344888119</v>
      </c>
      <c r="L93" s="13">
        <f t="shared" si="64"/>
        <v>1356.7241635541536</v>
      </c>
      <c r="M93" s="13">
        <f t="shared" si="64"/>
        <v>1476.0008772624255</v>
      </c>
      <c r="N93" s="13">
        <f t="shared" si="64"/>
        <v>1592.2966794490201</v>
      </c>
      <c r="O93" s="13">
        <f t="shared" si="64"/>
        <v>1705.6115624711347</v>
      </c>
      <c r="P93" s="13">
        <f t="shared" si="64"/>
        <v>1815.9455077330895</v>
      </c>
      <c r="Q93" s="13">
        <f t="shared" si="64"/>
        <v>1923.2984863003662</v>
      </c>
      <c r="R93" s="13">
        <f t="shared" si="64"/>
        <v>2027.6704595943427</v>
      </c>
      <c r="S93" s="13">
        <f t="shared" si="64"/>
        <v>2129.0613801590875</v>
      </c>
      <c r="T93" s="13">
        <f t="shared" si="64"/>
        <v>2228.171989639543</v>
      </c>
      <c r="U93" s="13">
        <f t="shared" si="64"/>
        <v>2325.0022392420587</v>
      </c>
      <c r="V93" s="13">
        <f t="shared" si="64"/>
        <v>2419.5520737111128</v>
      </c>
      <c r="W93" s="13">
        <f t="shared" si="64"/>
        <v>2511.8214320945067</v>
      </c>
      <c r="X93" s="13">
        <f t="shared" si="64"/>
        <v>2601.8102485382515</v>
      </c>
      <c r="Y93" s="13">
        <f t="shared" si="64"/>
        <v>2689.5184531029631</v>
      </c>
      <c r="Z93" s="13">
        <f t="shared" si="64"/>
        <v>2774.9459725936049</v>
      </c>
      <c r="AA93" s="13">
        <f t="shared" si="64"/>
        <v>2858.0927313944439</v>
      </c>
      <c r="AB93" s="13">
        <f t="shared" si="64"/>
        <v>2870.7210471402914</v>
      </c>
      <c r="AC93" s="13">
        <f t="shared" si="64"/>
        <v>2881.7690406488136</v>
      </c>
      <c r="AD93" s="13">
        <f t="shared" si="64"/>
        <v>2891.2365786886803</v>
      </c>
      <c r="AE93" s="13">
        <f t="shared" si="64"/>
        <v>2899.1235323301889</v>
      </c>
      <c r="AF93" s="13">
        <f t="shared" si="64"/>
        <v>2905.4297780034722</v>
      </c>
      <c r="AG93" s="13">
        <f t="shared" si="64"/>
        <v>2910.1551984803791</v>
      </c>
      <c r="AH93" s="13">
        <f t="shared" si="64"/>
        <v>2913.2996837727637</v>
      </c>
      <c r="AI93" s="13">
        <f t="shared" si="64"/>
        <v>2914.863131940835</v>
      </c>
      <c r="AJ93" s="13">
        <f t="shared" si="64"/>
        <v>2914.8454498061146</v>
      </c>
      <c r="AK93" s="13">
        <f t="shared" si="64"/>
        <v>2913.2465535645324</v>
      </c>
      <c r="AL93" s="13">
        <f t="shared" si="64"/>
        <v>2910.066369296143</v>
      </c>
      <c r="AM93" s="13">
        <f t="shared" si="64"/>
        <v>2905.3048333689521</v>
      </c>
    </row>
    <row r="94" spans="1:39" outlineLevel="1" x14ac:dyDescent="0.25">
      <c r="A94" t="s">
        <v>186</v>
      </c>
      <c r="B94" s="111">
        <v>0</v>
      </c>
      <c r="C94" s="111">
        <v>188.17877476340948</v>
      </c>
      <c r="D94" s="111">
        <v>372.59430239805602</v>
      </c>
      <c r="E94" s="111">
        <v>553.24672570693861</v>
      </c>
      <c r="F94" s="111">
        <v>730.13617326489884</v>
      </c>
      <c r="G94" s="111">
        <v>903.26275878487979</v>
      </c>
      <c r="H94" s="111">
        <v>1072.626580639391</v>
      </c>
      <c r="I94" s="111">
        <v>1238.2277215375186</v>
      </c>
      <c r="J94" s="111">
        <v>1400.0662483564097</v>
      </c>
      <c r="K94" s="111">
        <v>1558.1422121247954</v>
      </c>
      <c r="L94" s="111">
        <v>1712.4556481547868</v>
      </c>
      <c r="M94" s="111">
        <v>1863.00657631692</v>
      </c>
      <c r="N94" s="111">
        <v>2009.795001452223</v>
      </c>
      <c r="O94" s="111">
        <v>2152.8209139139594</v>
      </c>
      <c r="P94" s="111">
        <v>2292.084290230684</v>
      </c>
      <c r="Q94" s="111">
        <v>2427.5850938812819</v>
      </c>
      <c r="R94" s="111">
        <v>2559.3232761718609</v>
      </c>
      <c r="S94" s="111">
        <v>2687.2987772036004</v>
      </c>
      <c r="T94" s="111">
        <v>2812.3960722589595</v>
      </c>
      <c r="U94" s="111">
        <v>2934.6150997506502</v>
      </c>
      <c r="V94" s="111">
        <v>3053.9557899352167</v>
      </c>
      <c r="W94" s="111">
        <v>3170.4180658788664</v>
      </c>
      <c r="X94" s="111">
        <v>3284.0018444607717</v>
      </c>
      <c r="Y94" s="111">
        <v>3394.7070374035229</v>
      </c>
      <c r="Z94" s="111">
        <v>3502.5335523204321</v>
      </c>
      <c r="AA94" s="111">
        <v>3607.4812937694087</v>
      </c>
      <c r="AB94" s="111">
        <v>3623.4207390940996</v>
      </c>
      <c r="AC94" s="111">
        <v>3637.3655035441443</v>
      </c>
      <c r="AD94" s="111">
        <v>3649.3154189551133</v>
      </c>
      <c r="AE94" s="111">
        <v>3659.2703225920877</v>
      </c>
      <c r="AF94" s="111">
        <v>3667.230058485326</v>
      </c>
      <c r="AG94" s="111">
        <v>3673.1944786695931</v>
      </c>
      <c r="AH94" s="111">
        <v>3677.163444317981</v>
      </c>
      <c r="AI94" s="111">
        <v>3679.1368267622038</v>
      </c>
      <c r="AJ94" s="111">
        <v>3679.1145083924962</v>
      </c>
      <c r="AK94" s="111">
        <v>3677.0963834314593</v>
      </c>
      <c r="AL94" s="111">
        <v>3673.0823585774237</v>
      </c>
      <c r="AM94" s="111">
        <v>3667.0723535141619</v>
      </c>
    </row>
    <row r="95" spans="1:39" outlineLevel="1" x14ac:dyDescent="0.25"/>
    <row r="96" spans="1:39" ht="23.25" x14ac:dyDescent="0.25">
      <c r="A96" s="62" t="s">
        <v>18</v>
      </c>
    </row>
    <row r="98" spans="1:39" outlineLevel="1" x14ac:dyDescent="0.25">
      <c r="A98" s="3" t="s">
        <v>130</v>
      </c>
      <c r="B98" s="47">
        <v>2013</v>
      </c>
      <c r="C98" s="47">
        <v>2014</v>
      </c>
      <c r="D98" s="47">
        <v>2015</v>
      </c>
      <c r="E98" s="47">
        <v>2016</v>
      </c>
      <c r="F98" s="47">
        <v>2017</v>
      </c>
      <c r="G98" s="47">
        <v>2018</v>
      </c>
      <c r="H98" s="47">
        <v>2019</v>
      </c>
      <c r="I98" s="47">
        <v>2020</v>
      </c>
      <c r="J98" s="47">
        <v>2021</v>
      </c>
      <c r="K98" s="47">
        <v>2022</v>
      </c>
      <c r="L98" s="47">
        <v>2023</v>
      </c>
      <c r="M98" s="47">
        <v>2024</v>
      </c>
      <c r="N98" s="47">
        <v>2025</v>
      </c>
      <c r="O98" s="47">
        <v>2026</v>
      </c>
      <c r="P98" s="47">
        <v>2027</v>
      </c>
      <c r="Q98" s="47">
        <v>2028</v>
      </c>
      <c r="R98" s="47">
        <v>2029</v>
      </c>
      <c r="S98" s="47">
        <v>2030</v>
      </c>
      <c r="T98" s="47">
        <v>2031</v>
      </c>
      <c r="U98" s="47">
        <v>2032</v>
      </c>
      <c r="V98" s="47">
        <v>2033</v>
      </c>
      <c r="W98" s="47">
        <v>2034</v>
      </c>
      <c r="X98" s="47">
        <v>2035</v>
      </c>
      <c r="Y98" s="47">
        <v>2036</v>
      </c>
      <c r="Z98" s="47">
        <v>2037</v>
      </c>
      <c r="AA98" s="47">
        <v>2038</v>
      </c>
      <c r="AB98" s="47">
        <v>2039</v>
      </c>
      <c r="AC98" s="47">
        <v>2040</v>
      </c>
      <c r="AD98" s="47">
        <v>2041</v>
      </c>
      <c r="AE98" s="47">
        <v>2042</v>
      </c>
      <c r="AF98" s="47">
        <v>2043</v>
      </c>
      <c r="AG98" s="47">
        <v>2044</v>
      </c>
      <c r="AH98" s="47">
        <v>2045</v>
      </c>
      <c r="AI98" s="47">
        <v>2046</v>
      </c>
      <c r="AJ98" s="47">
        <v>2047</v>
      </c>
      <c r="AK98" s="47">
        <v>2048</v>
      </c>
      <c r="AL98" s="47">
        <v>2049</v>
      </c>
      <c r="AM98" s="47">
        <v>2050</v>
      </c>
    </row>
    <row r="99" spans="1:39" outlineLevel="1" x14ac:dyDescent="0.25">
      <c r="A99" t="s">
        <v>171</v>
      </c>
      <c r="B99" s="49">
        <f>'Linéarisation mix'!B11*1000000</f>
        <v>12025.420000000004</v>
      </c>
      <c r="C99" s="49">
        <f>'Linéarisation mix'!C11*1000000</f>
        <v>43662.570810811587</v>
      </c>
      <c r="D99" s="49">
        <f>'Linéarisation mix'!D11*1000000</f>
        <v>75299.721621623175</v>
      </c>
      <c r="E99" s="49">
        <f>'Linéarisation mix'!E11*1000000</f>
        <v>106936.87243243474</v>
      </c>
      <c r="F99" s="49">
        <f>'Linéarisation mix'!F11*1000000</f>
        <v>138574.02324324631</v>
      </c>
      <c r="G99" s="49">
        <f>'Linéarisation mix'!G11*1000000</f>
        <v>170211.17405405783</v>
      </c>
      <c r="H99" s="49">
        <f>'Linéarisation mix'!H11*1000000</f>
        <v>201848.32486486936</v>
      </c>
      <c r="I99" s="49">
        <f>'Linéarisation mix'!I11*1000000</f>
        <v>233485.47567568088</v>
      </c>
      <c r="J99" s="49">
        <f>'Linéarisation mix'!J11*1000000</f>
        <v>265122.6264864924</v>
      </c>
      <c r="K99" s="49">
        <f>'Linéarisation mix'!K11*1000000</f>
        <v>296759.77729730384</v>
      </c>
      <c r="L99" s="49">
        <f>'Linéarisation mix'!L11*1000000</f>
        <v>328396.92810811527</v>
      </c>
      <c r="M99" s="49">
        <f>'Linéarisation mix'!M11*1000000</f>
        <v>360034.07891892665</v>
      </c>
      <c r="N99" s="49">
        <f>'Linéarisation mix'!N11*1000000</f>
        <v>391671.22972973803</v>
      </c>
      <c r="O99" s="49">
        <f>'Linéarisation mix'!O11*1000000</f>
        <v>423308.38054054929</v>
      </c>
      <c r="P99" s="49">
        <f>'Linéarisation mix'!P11*1000000</f>
        <v>454945.53135136055</v>
      </c>
      <c r="Q99" s="49">
        <f>'Linéarisation mix'!Q11*1000000</f>
        <v>486582.68216217181</v>
      </c>
      <c r="R99" s="49">
        <f>'Linéarisation mix'!R11*1000000</f>
        <v>518219.83297298301</v>
      </c>
      <c r="S99" s="49">
        <f>'Linéarisation mix'!S11*1000000</f>
        <v>549856.9837837941</v>
      </c>
      <c r="T99" s="49">
        <f>'Linéarisation mix'!T11*1000000</f>
        <v>581494.13459460507</v>
      </c>
      <c r="U99" s="49">
        <f>'Linéarisation mix'!U11*1000000</f>
        <v>613131.28540541604</v>
      </c>
      <c r="V99" s="49">
        <f>'Linéarisation mix'!V11*1000000</f>
        <v>644768.4362162269</v>
      </c>
      <c r="W99" s="49">
        <f>'Linéarisation mix'!W11*1000000</f>
        <v>676405.58702703763</v>
      </c>
      <c r="X99" s="49">
        <f>'Linéarisation mix'!X11*1000000</f>
        <v>708042.73783784849</v>
      </c>
      <c r="Y99" s="49">
        <f>'Linéarisation mix'!Y11*1000000</f>
        <v>739679.88864865911</v>
      </c>
      <c r="Z99" s="49">
        <f>'Linéarisation mix'!Z11*1000000</f>
        <v>771317.03945946961</v>
      </c>
      <c r="AA99" s="49">
        <f>'Linéarisation mix'!AA11*1000000</f>
        <v>802954.19027028012</v>
      </c>
      <c r="AB99" s="49">
        <f>'Linéarisation mix'!AB11*1000000</f>
        <v>834591.34108109062</v>
      </c>
      <c r="AC99" s="49">
        <f>'Linéarisation mix'!AC11*1000000</f>
        <v>866228.49189190089</v>
      </c>
      <c r="AD99" s="49">
        <f>'Linéarisation mix'!AD11*1000000</f>
        <v>897865.64270271116</v>
      </c>
      <c r="AE99" s="49">
        <f>'Linéarisation mix'!AE11*1000000</f>
        <v>929502.79351352144</v>
      </c>
      <c r="AF99" s="49">
        <f>'Linéarisation mix'!AF11*1000000</f>
        <v>961139.94432433159</v>
      </c>
      <c r="AG99" s="49">
        <f>'Linéarisation mix'!AG11*1000000</f>
        <v>992777.09513514163</v>
      </c>
      <c r="AH99" s="49">
        <f>'Linéarisation mix'!AH11*1000000</f>
        <v>1024414.2459459518</v>
      </c>
      <c r="AI99" s="49">
        <f>'Linéarisation mix'!AI11*1000000</f>
        <v>1056051.3967567617</v>
      </c>
      <c r="AJ99" s="49">
        <f>'Linéarisation mix'!AJ11*1000000</f>
        <v>1087688.5475675715</v>
      </c>
      <c r="AK99" s="49">
        <f>'Linéarisation mix'!AK11*1000000</f>
        <v>1119325.6983783813</v>
      </c>
      <c r="AL99" s="49">
        <f>'Linéarisation mix'!AL11*1000000</f>
        <v>1150962.8491891909</v>
      </c>
      <c r="AM99" s="49">
        <f>'Linéarisation mix'!AM11*1000000</f>
        <v>1182600</v>
      </c>
    </row>
    <row r="100" spans="1:39" outlineLevel="1" x14ac:dyDescent="0.25">
      <c r="A100" t="s">
        <v>185</v>
      </c>
      <c r="B100" s="60">
        <f>LCOE!B18</f>
        <v>58</v>
      </c>
      <c r="C100" s="60">
        <f>LCOE!C18</f>
        <v>58</v>
      </c>
      <c r="D100" s="60">
        <f>LCOE!D18</f>
        <v>58</v>
      </c>
      <c r="E100" s="60">
        <f>LCOE!E18</f>
        <v>58</v>
      </c>
      <c r="F100" s="60">
        <f>LCOE!F18</f>
        <v>58</v>
      </c>
      <c r="G100" s="60">
        <f>LCOE!G18</f>
        <v>58</v>
      </c>
      <c r="H100" s="60">
        <f>LCOE!H18</f>
        <v>58</v>
      </c>
      <c r="I100" s="60">
        <f>LCOE!I18</f>
        <v>58</v>
      </c>
      <c r="J100" s="60">
        <f>LCOE!J18</f>
        <v>58</v>
      </c>
      <c r="K100" s="60">
        <f>LCOE!K18</f>
        <v>58</v>
      </c>
      <c r="L100" s="60">
        <f>LCOE!L18</f>
        <v>58</v>
      </c>
      <c r="M100" s="60">
        <f>LCOE!M18</f>
        <v>58</v>
      </c>
      <c r="N100" s="60">
        <f>LCOE!N18</f>
        <v>58</v>
      </c>
      <c r="O100" s="60">
        <f>LCOE!O18</f>
        <v>58</v>
      </c>
      <c r="P100" s="60">
        <f>LCOE!P18</f>
        <v>58</v>
      </c>
      <c r="Q100" s="60">
        <f>LCOE!Q18</f>
        <v>58</v>
      </c>
      <c r="R100" s="60">
        <f>LCOE!R18</f>
        <v>58</v>
      </c>
      <c r="S100" s="60">
        <f>LCOE!S18</f>
        <v>58</v>
      </c>
      <c r="T100" s="60">
        <f>LCOE!T18</f>
        <v>58</v>
      </c>
      <c r="U100" s="60">
        <f>LCOE!U18</f>
        <v>58</v>
      </c>
      <c r="V100" s="60">
        <f>LCOE!V18</f>
        <v>58</v>
      </c>
      <c r="W100" s="60">
        <f>LCOE!W18</f>
        <v>58</v>
      </c>
      <c r="X100" s="60">
        <f>LCOE!X18</f>
        <v>58</v>
      </c>
      <c r="Y100" s="60">
        <f>LCOE!Y18</f>
        <v>58</v>
      </c>
      <c r="Z100" s="60">
        <f>LCOE!Z18</f>
        <v>58</v>
      </c>
      <c r="AA100" s="60">
        <f>LCOE!AA18</f>
        <v>58</v>
      </c>
      <c r="AB100" s="60">
        <f>LCOE!AB18</f>
        <v>58</v>
      </c>
      <c r="AC100" s="60">
        <f>LCOE!AC18</f>
        <v>58</v>
      </c>
      <c r="AD100" s="60">
        <f>LCOE!AD18</f>
        <v>58</v>
      </c>
      <c r="AE100" s="60">
        <f>LCOE!AE18</f>
        <v>58</v>
      </c>
      <c r="AF100" s="60">
        <f>LCOE!AF18</f>
        <v>58</v>
      </c>
      <c r="AG100" s="60">
        <f>LCOE!AG18</f>
        <v>58</v>
      </c>
      <c r="AH100" s="60">
        <f>LCOE!AH18</f>
        <v>58</v>
      </c>
      <c r="AI100" s="60">
        <f>LCOE!AI18</f>
        <v>58</v>
      </c>
      <c r="AJ100" s="60">
        <f>LCOE!AJ18</f>
        <v>58</v>
      </c>
      <c r="AK100" s="60">
        <f>LCOE!AK18</f>
        <v>58</v>
      </c>
      <c r="AL100" s="60">
        <f>LCOE!AL18</f>
        <v>58</v>
      </c>
      <c r="AM100" s="60">
        <f>LCOE!AM18</f>
        <v>58</v>
      </c>
    </row>
    <row r="101" spans="1:39" outlineLevel="1" x14ac:dyDescent="0.25">
      <c r="A101" t="s">
        <v>127</v>
      </c>
      <c r="B101" s="48">
        <v>0</v>
      </c>
      <c r="C101" s="64">
        <f t="shared" ref="C101:AM101" si="65">B101+C99-B99</f>
        <v>31637.150810811581</v>
      </c>
      <c r="D101" s="64">
        <f t="shared" si="65"/>
        <v>63274.30162162317</v>
      </c>
      <c r="E101" s="64">
        <f t="shared" si="65"/>
        <v>94911.452432434744</v>
      </c>
      <c r="F101" s="64">
        <f t="shared" si="65"/>
        <v>126548.60324324631</v>
      </c>
      <c r="G101" s="64">
        <f t="shared" si="65"/>
        <v>158185.75405405782</v>
      </c>
      <c r="H101" s="64">
        <f t="shared" si="65"/>
        <v>189822.90486486934</v>
      </c>
      <c r="I101" s="64">
        <f t="shared" si="65"/>
        <v>221460.05567568087</v>
      </c>
      <c r="J101" s="64">
        <f t="shared" si="65"/>
        <v>253097.20648649239</v>
      </c>
      <c r="K101" s="64">
        <f t="shared" si="65"/>
        <v>284734.3572973038</v>
      </c>
      <c r="L101" s="64">
        <f t="shared" si="65"/>
        <v>316371.50810811523</v>
      </c>
      <c r="M101" s="64">
        <f t="shared" si="65"/>
        <v>348008.65891892667</v>
      </c>
      <c r="N101" s="64">
        <f t="shared" si="65"/>
        <v>379645.80972973804</v>
      </c>
      <c r="O101" s="64">
        <f t="shared" si="65"/>
        <v>411282.96054054931</v>
      </c>
      <c r="P101" s="64">
        <f t="shared" si="65"/>
        <v>442920.11135136057</v>
      </c>
      <c r="Q101" s="64">
        <f t="shared" si="65"/>
        <v>474557.26216217183</v>
      </c>
      <c r="R101" s="64">
        <f t="shared" si="65"/>
        <v>506194.41297298309</v>
      </c>
      <c r="S101" s="64">
        <f t="shared" si="65"/>
        <v>537831.56378379406</v>
      </c>
      <c r="T101" s="64">
        <f t="shared" si="65"/>
        <v>569468.71459460491</v>
      </c>
      <c r="U101" s="64">
        <f t="shared" si="65"/>
        <v>601105.86540541588</v>
      </c>
      <c r="V101" s="64">
        <f t="shared" si="65"/>
        <v>632743.01621622685</v>
      </c>
      <c r="W101" s="64">
        <f t="shared" si="65"/>
        <v>664380.16702703747</v>
      </c>
      <c r="X101" s="64">
        <f t="shared" si="65"/>
        <v>696017.31783784821</v>
      </c>
      <c r="Y101" s="64">
        <f t="shared" si="65"/>
        <v>727654.46864865883</v>
      </c>
      <c r="Z101" s="64">
        <f t="shared" si="65"/>
        <v>759291.61945946922</v>
      </c>
      <c r="AA101" s="64">
        <f t="shared" si="65"/>
        <v>790928.77027027973</v>
      </c>
      <c r="AB101" s="64">
        <f t="shared" si="65"/>
        <v>822565.92108109023</v>
      </c>
      <c r="AC101" s="64">
        <f t="shared" si="65"/>
        <v>854203.0718919005</v>
      </c>
      <c r="AD101" s="64">
        <f t="shared" si="65"/>
        <v>885840.22270271077</v>
      </c>
      <c r="AE101" s="64">
        <f t="shared" si="65"/>
        <v>917477.37351352104</v>
      </c>
      <c r="AF101" s="64">
        <f t="shared" si="65"/>
        <v>949114.52432433108</v>
      </c>
      <c r="AG101" s="64">
        <f t="shared" si="65"/>
        <v>980751.67513514101</v>
      </c>
      <c r="AH101" s="64">
        <f t="shared" si="65"/>
        <v>1012388.825945951</v>
      </c>
      <c r="AI101" s="64">
        <f t="shared" si="65"/>
        <v>1044025.976756761</v>
      </c>
      <c r="AJ101" s="64">
        <f t="shared" si="65"/>
        <v>1075663.1275675707</v>
      </c>
      <c r="AK101" s="64">
        <f t="shared" si="65"/>
        <v>1107300.2783783805</v>
      </c>
      <c r="AL101" s="64">
        <f t="shared" si="65"/>
        <v>1138937.4291891903</v>
      </c>
      <c r="AM101" s="64">
        <f t="shared" si="65"/>
        <v>1170574.5799999994</v>
      </c>
    </row>
    <row r="102" spans="1:39" outlineLevel="1" x14ac:dyDescent="0.25">
      <c r="A102" t="s">
        <v>188</v>
      </c>
      <c r="B102" s="48">
        <f>LCOE!AN18*1000</f>
        <v>3550000</v>
      </c>
      <c r="C102" s="42"/>
      <c r="D102" s="42"/>
      <c r="E102" s="42"/>
      <c r="F102" s="42"/>
      <c r="G102" s="42"/>
      <c r="H102" s="42"/>
      <c r="I102" s="42"/>
      <c r="J102" s="42"/>
      <c r="K102" s="42"/>
      <c r="L102" s="42"/>
      <c r="M102" s="49"/>
      <c r="N102" s="42"/>
      <c r="O102" s="42"/>
      <c r="P102" s="42"/>
      <c r="Q102" s="42"/>
      <c r="R102" s="42"/>
      <c r="S102" s="43">
        <f>LCOE!AO18*1000</f>
        <v>3550000</v>
      </c>
      <c r="T102" s="42"/>
      <c r="U102" s="42"/>
      <c r="V102" s="42"/>
      <c r="W102" s="42"/>
      <c r="X102" s="42"/>
      <c r="Y102" s="42"/>
      <c r="Z102" s="42"/>
      <c r="AA102" s="42"/>
      <c r="AB102" s="42"/>
      <c r="AC102" s="42"/>
      <c r="AD102" s="42"/>
      <c r="AE102" s="49"/>
      <c r="AF102" s="49"/>
      <c r="AG102" s="49"/>
      <c r="AH102" s="49"/>
      <c r="AI102" s="49"/>
      <c r="AJ102" s="49"/>
      <c r="AK102" s="49"/>
      <c r="AL102" s="42"/>
      <c r="AM102" s="104">
        <f>AM104/AM106</f>
        <v>0.244056054164699</v>
      </c>
    </row>
    <row r="103" spans="1:39" outlineLevel="1" x14ac:dyDescent="0.25">
      <c r="A103" t="s">
        <v>30</v>
      </c>
      <c r="B103" s="58">
        <v>20</v>
      </c>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row>
    <row r="104" spans="1:39" outlineLevel="1" x14ac:dyDescent="0.25">
      <c r="A104" t="s">
        <v>107</v>
      </c>
      <c r="B104" s="41">
        <f t="shared" ref="B104:AK104" si="66">$AM$102*B106</f>
        <v>0.17022284018264883</v>
      </c>
      <c r="C104" s="41">
        <f t="shared" si="66"/>
        <v>0.61805465531285897</v>
      </c>
      <c r="D104" s="41">
        <f t="shared" si="66"/>
        <v>1.0663120275435258</v>
      </c>
      <c r="E104" s="41">
        <f t="shared" si="66"/>
        <v>1.5145693997741918</v>
      </c>
      <c r="F104" s="41">
        <f t="shared" si="66"/>
        <v>1.9628267720048578</v>
      </c>
      <c r="G104" s="41">
        <f t="shared" si="66"/>
        <v>2.4110841442355233</v>
      </c>
      <c r="H104" s="41">
        <f t="shared" si="66"/>
        <v>2.8593415164661886</v>
      </c>
      <c r="I104" s="41">
        <f t="shared" si="66"/>
        <v>3.3075988886968535</v>
      </c>
      <c r="J104" s="41">
        <f t="shared" si="66"/>
        <v>3.7558562609275188</v>
      </c>
      <c r="K104" s="41">
        <f t="shared" si="66"/>
        <v>4.2041136331581823</v>
      </c>
      <c r="L104" s="41">
        <f t="shared" si="66"/>
        <v>4.6523710053888463</v>
      </c>
      <c r="M104" s="41">
        <f t="shared" si="66"/>
        <v>5.1006283776195103</v>
      </c>
      <c r="N104" s="41">
        <f t="shared" si="66"/>
        <v>5.5488857498501734</v>
      </c>
      <c r="O104" s="41">
        <f t="shared" si="66"/>
        <v>5.9971431220808347</v>
      </c>
      <c r="P104" s="41">
        <f t="shared" si="66"/>
        <v>6.4454004943114969</v>
      </c>
      <c r="Q104" s="41">
        <f t="shared" si="66"/>
        <v>6.8936578665421582</v>
      </c>
      <c r="R104" s="41">
        <f t="shared" si="66"/>
        <v>7.3419152387728204</v>
      </c>
      <c r="S104" s="41">
        <f t="shared" si="66"/>
        <v>7.7901726110034808</v>
      </c>
      <c r="T104" s="41">
        <f t="shared" si="66"/>
        <v>8.2384299832341394</v>
      </c>
      <c r="U104" s="41">
        <f t="shared" si="66"/>
        <v>8.6866873554647981</v>
      </c>
      <c r="V104" s="41">
        <f t="shared" si="66"/>
        <v>9.1268591427867776</v>
      </c>
      <c r="W104" s="41">
        <f t="shared" si="66"/>
        <v>9.5746909579169746</v>
      </c>
      <c r="X104" s="41">
        <f t="shared" si="66"/>
        <v>10.022522773047173</v>
      </c>
      <c r="Y104" s="41">
        <f t="shared" si="66"/>
        <v>10.470354588177369</v>
      </c>
      <c r="Z104" s="41">
        <f t="shared" si="66"/>
        <v>10.918186403307562</v>
      </c>
      <c r="AA104" s="41">
        <f t="shared" si="66"/>
        <v>11.366018218437755</v>
      </c>
      <c r="AB104" s="41">
        <f t="shared" si="66"/>
        <v>11.813850033567951</v>
      </c>
      <c r="AC104" s="41">
        <f t="shared" si="66"/>
        <v>12.261681848698142</v>
      </c>
      <c r="AD104" s="41">
        <f t="shared" si="66"/>
        <v>12.70951366382833</v>
      </c>
      <c r="AE104" s="41">
        <f t="shared" si="66"/>
        <v>13.157345478958522</v>
      </c>
      <c r="AF104" s="41">
        <f t="shared" si="66"/>
        <v>13.60517729408871</v>
      </c>
      <c r="AG104" s="41">
        <f t="shared" si="66"/>
        <v>14.053009109218898</v>
      </c>
      <c r="AH104" s="41">
        <f t="shared" si="66"/>
        <v>14.500840924349086</v>
      </c>
      <c r="AI104" s="41">
        <f t="shared" si="66"/>
        <v>14.948672739479273</v>
      </c>
      <c r="AJ104" s="41">
        <f t="shared" si="66"/>
        <v>15.396504554609457</v>
      </c>
      <c r="AK104" s="41">
        <f t="shared" si="66"/>
        <v>15.84433636973964</v>
      </c>
      <c r="AL104" s="41">
        <f>$AM$102*AL106</f>
        <v>16.292168184869823</v>
      </c>
      <c r="AM104" s="41">
        <f>LCOE!AS18*1000*'Capacités installées'!B18/1000000</f>
        <v>16.739999999999998</v>
      </c>
    </row>
    <row r="105" spans="1:39" outlineLevel="1" x14ac:dyDescent="0.25">
      <c r="A105" t="s">
        <v>111</v>
      </c>
      <c r="B105" s="13">
        <f t="shared" ref="B105:AL105" si="67">B106-B104</f>
        <v>0.5272515198173513</v>
      </c>
      <c r="C105" s="13">
        <f t="shared" si="67"/>
        <v>1.9143744517142114</v>
      </c>
      <c r="D105" s="13">
        <f t="shared" si="67"/>
        <v>3.3028155124106151</v>
      </c>
      <c r="E105" s="13">
        <f t="shared" si="67"/>
        <v>4.6912565731070153</v>
      </c>
      <c r="F105" s="13">
        <f t="shared" si="67"/>
        <v>6.0796976338034163</v>
      </c>
      <c r="G105" s="13">
        <f t="shared" si="67"/>
        <v>7.4681386944998156</v>
      </c>
      <c r="H105" s="13">
        <f t="shared" si="67"/>
        <v>8.8565797551962149</v>
      </c>
      <c r="I105" s="13">
        <f t="shared" si="67"/>
        <v>10.245020815892612</v>
      </c>
      <c r="J105" s="13">
        <f t="shared" si="67"/>
        <v>11.63346187658901</v>
      </c>
      <c r="K105" s="13">
        <f t="shared" si="67"/>
        <v>13.021902937285404</v>
      </c>
      <c r="L105" s="13">
        <f t="shared" si="67"/>
        <v>14.410343997981798</v>
      </c>
      <c r="M105" s="13">
        <f t="shared" si="67"/>
        <v>15.798785058678192</v>
      </c>
      <c r="N105" s="13">
        <f t="shared" si="67"/>
        <v>17.187226119374586</v>
      </c>
      <c r="O105" s="13">
        <f t="shared" si="67"/>
        <v>18.575667180070969</v>
      </c>
      <c r="P105" s="13">
        <f t="shared" si="67"/>
        <v>19.964108240767359</v>
      </c>
      <c r="Q105" s="13">
        <f t="shared" si="67"/>
        <v>21.352549301463746</v>
      </c>
      <c r="R105" s="13">
        <f t="shared" si="67"/>
        <v>22.740990362160137</v>
      </c>
      <c r="S105" s="13">
        <f t="shared" si="67"/>
        <v>24.12943142285652</v>
      </c>
      <c r="T105" s="13">
        <f t="shared" si="67"/>
        <v>25.517872483552893</v>
      </c>
      <c r="U105" s="13">
        <f t="shared" si="67"/>
        <v>26.906313544249272</v>
      </c>
      <c r="V105" s="13">
        <f t="shared" si="67"/>
        <v>28.269710157754318</v>
      </c>
      <c r="W105" s="13">
        <f t="shared" si="67"/>
        <v>29.656833089651141</v>
      </c>
      <c r="X105" s="13">
        <f t="shared" si="67"/>
        <v>31.043956021547963</v>
      </c>
      <c r="Y105" s="13">
        <f t="shared" si="67"/>
        <v>32.431078953444782</v>
      </c>
      <c r="Z105" s="13">
        <f t="shared" si="67"/>
        <v>33.81820188534158</v>
      </c>
      <c r="AA105" s="13">
        <f t="shared" si="67"/>
        <v>35.205324817238392</v>
      </c>
      <c r="AB105" s="13">
        <f t="shared" si="67"/>
        <v>36.592447749135204</v>
      </c>
      <c r="AC105" s="13">
        <f t="shared" si="67"/>
        <v>37.979570681032001</v>
      </c>
      <c r="AD105" s="13">
        <f t="shared" si="67"/>
        <v>39.366693612928799</v>
      </c>
      <c r="AE105" s="13">
        <f t="shared" si="67"/>
        <v>40.753816544825597</v>
      </c>
      <c r="AF105" s="13">
        <f t="shared" si="67"/>
        <v>42.140939476722394</v>
      </c>
      <c r="AG105" s="13">
        <f t="shared" si="67"/>
        <v>43.528062408619185</v>
      </c>
      <c r="AH105" s="13">
        <f t="shared" si="67"/>
        <v>44.915185340515983</v>
      </c>
      <c r="AI105" s="13">
        <f t="shared" si="67"/>
        <v>46.302308272412766</v>
      </c>
      <c r="AJ105" s="13">
        <f t="shared" si="67"/>
        <v>47.689431204309543</v>
      </c>
      <c r="AK105" s="13">
        <f t="shared" si="67"/>
        <v>49.076554136206326</v>
      </c>
      <c r="AL105" s="13">
        <f t="shared" si="67"/>
        <v>50.463677068103095</v>
      </c>
      <c r="AM105" s="13">
        <f>AM106-AM104</f>
        <v>51.85079999999985</v>
      </c>
    </row>
    <row r="106" spans="1:39" outlineLevel="1" x14ac:dyDescent="0.25">
      <c r="A106" t="s">
        <v>186</v>
      </c>
      <c r="B106" s="111">
        <v>0.69747436000000018</v>
      </c>
      <c r="C106" s="111">
        <v>2.5324291070270704</v>
      </c>
      <c r="D106" s="111">
        <v>4.3691275399541407</v>
      </c>
      <c r="E106" s="111">
        <v>6.2058259728812075</v>
      </c>
      <c r="F106" s="111">
        <v>8.0425244058082743</v>
      </c>
      <c r="G106" s="111">
        <v>9.8792228387353394</v>
      </c>
      <c r="H106" s="111">
        <v>11.715921271662403</v>
      </c>
      <c r="I106" s="111">
        <v>13.552619704589466</v>
      </c>
      <c r="J106" s="111">
        <v>15.389318137516529</v>
      </c>
      <c r="K106" s="111">
        <v>17.226016570443587</v>
      </c>
      <c r="L106" s="111">
        <v>19.062715003370645</v>
      </c>
      <c r="M106" s="111">
        <v>20.899413436297703</v>
      </c>
      <c r="N106" s="111">
        <v>22.736111869224757</v>
      </c>
      <c r="O106" s="111">
        <v>24.572810302151805</v>
      </c>
      <c r="P106" s="111">
        <v>26.409508735078855</v>
      </c>
      <c r="Q106" s="111">
        <v>28.246207168005906</v>
      </c>
      <c r="R106" s="111">
        <v>30.082905600932957</v>
      </c>
      <c r="S106" s="111">
        <v>31.919604033860001</v>
      </c>
      <c r="T106" s="111">
        <v>33.756302466787034</v>
      </c>
      <c r="U106" s="111">
        <v>35.59300089971407</v>
      </c>
      <c r="V106" s="111">
        <v>37.396569300541096</v>
      </c>
      <c r="W106" s="111">
        <v>39.231524047568115</v>
      </c>
      <c r="X106" s="111">
        <v>41.066478794595135</v>
      </c>
      <c r="Y106" s="111">
        <v>42.901433541622147</v>
      </c>
      <c r="Z106" s="111">
        <v>44.736388288649145</v>
      </c>
      <c r="AA106" s="111">
        <v>46.571343035676151</v>
      </c>
      <c r="AB106" s="111">
        <v>48.406297782703156</v>
      </c>
      <c r="AC106" s="111">
        <v>50.241252529730147</v>
      </c>
      <c r="AD106" s="111">
        <v>52.076207276757131</v>
      </c>
      <c r="AE106" s="111">
        <v>53.911162023784122</v>
      </c>
      <c r="AF106" s="111">
        <v>55.746116770811106</v>
      </c>
      <c r="AG106" s="111">
        <v>57.581071517838083</v>
      </c>
      <c r="AH106" s="111">
        <v>59.416026264865067</v>
      </c>
      <c r="AI106" s="111">
        <v>61.250981011892037</v>
      </c>
      <c r="AJ106" s="111">
        <v>63.085935758919</v>
      </c>
      <c r="AK106" s="111">
        <v>64.920890505945962</v>
      </c>
      <c r="AL106" s="111">
        <v>66.755845252972918</v>
      </c>
      <c r="AM106" s="111">
        <v>68.590799999999845</v>
      </c>
    </row>
    <row r="109" spans="1:39" ht="23.25" x14ac:dyDescent="0.25">
      <c r="A109" s="62" t="s">
        <v>146</v>
      </c>
    </row>
    <row r="111" spans="1:39" outlineLevel="1" x14ac:dyDescent="0.25">
      <c r="A111" s="3" t="s">
        <v>175</v>
      </c>
      <c r="B111" s="47">
        <v>2013</v>
      </c>
      <c r="C111" s="47">
        <v>2014</v>
      </c>
      <c r="D111" s="47">
        <v>2015</v>
      </c>
      <c r="E111" s="47">
        <v>2016</v>
      </c>
      <c r="F111" s="47">
        <v>2017</v>
      </c>
      <c r="G111" s="47">
        <v>2018</v>
      </c>
      <c r="H111" s="47">
        <v>2019</v>
      </c>
      <c r="I111" s="47">
        <v>2020</v>
      </c>
      <c r="J111" s="47">
        <v>2021</v>
      </c>
      <c r="K111" s="47">
        <v>2022</v>
      </c>
      <c r="L111" s="47">
        <v>2023</v>
      </c>
      <c r="M111" s="47">
        <v>2024</v>
      </c>
      <c r="N111" s="47">
        <v>2025</v>
      </c>
      <c r="O111" s="47">
        <v>2026</v>
      </c>
      <c r="P111" s="47">
        <v>2027</v>
      </c>
      <c r="Q111" s="47">
        <v>2028</v>
      </c>
      <c r="R111" s="47">
        <v>2029</v>
      </c>
      <c r="S111" s="47">
        <v>2030</v>
      </c>
      <c r="T111" s="47">
        <v>2031</v>
      </c>
      <c r="U111" s="47">
        <v>2032</v>
      </c>
      <c r="V111" s="47">
        <v>2033</v>
      </c>
      <c r="W111" s="47">
        <v>2034</v>
      </c>
      <c r="X111" s="47">
        <v>2035</v>
      </c>
      <c r="Y111" s="47">
        <v>2036</v>
      </c>
      <c r="Z111" s="47">
        <v>2037</v>
      </c>
      <c r="AA111" s="47">
        <v>2038</v>
      </c>
      <c r="AB111" s="47">
        <v>2039</v>
      </c>
      <c r="AC111" s="47">
        <v>2040</v>
      </c>
      <c r="AD111" s="47">
        <v>2041</v>
      </c>
      <c r="AE111" s="47">
        <v>2042</v>
      </c>
      <c r="AF111" s="47">
        <v>2043</v>
      </c>
      <c r="AG111" s="47">
        <v>2044</v>
      </c>
      <c r="AH111" s="47">
        <v>2045</v>
      </c>
      <c r="AI111" s="47">
        <v>2046</v>
      </c>
      <c r="AJ111" s="47">
        <v>2047</v>
      </c>
      <c r="AK111" s="47">
        <v>2048</v>
      </c>
      <c r="AL111" s="47">
        <v>2049</v>
      </c>
      <c r="AM111" s="47">
        <v>2050</v>
      </c>
    </row>
    <row r="112" spans="1:39" outlineLevel="1" x14ac:dyDescent="0.25">
      <c r="A112" t="s">
        <v>171</v>
      </c>
      <c r="B112" s="49">
        <f>'Linéarisation mix'!B10*1000000</f>
        <v>68521000.000000015</v>
      </c>
      <c r="C112" s="49">
        <f>'Linéarisation mix'!C10*1000000</f>
        <v>68324867.814224035</v>
      </c>
      <c r="D112" s="49">
        <f>'Linéarisation mix'!D10*1000000</f>
        <v>68128735.628447622</v>
      </c>
      <c r="E112" s="49">
        <f>'Linéarisation mix'!E10*1000000</f>
        <v>67932603.442670599</v>
      </c>
      <c r="F112" s="49">
        <f>'Linéarisation mix'!F10*1000000</f>
        <v>67736471.256892741</v>
      </c>
      <c r="G112" s="49">
        <f>'Linéarisation mix'!G10*1000000</f>
        <v>67540339.07111387</v>
      </c>
      <c r="H112" s="49">
        <f>'Linéarisation mix'!H10*1000000</f>
        <v>67344206.885333791</v>
      </c>
      <c r="I112" s="49">
        <f>'Linéarisation mix'!I10*1000000</f>
        <v>67148074.699552342</v>
      </c>
      <c r="J112" s="49">
        <f>'Linéarisation mix'!J10*1000000</f>
        <v>66951942.513769351</v>
      </c>
      <c r="K112" s="49">
        <f>'Linéarisation mix'!K10*1000000</f>
        <v>66755810.327984676</v>
      </c>
      <c r="L112" s="49">
        <f>'Linéarisation mix'!L10*1000000</f>
        <v>66559678.142198183</v>
      </c>
      <c r="M112" s="49">
        <f>'Linéarisation mix'!M10*1000000</f>
        <v>66363545.956409723</v>
      </c>
      <c r="N112" s="49">
        <f>'Linéarisation mix'!N10*1000000</f>
        <v>66167413.770619221</v>
      </c>
      <c r="O112" s="49">
        <f>'Linéarisation mix'!O10*1000000</f>
        <v>65971281.584826574</v>
      </c>
      <c r="P112" s="49">
        <f>'Linéarisation mix'!P10*1000000</f>
        <v>65775149.399031706</v>
      </c>
      <c r="Q112" s="49">
        <f>'Linéarisation mix'!Q10*1000000</f>
        <v>65579017.213234551</v>
      </c>
      <c r="R112" s="49">
        <f>'Linéarisation mix'!R10*1000000</f>
        <v>65382885.027435079</v>
      </c>
      <c r="S112" s="49">
        <f>'Linéarisation mix'!S10*1000000</f>
        <v>65186752.841633253</v>
      </c>
      <c r="T112" s="49">
        <f>'Linéarisation mix'!T10*1000000</f>
        <v>64990620.655829079</v>
      </c>
      <c r="U112" s="49">
        <f>'Linéarisation mix'!U10*1000000</f>
        <v>64794488.470022544</v>
      </c>
      <c r="V112" s="49">
        <f>'Linéarisation mix'!V10*1000000</f>
        <v>64598356.284213692</v>
      </c>
      <c r="W112" s="49">
        <f>'Linéarisation mix'!W10*1000000</f>
        <v>64402224.098402552</v>
      </c>
      <c r="X112" s="49">
        <f>'Linéarisation mix'!X10*1000000</f>
        <v>64206091.912589185</v>
      </c>
      <c r="Y112" s="49">
        <f>'Linéarisation mix'!Y10*1000000</f>
        <v>64009959.726773672</v>
      </c>
      <c r="Z112" s="49">
        <f>'Linéarisation mix'!Z10*1000000</f>
        <v>63813827.540956095</v>
      </c>
      <c r="AA112" s="49">
        <f>'Linéarisation mix'!AA10*1000000</f>
        <v>63617695.355136558</v>
      </c>
      <c r="AB112" s="49">
        <f>'Linéarisation mix'!AB10*1000000</f>
        <v>63421563.169315174</v>
      </c>
      <c r="AC112" s="49">
        <f>'Linéarisation mix'!AC10*1000000</f>
        <v>63225430.983492076</v>
      </c>
      <c r="AD112" s="49">
        <f>'Linéarisation mix'!AD10*1000000</f>
        <v>63029298.797667399</v>
      </c>
      <c r="AE112" s="49">
        <f>'Linéarisation mix'!AE10*1000000</f>
        <v>62833166.611841306</v>
      </c>
      <c r="AF112" s="49">
        <f>'Linéarisation mix'!AF10*1000000</f>
        <v>62637034.426013939</v>
      </c>
      <c r="AG112" s="49">
        <f>'Linéarisation mix'!AG10*1000000</f>
        <v>62440902.240185477</v>
      </c>
      <c r="AH112" s="49">
        <f>'Linéarisation mix'!AH10*1000000</f>
        <v>62244770.054356098</v>
      </c>
      <c r="AI112" s="49">
        <f>'Linéarisation mix'!AI10*1000000</f>
        <v>62048637.868525967</v>
      </c>
      <c r="AJ112" s="49">
        <f>'Linéarisation mix'!AJ10*1000000</f>
        <v>61852505.682695277</v>
      </c>
      <c r="AK112" s="49">
        <f>'Linéarisation mix'!AK10*1000000</f>
        <v>61656373.496864207</v>
      </c>
      <c r="AL112" s="49">
        <f>'Linéarisation mix'!AL10*1000000</f>
        <v>61460241.311032951</v>
      </c>
      <c r="AM112" s="49">
        <f>'Linéarisation mix'!AM10*1000000</f>
        <v>61264109.125201702</v>
      </c>
    </row>
    <row r="113" spans="1:39" outlineLevel="1" x14ac:dyDescent="0.25">
      <c r="A113" t="s">
        <v>185</v>
      </c>
      <c r="B113" s="60">
        <f>LCOE!B19</f>
        <v>75.410840013942135</v>
      </c>
      <c r="C113" s="60">
        <f>LCOE!C19</f>
        <v>74.980790601357299</v>
      </c>
      <c r="D113" s="60">
        <f>LCOE!D19</f>
        <v>74.550741188772463</v>
      </c>
      <c r="E113" s="60">
        <f>LCOE!E19</f>
        <v>74.120691776187627</v>
      </c>
      <c r="F113" s="60">
        <f>LCOE!F19</f>
        <v>73.690642363602791</v>
      </c>
      <c r="G113" s="60">
        <f>LCOE!G19</f>
        <v>73.260592951017955</v>
      </c>
      <c r="H113" s="60">
        <f>LCOE!H19</f>
        <v>72.830543538433119</v>
      </c>
      <c r="I113" s="60">
        <f>LCOE!I19</f>
        <v>72.400494125848283</v>
      </c>
      <c r="J113" s="60">
        <f>LCOE!J19</f>
        <v>71.970444713263447</v>
      </c>
      <c r="K113" s="60">
        <f>LCOE!K19</f>
        <v>71.540395300678611</v>
      </c>
      <c r="L113" s="60">
        <f>LCOE!L19</f>
        <v>71.110345888093775</v>
      </c>
      <c r="M113" s="60">
        <f>LCOE!M19</f>
        <v>70.680296475508939</v>
      </c>
      <c r="N113" s="60">
        <f>LCOE!N19</f>
        <v>70.250247062924103</v>
      </c>
      <c r="O113" s="60">
        <f>LCOE!O19</f>
        <v>69.820197650339267</v>
      </c>
      <c r="P113" s="60">
        <f>LCOE!P19</f>
        <v>69.390148237754431</v>
      </c>
      <c r="Q113" s="60">
        <f>LCOE!Q19</f>
        <v>68.960098825169595</v>
      </c>
      <c r="R113" s="60">
        <f>LCOE!R19</f>
        <v>68.530049412584759</v>
      </c>
      <c r="S113" s="60">
        <f>LCOE!S19</f>
        <v>68.099999999999994</v>
      </c>
      <c r="T113" s="60">
        <f>LCOE!T19</f>
        <v>68.099999999999994</v>
      </c>
      <c r="U113" s="60">
        <f>LCOE!U19</f>
        <v>68.099999999999994</v>
      </c>
      <c r="V113" s="60">
        <f>LCOE!V19</f>
        <v>68.099999999999994</v>
      </c>
      <c r="W113" s="60">
        <f>LCOE!W19</f>
        <v>68.099999999999994</v>
      </c>
      <c r="X113" s="60">
        <f>LCOE!X19</f>
        <v>68.099999999999994</v>
      </c>
      <c r="Y113" s="60">
        <f>LCOE!Y19</f>
        <v>68.099999999999994</v>
      </c>
      <c r="Z113" s="60">
        <f>LCOE!Z19</f>
        <v>68.099999999999994</v>
      </c>
      <c r="AA113" s="60">
        <f>LCOE!AA19</f>
        <v>68.099999999999994</v>
      </c>
      <c r="AB113" s="60">
        <f>LCOE!AB19</f>
        <v>68.099999999999994</v>
      </c>
      <c r="AC113" s="60">
        <f>LCOE!AC19</f>
        <v>68.099999999999994</v>
      </c>
      <c r="AD113" s="60">
        <f>LCOE!AD19</f>
        <v>68.099999999999994</v>
      </c>
      <c r="AE113" s="60">
        <f>LCOE!AE19</f>
        <v>68.099999999999994</v>
      </c>
      <c r="AF113" s="60">
        <f>LCOE!AF19</f>
        <v>68.099999999999994</v>
      </c>
      <c r="AG113" s="60">
        <f>LCOE!AG19</f>
        <v>68.099999999999994</v>
      </c>
      <c r="AH113" s="60">
        <f>LCOE!AH19</f>
        <v>68.099999999999994</v>
      </c>
      <c r="AI113" s="60">
        <f>LCOE!AI19</f>
        <v>68.099999999999994</v>
      </c>
      <c r="AJ113" s="60">
        <f>LCOE!AJ19</f>
        <v>68.099999999999994</v>
      </c>
      <c r="AK113" s="60">
        <f>LCOE!AK19</f>
        <v>68.099999999999994</v>
      </c>
      <c r="AL113" s="60">
        <f>LCOE!AL19</f>
        <v>68.099999999999994</v>
      </c>
      <c r="AM113" s="60">
        <f>LCOE!AM19</f>
        <v>68.099999999999994</v>
      </c>
    </row>
    <row r="114" spans="1:39" outlineLevel="1" x14ac:dyDescent="0.25">
      <c r="A114" t="s">
        <v>127</v>
      </c>
      <c r="B114" s="48">
        <v>0</v>
      </c>
      <c r="C114" s="64">
        <f t="shared" ref="C114:AM114" si="68">B114+C112-B112</f>
        <v>-196132.18577598035</v>
      </c>
      <c r="D114" s="64">
        <f t="shared" si="68"/>
        <v>-392264.37155239284</v>
      </c>
      <c r="E114" s="64">
        <f t="shared" si="68"/>
        <v>-588396.55732941628</v>
      </c>
      <c r="F114" s="64">
        <f t="shared" si="68"/>
        <v>-784528.74310727417</v>
      </c>
      <c r="G114" s="64">
        <f t="shared" si="68"/>
        <v>-980660.92888614535</v>
      </c>
      <c r="H114" s="64">
        <f t="shared" si="68"/>
        <v>-1176793.1146662235</v>
      </c>
      <c r="I114" s="64">
        <f t="shared" si="68"/>
        <v>-1372925.3004476726</v>
      </c>
      <c r="J114" s="64">
        <f t="shared" si="68"/>
        <v>-1569057.486230664</v>
      </c>
      <c r="K114" s="64">
        <f t="shared" si="68"/>
        <v>-1765189.6720153391</v>
      </c>
      <c r="L114" s="64">
        <f t="shared" si="68"/>
        <v>-1961321.8578018323</v>
      </c>
      <c r="M114" s="64">
        <f t="shared" si="68"/>
        <v>-2157454.0435902923</v>
      </c>
      <c r="N114" s="64">
        <f t="shared" si="68"/>
        <v>-2353586.2293807939</v>
      </c>
      <c r="O114" s="64">
        <f t="shared" si="68"/>
        <v>-2549718.4151734412</v>
      </c>
      <c r="P114" s="64">
        <f t="shared" si="68"/>
        <v>-2745850.6009683087</v>
      </c>
      <c r="Q114" s="64">
        <f t="shared" si="68"/>
        <v>-2941982.7867654637</v>
      </c>
      <c r="R114" s="64">
        <f t="shared" si="68"/>
        <v>-3138114.9725649357</v>
      </c>
      <c r="S114" s="64">
        <f t="shared" si="68"/>
        <v>-3334247.1583667621</v>
      </c>
      <c r="T114" s="64">
        <f t="shared" si="68"/>
        <v>-3530379.3441709355</v>
      </c>
      <c r="U114" s="64">
        <f t="shared" si="68"/>
        <v>-3726511.5299774706</v>
      </c>
      <c r="V114" s="64">
        <f t="shared" si="68"/>
        <v>-3922643.715786323</v>
      </c>
      <c r="W114" s="64">
        <f t="shared" si="68"/>
        <v>-4118775.9015974626</v>
      </c>
      <c r="X114" s="64">
        <f t="shared" si="68"/>
        <v>-4314908.08741083</v>
      </c>
      <c r="Y114" s="64">
        <f t="shared" si="68"/>
        <v>-4511040.2732263431</v>
      </c>
      <c r="Z114" s="64">
        <f t="shared" si="68"/>
        <v>-4707172.45904392</v>
      </c>
      <c r="AA114" s="64">
        <f t="shared" si="68"/>
        <v>-4903304.6448634565</v>
      </c>
      <c r="AB114" s="64">
        <f t="shared" si="68"/>
        <v>-5099436.8306848407</v>
      </c>
      <c r="AC114" s="64">
        <f t="shared" si="68"/>
        <v>-5295569.0165079385</v>
      </c>
      <c r="AD114" s="64">
        <f t="shared" si="68"/>
        <v>-5491701.2023326159</v>
      </c>
      <c r="AE114" s="64">
        <f t="shared" si="68"/>
        <v>-5687833.3881587088</v>
      </c>
      <c r="AF114" s="64">
        <f t="shared" si="68"/>
        <v>-5883965.5739860758</v>
      </c>
      <c r="AG114" s="64">
        <f t="shared" si="68"/>
        <v>-6080097.7598145381</v>
      </c>
      <c r="AH114" s="64">
        <f t="shared" si="68"/>
        <v>-6276229.9456439167</v>
      </c>
      <c r="AI114" s="64">
        <f t="shared" si="68"/>
        <v>-6472362.1314740479</v>
      </c>
      <c r="AJ114" s="64">
        <f t="shared" si="68"/>
        <v>-6668494.3173047379</v>
      </c>
      <c r="AK114" s="64">
        <f t="shared" si="68"/>
        <v>-6864626.5031358078</v>
      </c>
      <c r="AL114" s="64">
        <f t="shared" si="68"/>
        <v>-7060758.688967064</v>
      </c>
      <c r="AM114" s="64">
        <f t="shared" si="68"/>
        <v>-7256890.8747983128</v>
      </c>
    </row>
    <row r="115" spans="1:39" outlineLevel="1" x14ac:dyDescent="0.25">
      <c r="A115" t="s">
        <v>188</v>
      </c>
      <c r="B115" s="48"/>
      <c r="C115" s="42"/>
      <c r="D115" s="42"/>
      <c r="E115" s="42"/>
      <c r="F115" s="42"/>
      <c r="G115" s="42"/>
      <c r="H115" s="42"/>
      <c r="I115" s="42"/>
      <c r="J115" s="42"/>
      <c r="K115" s="42"/>
      <c r="L115" s="42"/>
      <c r="M115" s="49"/>
      <c r="N115" s="42"/>
      <c r="O115" s="42"/>
      <c r="P115" s="42"/>
      <c r="Q115" s="42"/>
      <c r="R115" s="42"/>
      <c r="S115" s="43"/>
      <c r="T115" s="42"/>
      <c r="U115" s="42"/>
      <c r="V115" s="42"/>
      <c r="W115" s="42"/>
      <c r="X115" s="42"/>
      <c r="Y115" s="42"/>
      <c r="Z115" s="42"/>
      <c r="AA115" s="42"/>
      <c r="AB115" s="42"/>
      <c r="AC115" s="42"/>
      <c r="AD115" s="42"/>
      <c r="AE115" s="49"/>
      <c r="AF115" s="49"/>
      <c r="AG115" s="49"/>
      <c r="AH115" s="49"/>
      <c r="AI115" s="49"/>
      <c r="AJ115" s="49"/>
      <c r="AK115" s="49"/>
      <c r="AL115" s="42"/>
      <c r="AM115" s="104">
        <f>AM117/AM119</f>
        <v>0.21138283211474912</v>
      </c>
    </row>
    <row r="116" spans="1:39" outlineLevel="1" x14ac:dyDescent="0.25">
      <c r="A116" t="s">
        <v>206</v>
      </c>
      <c r="B116" s="58">
        <v>30</v>
      </c>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row>
    <row r="117" spans="1:39" outlineLevel="1" x14ac:dyDescent="0.25">
      <c r="A117" t="s">
        <v>107</v>
      </c>
      <c r="B117" s="41">
        <f t="shared" ref="B117:AK117" si="69">$AM$115*B119</f>
        <v>1092.262901695125</v>
      </c>
      <c r="C117" s="41">
        <f t="shared" si="69"/>
        <v>1088.9466446362142</v>
      </c>
      <c r="D117" s="41">
        <f t="shared" si="69"/>
        <v>1085.4405867923963</v>
      </c>
      <c r="E117" s="41">
        <f t="shared" si="69"/>
        <v>1081.7447281636687</v>
      </c>
      <c r="F117" s="41">
        <f t="shared" si="69"/>
        <v>1077.859068750028</v>
      </c>
      <c r="G117" s="41">
        <f t="shared" si="69"/>
        <v>1073.7836085514716</v>
      </c>
      <c r="H117" s="41">
        <f t="shared" si="69"/>
        <v>1069.5183475679964</v>
      </c>
      <c r="I117" s="41">
        <f t="shared" si="69"/>
        <v>1065.0632857996006</v>
      </c>
      <c r="J117" s="41">
        <f t="shared" si="69"/>
        <v>1060.4184232462817</v>
      </c>
      <c r="K117" s="41">
        <f t="shared" si="69"/>
        <v>1055.5837599080378</v>
      </c>
      <c r="L117" s="41">
        <f t="shared" si="69"/>
        <v>1050.5592957848669</v>
      </c>
      <c r="M117" s="41">
        <f t="shared" si="69"/>
        <v>1045.3450308767674</v>
      </c>
      <c r="N117" s="41">
        <f t="shared" si="69"/>
        <v>1039.9409651837389</v>
      </c>
      <c r="O117" s="41">
        <f t="shared" si="69"/>
        <v>1034.3470987057797</v>
      </c>
      <c r="P117" s="41">
        <f t="shared" si="69"/>
        <v>1028.5634314428889</v>
      </c>
      <c r="Q117" s="41">
        <f t="shared" si="69"/>
        <v>1022.5899633950667</v>
      </c>
      <c r="R117" s="41">
        <f t="shared" si="69"/>
        <v>1016.4266945623126</v>
      </c>
      <c r="S117" s="41">
        <f t="shared" si="69"/>
        <v>1010.0736249446265</v>
      </c>
      <c r="T117" s="41">
        <f t="shared" si="69"/>
        <v>1003.7205553269067</v>
      </c>
      <c r="U117" s="41">
        <f t="shared" si="69"/>
        <v>997.36748570915313</v>
      </c>
      <c r="V117" s="41">
        <f t="shared" si="69"/>
        <v>991.01441609136577</v>
      </c>
      <c r="W117" s="41">
        <f t="shared" si="69"/>
        <v>984.66134647354568</v>
      </c>
      <c r="X117" s="41">
        <f t="shared" si="69"/>
        <v>978.30827685569341</v>
      </c>
      <c r="Y117" s="41">
        <f t="shared" si="69"/>
        <v>971.95520723781021</v>
      </c>
      <c r="Z117" s="41">
        <f t="shared" si="69"/>
        <v>965.60213761989746</v>
      </c>
      <c r="AA117" s="41">
        <f t="shared" si="69"/>
        <v>959.24906800195629</v>
      </c>
      <c r="AB117" s="41">
        <f t="shared" si="69"/>
        <v>952.89599838398851</v>
      </c>
      <c r="AC117" s="41">
        <f t="shared" si="69"/>
        <v>946.54292876599618</v>
      </c>
      <c r="AD117" s="41">
        <f t="shared" si="69"/>
        <v>940.18985914798111</v>
      </c>
      <c r="AE117" s="41">
        <f t="shared" si="69"/>
        <v>933.83678952994546</v>
      </c>
      <c r="AF117" s="41">
        <f t="shared" si="69"/>
        <v>927.48371991189197</v>
      </c>
      <c r="AG117" s="41">
        <f t="shared" si="69"/>
        <v>921.623551025967</v>
      </c>
      <c r="AH117" s="41">
        <f t="shared" si="69"/>
        <v>916.99133389273777</v>
      </c>
      <c r="AI117" s="41">
        <f t="shared" si="69"/>
        <v>912.54891754439848</v>
      </c>
      <c r="AJ117" s="41">
        <f t="shared" si="69"/>
        <v>908.29630198095265</v>
      </c>
      <c r="AK117" s="41">
        <f t="shared" si="69"/>
        <v>904.23348720240244</v>
      </c>
      <c r="AL117" s="41">
        <f>$AM$115*AL119</f>
        <v>900.36047320875082</v>
      </c>
      <c r="AM117" s="41">
        <f>LCOE!AS19*1000*('Capacités installées'!B16+'Capacités installées'!B17)/1000000</f>
        <v>896.67726000000005</v>
      </c>
    </row>
    <row r="118" spans="1:39" outlineLevel="1" x14ac:dyDescent="0.25">
      <c r="A118" t="s">
        <v>111</v>
      </c>
      <c r="B118" s="13">
        <f t="shared" ref="B118:AM118" si="70">B119-B117</f>
        <v>4074.9632669002049</v>
      </c>
      <c r="C118" s="13">
        <f t="shared" si="70"/>
        <v>4062.5911304139363</v>
      </c>
      <c r="D118" s="13">
        <f t="shared" si="70"/>
        <v>4049.5108940504997</v>
      </c>
      <c r="E118" s="13">
        <f t="shared" si="70"/>
        <v>4035.722557809886</v>
      </c>
      <c r="F118" s="13">
        <f t="shared" si="70"/>
        <v>4021.2261216920815</v>
      </c>
      <c r="G118" s="13">
        <f t="shared" si="70"/>
        <v>4006.0215856970772</v>
      </c>
      <c r="H118" s="13">
        <f t="shared" si="70"/>
        <v>3990.1089498248625</v>
      </c>
      <c r="I118" s="13">
        <f t="shared" si="70"/>
        <v>3973.4882140754289</v>
      </c>
      <c r="J118" s="13">
        <f t="shared" si="70"/>
        <v>3956.1593784487673</v>
      </c>
      <c r="K118" s="13">
        <f t="shared" si="70"/>
        <v>3938.1224429448712</v>
      </c>
      <c r="L118" s="13">
        <f t="shared" si="70"/>
        <v>3919.3774075637339</v>
      </c>
      <c r="M118" s="13">
        <f t="shared" si="70"/>
        <v>3899.924272305348</v>
      </c>
      <c r="N118" s="13">
        <f t="shared" si="70"/>
        <v>3879.7630371697123</v>
      </c>
      <c r="O118" s="13">
        <f t="shared" si="70"/>
        <v>3858.8937021568208</v>
      </c>
      <c r="P118" s="13">
        <f t="shared" si="70"/>
        <v>3837.3162672666713</v>
      </c>
      <c r="Q118" s="13">
        <f t="shared" si="70"/>
        <v>3815.0307324992618</v>
      </c>
      <c r="R118" s="13">
        <f t="shared" si="70"/>
        <v>3792.037097854593</v>
      </c>
      <c r="S118" s="13">
        <f t="shared" si="70"/>
        <v>3768.3353633326633</v>
      </c>
      <c r="T118" s="13">
        <f t="shared" si="70"/>
        <v>3744.6336288106077</v>
      </c>
      <c r="U118" s="13">
        <f t="shared" si="70"/>
        <v>3720.9318942884261</v>
      </c>
      <c r="V118" s="13">
        <f t="shared" si="70"/>
        <v>3697.230159766118</v>
      </c>
      <c r="W118" s="13">
        <f t="shared" si="70"/>
        <v>3673.5284252436886</v>
      </c>
      <c r="X118" s="13">
        <f t="shared" si="70"/>
        <v>3649.8266907211391</v>
      </c>
      <c r="Y118" s="13">
        <f t="shared" si="70"/>
        <v>3626.1249561984741</v>
      </c>
      <c r="Z118" s="13">
        <f t="shared" si="70"/>
        <v>3602.4232216756986</v>
      </c>
      <c r="AA118" s="13">
        <f t="shared" si="70"/>
        <v>3578.7214871528167</v>
      </c>
      <c r="AB118" s="13">
        <f t="shared" si="70"/>
        <v>3555.0197526298361</v>
      </c>
      <c r="AC118" s="13">
        <f t="shared" si="70"/>
        <v>3531.3180181067637</v>
      </c>
      <c r="AD118" s="13">
        <f t="shared" si="70"/>
        <v>3507.6162835836067</v>
      </c>
      <c r="AE118" s="13">
        <f t="shared" si="70"/>
        <v>3483.9145490603732</v>
      </c>
      <c r="AF118" s="13">
        <f t="shared" si="70"/>
        <v>3460.2128145370725</v>
      </c>
      <c r="AG118" s="13">
        <f t="shared" si="70"/>
        <v>3438.3499709754028</v>
      </c>
      <c r="AH118" s="13">
        <f t="shared" si="70"/>
        <v>3421.0683122896412</v>
      </c>
      <c r="AI118" s="13">
        <f t="shared" si="70"/>
        <v>3404.494753480983</v>
      </c>
      <c r="AJ118" s="13">
        <f t="shared" si="70"/>
        <v>3388.629294549442</v>
      </c>
      <c r="AK118" s="13">
        <f t="shared" si="70"/>
        <v>3373.4719354950262</v>
      </c>
      <c r="AL118" s="13">
        <f t="shared" si="70"/>
        <v>3359.0226763177461</v>
      </c>
      <c r="AM118" s="13">
        <f t="shared" si="70"/>
        <v>3345.2815170176104</v>
      </c>
    </row>
    <row r="119" spans="1:39" outlineLevel="1" x14ac:dyDescent="0.25">
      <c r="A119" t="s">
        <v>186</v>
      </c>
      <c r="B119" s="111">
        <v>5167.2261685953299</v>
      </c>
      <c r="C119" s="111">
        <v>5151.5377750501502</v>
      </c>
      <c r="D119" s="111">
        <v>5134.9514808428958</v>
      </c>
      <c r="E119" s="111">
        <v>5117.4672859735547</v>
      </c>
      <c r="F119" s="111">
        <v>5099.0851904421097</v>
      </c>
      <c r="G119" s="111">
        <v>5079.805194248549</v>
      </c>
      <c r="H119" s="111">
        <v>5059.627297392859</v>
      </c>
      <c r="I119" s="111">
        <v>5038.5514998750295</v>
      </c>
      <c r="J119" s="111">
        <v>5016.5778016950489</v>
      </c>
      <c r="K119" s="111">
        <v>4993.706202852909</v>
      </c>
      <c r="L119" s="111">
        <v>4969.9367033486005</v>
      </c>
      <c r="M119" s="111">
        <v>4945.2693031821154</v>
      </c>
      <c r="N119" s="111">
        <v>4919.704002353451</v>
      </c>
      <c r="O119" s="111">
        <v>4893.2408008626007</v>
      </c>
      <c r="P119" s="111">
        <v>4865.8796987095602</v>
      </c>
      <c r="Q119" s="111">
        <v>4837.6206958943285</v>
      </c>
      <c r="R119" s="111">
        <v>4808.4637924169056</v>
      </c>
      <c r="S119" s="111">
        <v>4778.4089882772896</v>
      </c>
      <c r="T119" s="111">
        <v>4748.3541841375145</v>
      </c>
      <c r="U119" s="111">
        <v>4718.2993799975793</v>
      </c>
      <c r="V119" s="111">
        <v>4688.2445758574841</v>
      </c>
      <c r="W119" s="111">
        <v>4658.1897717172342</v>
      </c>
      <c r="X119" s="111">
        <v>4628.1349675768324</v>
      </c>
      <c r="Y119" s="111">
        <v>4598.0801634362842</v>
      </c>
      <c r="Z119" s="111">
        <v>4568.025359295596</v>
      </c>
      <c r="AA119" s="111">
        <v>4537.9705551547731</v>
      </c>
      <c r="AB119" s="111">
        <v>4507.9157510138248</v>
      </c>
      <c r="AC119" s="111">
        <v>4477.86094687276</v>
      </c>
      <c r="AD119" s="111">
        <v>4447.8061427315879</v>
      </c>
      <c r="AE119" s="111">
        <v>4417.7513385903185</v>
      </c>
      <c r="AF119" s="111">
        <v>4387.6965344489645</v>
      </c>
      <c r="AG119" s="111">
        <v>4359.9735220013699</v>
      </c>
      <c r="AH119" s="111">
        <v>4338.0596461823789</v>
      </c>
      <c r="AI119" s="111">
        <v>4317.0436710253816</v>
      </c>
      <c r="AJ119" s="111">
        <v>4296.9255965303946</v>
      </c>
      <c r="AK119" s="111">
        <v>4277.7054226974287</v>
      </c>
      <c r="AL119" s="111">
        <v>4259.3831495264967</v>
      </c>
      <c r="AM119" s="111">
        <v>4241.9587770176104</v>
      </c>
    </row>
    <row r="122" spans="1:39" x14ac:dyDescent="0.25">
      <c r="AL122" t="s">
        <v>100</v>
      </c>
      <c r="AM122" s="13">
        <f>AM119+AM106+AM84+AM72+AM61+AM49+AM35+AM22+AM11</f>
        <v>37642.411352560019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6"/>
  <sheetViews>
    <sheetView workbookViewId="0">
      <selection activeCell="AD6" sqref="AD6"/>
    </sheetView>
  </sheetViews>
  <sheetFormatPr baseColWidth="10" defaultColWidth="9.140625" defaultRowHeight="15" x14ac:dyDescent="0.25"/>
  <cols>
    <col min="1" max="1" width="30.140625" bestFit="1" customWidth="1"/>
    <col min="2" max="2" width="10.28515625" bestFit="1" customWidth="1"/>
  </cols>
  <sheetData>
    <row r="1" spans="1:39" x14ac:dyDescent="0.25">
      <c r="A1" s="3" t="s">
        <v>158</v>
      </c>
      <c r="B1" s="72">
        <v>2013</v>
      </c>
      <c r="C1" s="72">
        <v>2014</v>
      </c>
      <c r="D1" s="72">
        <v>2015</v>
      </c>
      <c r="E1" s="72">
        <v>2016</v>
      </c>
      <c r="F1" s="72">
        <v>2017</v>
      </c>
      <c r="G1" s="72">
        <v>2018</v>
      </c>
      <c r="H1" s="72">
        <v>2019</v>
      </c>
      <c r="I1" s="72">
        <v>2020</v>
      </c>
      <c r="J1" s="72">
        <v>2021</v>
      </c>
      <c r="K1" s="72">
        <v>2022</v>
      </c>
      <c r="L1" s="72">
        <v>2023</v>
      </c>
      <c r="M1" s="72">
        <v>2024</v>
      </c>
      <c r="N1" s="72">
        <v>2025</v>
      </c>
      <c r="O1" s="72">
        <v>2026</v>
      </c>
      <c r="P1" s="72">
        <v>2027</v>
      </c>
      <c r="Q1" s="72">
        <v>2028</v>
      </c>
      <c r="R1" s="72">
        <v>2029</v>
      </c>
      <c r="S1" s="72">
        <v>2030</v>
      </c>
      <c r="T1" s="72">
        <v>2031</v>
      </c>
      <c r="U1" s="72">
        <v>2032</v>
      </c>
      <c r="V1" s="72">
        <v>2033</v>
      </c>
      <c r="W1" s="72">
        <v>2034</v>
      </c>
      <c r="X1" s="72">
        <v>2035</v>
      </c>
      <c r="Y1" s="72">
        <v>2036</v>
      </c>
      <c r="Z1" s="72">
        <v>2037</v>
      </c>
      <c r="AA1" s="72">
        <v>2038</v>
      </c>
      <c r="AB1" s="72">
        <v>2039</v>
      </c>
      <c r="AC1" s="72">
        <v>2040</v>
      </c>
      <c r="AD1" s="72">
        <v>2041</v>
      </c>
      <c r="AE1" s="72">
        <v>2042</v>
      </c>
      <c r="AF1" s="72">
        <v>2043</v>
      </c>
      <c r="AG1" s="72">
        <v>2044</v>
      </c>
      <c r="AH1" s="72">
        <v>2045</v>
      </c>
      <c r="AI1" s="72">
        <v>2046</v>
      </c>
      <c r="AJ1" s="72">
        <v>2047</v>
      </c>
      <c r="AK1" s="72">
        <v>2048</v>
      </c>
      <c r="AL1" s="72">
        <v>2049</v>
      </c>
      <c r="AM1" s="72">
        <v>2050</v>
      </c>
    </row>
    <row r="2" spans="1:39" x14ac:dyDescent="0.25">
      <c r="A2" t="s">
        <v>161</v>
      </c>
      <c r="B2" s="96">
        <f>B16-SUM(B3:B15)</f>
        <v>15.899999999999977</v>
      </c>
      <c r="C2" s="96">
        <f t="shared" ref="C2:E2" si="0">C16-SUM(C3:C15)</f>
        <v>21.725477315656576</v>
      </c>
      <c r="D2" s="96">
        <f t="shared" si="0"/>
        <v>27.550955057252281</v>
      </c>
      <c r="E2" s="96">
        <f t="shared" si="0"/>
        <v>33.376433431630289</v>
      </c>
      <c r="F2" s="96">
        <f t="shared" ref="F2" si="1">F16-SUM(F3:F15)</f>
        <v>39.201912639595093</v>
      </c>
      <c r="G2" s="96">
        <f t="shared" ref="G2:H2" si="2">G16-SUM(G3:G15)</f>
        <v>40.319662154425089</v>
      </c>
      <c r="H2" s="96">
        <f t="shared" si="2"/>
        <v>41.437412880794852</v>
      </c>
      <c r="I2" s="96">
        <f t="shared" ref="I2" si="3">I16-SUM(I3:I15)</f>
        <v>42.555164993251879</v>
      </c>
      <c r="J2" s="96">
        <f t="shared" ref="J2:K2" si="4">J16-SUM(J3:J15)</f>
        <v>43.672918655119133</v>
      </c>
      <c r="K2" s="96">
        <f t="shared" si="4"/>
        <v>44.790674017401784</v>
      </c>
      <c r="L2" s="96">
        <f t="shared" ref="L2" si="5">L16-SUM(L3:L15)</f>
        <v>45.908431217789371</v>
      </c>
      <c r="M2" s="96">
        <f t="shared" ref="M2:O2" si="6">M16-SUM(M3:M15)</f>
        <v>48.909198558094772</v>
      </c>
      <c r="N2" s="96">
        <f t="shared" si="6"/>
        <v>51.909947062119954</v>
      </c>
      <c r="O2" s="96">
        <f t="shared" si="6"/>
        <v>54.910675885304215</v>
      </c>
      <c r="P2" s="96">
        <f t="shared" ref="P2" si="7">P16-SUM(P3:P15)</f>
        <v>57.911384330706369</v>
      </c>
      <c r="Q2" s="96">
        <f t="shared" ref="Q2" si="8">Q16-SUM(Q3:Q15)</f>
        <v>60.912071852955535</v>
      </c>
      <c r="R2" s="96">
        <f t="shared" ref="R2" si="9">R16-SUM(R3:R15)</f>
        <v>63.912738061083473</v>
      </c>
      <c r="S2" s="96">
        <f t="shared" ref="S2" si="10">S16-SUM(S3:S15)</f>
        <v>66.913382720225741</v>
      </c>
      <c r="T2" s="96">
        <f t="shared" ref="T2" si="11">T16-SUM(T3:T15)</f>
        <v>69.9140057521887</v>
      </c>
      <c r="U2" s="96">
        <f t="shared" ref="U2" si="12">U16-SUM(U3:U15)</f>
        <v>72.914607234884556</v>
      </c>
      <c r="V2" s="96">
        <f t="shared" ref="V2" si="13">V16-SUM(V3:V15)</f>
        <v>75.915187400648165</v>
      </c>
      <c r="W2" s="96">
        <f t="shared" ref="W2" si="14">W16-SUM(W3:W15)</f>
        <v>78.915746633456195</v>
      </c>
      <c r="X2" s="96">
        <f t="shared" ref="X2" si="15">X16-SUM(X3:X15)</f>
        <v>81.916285465074225</v>
      </c>
      <c r="Y2" s="96">
        <f t="shared" ref="Y2" si="16">Y16-SUM(Y3:Y15)</f>
        <v>84.916804570169745</v>
      </c>
      <c r="Z2" s="96">
        <f t="shared" ref="Z2" si="17">Z16-SUM(Z3:Z15)</f>
        <v>87.917304760431989</v>
      </c>
      <c r="AA2" s="96">
        <f t="shared" ref="AA2:AB2" si="18">AA16-SUM(AA3:AA15)</f>
        <v>90.917786977748847</v>
      </c>
      <c r="AB2" s="96">
        <f t="shared" si="18"/>
        <v>93.918252286496113</v>
      </c>
      <c r="AC2" s="96">
        <f t="shared" ref="AC2" si="19">AC16-SUM(AC3:AC15)</f>
        <v>96.918701865002276</v>
      </c>
      <c r="AD2" s="96">
        <f t="shared" ref="AD2" si="20">AD16-SUM(AD3:AD15)</f>
        <v>99.919136996253314</v>
      </c>
      <c r="AE2" s="96">
        <f t="shared" ref="AE2" si="21">AE16-SUM(AE3:AE15)</f>
        <v>102.91955905791315</v>
      </c>
      <c r="AF2" s="96">
        <f t="shared" ref="AF2" si="22">AF16-SUM(AF3:AF15)</f>
        <v>105.9199695117353</v>
      </c>
      <c r="AG2" s="96">
        <f t="shared" ref="AG2" si="23">AG16-SUM(AG3:AG15)</f>
        <v>108.92036989244366</v>
      </c>
      <c r="AH2" s="96">
        <f t="shared" ref="AH2" si="24">AH16-SUM(AH3:AH15)</f>
        <v>111.92076179617055</v>
      </c>
      <c r="AI2" s="96">
        <f t="shared" ref="AI2" si="25">AI16-SUM(AI3:AI15)</f>
        <v>114.92114686853648</v>
      </c>
      <c r="AJ2" s="96">
        <f t="shared" ref="AJ2" si="26">AJ16-SUM(AJ3:AJ15)</f>
        <v>117.92152679245726</v>
      </c>
      <c r="AK2" s="96">
        <f t="shared" ref="AK2" si="27">AK16-SUM(AK3:AK15)</f>
        <v>120.92190327577305</v>
      </c>
      <c r="AL2" s="96">
        <f t="shared" ref="AL2" si="28">AL16-SUM(AL3:AL15)</f>
        <v>123.92227803878649</v>
      </c>
      <c r="AM2" s="96">
        <f t="shared" ref="AM2" si="29">AM16-SUM(AM3:AM15)</f>
        <v>126.92265280179993</v>
      </c>
    </row>
    <row r="3" spans="1:39" x14ac:dyDescent="0.25">
      <c r="A3" t="s">
        <v>162</v>
      </c>
      <c r="B3" s="96">
        <f>'Données capacités de production'!B15/1000000</f>
        <v>0</v>
      </c>
      <c r="C3" s="96">
        <f>'Données capacités de production'!C15/1000000</f>
        <v>0</v>
      </c>
      <c r="D3" s="96">
        <f>'Données capacités de production'!D15/1000000</f>
        <v>0</v>
      </c>
      <c r="E3" s="96">
        <f>'Données capacités de production'!E15/1000000</f>
        <v>0</v>
      </c>
      <c r="F3" s="96">
        <f>'Données capacités de production'!F15/1000000</f>
        <v>0</v>
      </c>
      <c r="G3" s="96">
        <f>'Données capacités de production'!G15/1000000</f>
        <v>4.7077307200860687</v>
      </c>
      <c r="H3" s="96">
        <f>'Données capacités de production'!H15/1000000</f>
        <v>9.4154614401721375</v>
      </c>
      <c r="I3" s="96">
        <f>'Données capacités de production'!I15/1000000</f>
        <v>14.123192160258208</v>
      </c>
      <c r="J3" s="96">
        <f>'Données capacités de production'!J15/1000000</f>
        <v>18.830922880344275</v>
      </c>
      <c r="K3" s="96">
        <f>'Données capacités de production'!K15/1000000</f>
        <v>23.538653600430344</v>
      </c>
      <c r="L3" s="96">
        <f>'Données capacités de production'!L15/1000000</f>
        <v>28.246384320516416</v>
      </c>
      <c r="M3" s="96">
        <f>'Données capacités de production'!M15/1000000</f>
        <v>31.071106862269453</v>
      </c>
      <c r="N3" s="96">
        <f>'Données capacités de production'!N15/1000000</f>
        <v>33.895850310371003</v>
      </c>
      <c r="O3" s="96">
        <f>'Données capacités de production'!O15/1000000</f>
        <v>36.72061560219737</v>
      </c>
      <c r="P3" s="96">
        <f>'Données capacités de production'!P15/1000000</f>
        <v>39.545403511282146</v>
      </c>
      <c r="Q3" s="96">
        <f>'Données capacités de production'!Q15/1000000</f>
        <v>42.370214642931309</v>
      </c>
      <c r="R3" s="96">
        <f>'Données capacités de production'!R15/1000000</f>
        <v>45.195049431079738</v>
      </c>
      <c r="S3" s="96">
        <f>'Données capacités de production'!S15/1000000</f>
        <v>48.01990813640279</v>
      </c>
      <c r="T3" s="96">
        <f>'Données capacités de production'!T15/1000000</f>
        <v>50.844790845687676</v>
      </c>
      <c r="U3" s="96">
        <f>'Données capacités de production'!U15/1000000</f>
        <v>53.669697472459838</v>
      </c>
      <c r="V3" s="96">
        <f>'Données capacités de production'!V15/1000000</f>
        <v>56.494627758851024</v>
      </c>
      <c r="W3" s="96">
        <f>'Données capacités de production'!W15/1000000</f>
        <v>59.319581278686542</v>
      </c>
      <c r="X3" s="96">
        <f>'Données capacités de production'!X15/1000000</f>
        <v>62.144557441760782</v>
      </c>
      <c r="Y3" s="96">
        <f>'Données capacités de production'!Y15/1000000</f>
        <v>64.96955549926173</v>
      </c>
      <c r="Z3" s="96">
        <f>'Données capacités de production'!Z15/1000000</f>
        <v>67.79457455029717</v>
      </c>
      <c r="AA3" s="96">
        <f>'Données capacités de production'!AA15/1000000</f>
        <v>70.619613549467701</v>
      </c>
      <c r="AB3" s="96">
        <f>'Données capacités de production'!AB15/1000000</f>
        <v>73.444671315424614</v>
      </c>
      <c r="AC3" s="96">
        <f>'Données capacités de production'!AC15/1000000</f>
        <v>76.269746540343903</v>
      </c>
      <c r="AD3" s="96">
        <f>'Données capacités de production'!AD15/1000000</f>
        <v>79.094837800241891</v>
      </c>
      <c r="AE3" s="96">
        <f>'Données capacités de production'!AE15/1000000</f>
        <v>81.919943566051955</v>
      </c>
      <c r="AF3" s="96">
        <f>'Données capacités de production'!AF15/1000000</f>
        <v>84.74506221537743</v>
      </c>
      <c r="AG3" s="96">
        <f>'Données capacités de production'!AG15/1000000</f>
        <v>87.57019204483116</v>
      </c>
      <c r="AH3" s="96">
        <f>'Données capacités de production'!AH15/1000000</f>
        <v>90.395331282868852</v>
      </c>
      <c r="AI3" s="96">
        <f>'Données capacités de production'!AI15/1000000</f>
        <v>93.220478103020284</v>
      </c>
      <c r="AJ3" s="96">
        <f>'Données capacités de production'!AJ15/1000000</f>
        <v>96.045630637420373</v>
      </c>
      <c r="AK3" s="96">
        <f>'Données capacités de production'!AK15/1000000</f>
        <v>98.870786990540708</v>
      </c>
      <c r="AL3" s="96">
        <f>'Données capacités de production'!AL15/1000000</f>
        <v>101.69594525302115</v>
      </c>
      <c r="AM3" s="96">
        <f>'Données capacités de production'!AM15/1000000</f>
        <v>104.52110351550159</v>
      </c>
    </row>
    <row r="4" spans="1:39" x14ac:dyDescent="0.25">
      <c r="A4" t="s">
        <v>163</v>
      </c>
      <c r="B4" s="96">
        <v>4.5999999999999996</v>
      </c>
      <c r="C4" s="117">
        <v>7.7403448680053524</v>
      </c>
      <c r="D4" s="117">
        <v>10.880690608390349</v>
      </c>
      <c r="E4" s="117">
        <v>14.021037644796424</v>
      </c>
      <c r="F4" s="117">
        <v>17.161386388497121</v>
      </c>
      <c r="G4" s="117">
        <v>20.301737235529149</v>
      </c>
      <c r="H4" s="117">
        <v>23.442090563953649</v>
      </c>
      <c r="I4" s="117">
        <v>26.582446731266437</v>
      </c>
      <c r="J4" s="117">
        <v>29.722806071974805</v>
      </c>
      <c r="K4" s="117">
        <v>32.863168895357042</v>
      </c>
      <c r="L4" s="117">
        <v>36.00353548341954</v>
      </c>
      <c r="M4" s="117">
        <v>39.143906089064757</v>
      </c>
      <c r="N4" s="117">
        <v>42.284280934481615</v>
      </c>
      <c r="O4" s="117">
        <v>45.424660209768419</v>
      </c>
      <c r="P4" s="117">
        <v>48.565044071796464</v>
      </c>
      <c r="Q4" s="117">
        <v>51.705432643320755</v>
      </c>
      <c r="R4" s="117">
        <v>54.845826012342542</v>
      </c>
      <c r="S4" s="117">
        <v>57.986224231726347</v>
      </c>
      <c r="T4" s="117">
        <v>61.126627319072455</v>
      </c>
      <c r="U4" s="117">
        <v>64.267035256843997</v>
      </c>
      <c r="V4" s="117">
        <v>67.407447992745716</v>
      </c>
      <c r="W4" s="117">
        <v>70.547865440350108</v>
      </c>
      <c r="X4" s="117">
        <v>73.688287479964501</v>
      </c>
      <c r="Y4" s="117">
        <v>76.82871395973109</v>
      </c>
      <c r="Z4" s="117">
        <v>79.969144696950508</v>
      </c>
      <c r="AA4" s="117">
        <v>83.109579479617508</v>
      </c>
      <c r="AB4" s="117">
        <v>86.250018068156621</v>
      </c>
      <c r="AC4" s="117">
        <v>89.390460197343373</v>
      </c>
      <c r="AD4" s="117">
        <v>92.530905578396329</v>
      </c>
      <c r="AE4" s="117">
        <v>95.671353901223384</v>
      </c>
      <c r="AF4" s="117">
        <v>98.81180483680528</v>
      </c>
      <c r="AG4" s="117">
        <v>101.95225803969802</v>
      </c>
      <c r="AH4" s="117">
        <v>105.09271315063546</v>
      </c>
      <c r="AI4" s="117">
        <v>108.23316979921256</v>
      </c>
      <c r="AJ4" s="117">
        <v>111.3736276066295</v>
      </c>
      <c r="AK4" s="117">
        <v>114.51408618847636</v>
      </c>
      <c r="AL4" s="117">
        <v>117.65454515753817</v>
      </c>
      <c r="AM4" s="118">
        <v>120.79500412659999</v>
      </c>
    </row>
    <row r="5" spans="1:39" x14ac:dyDescent="0.25">
      <c r="A5" t="s">
        <v>208</v>
      </c>
      <c r="B5" s="96">
        <v>1.5</v>
      </c>
      <c r="C5" s="117">
        <v>1.6764808555672401</v>
      </c>
      <c r="D5" s="117">
        <v>1.8529617111342906</v>
      </c>
      <c r="E5" s="117">
        <v>2.0294425667010594</v>
      </c>
      <c r="F5" s="117">
        <v>2.2059234222674569</v>
      </c>
      <c r="G5" s="117">
        <v>2.3824042778333974</v>
      </c>
      <c r="H5" s="117">
        <v>2.5588851333987988</v>
      </c>
      <c r="I5" s="117">
        <v>2.7353659889635829</v>
      </c>
      <c r="J5" s="117">
        <v>2.9118468445276773</v>
      </c>
      <c r="K5" s="117">
        <v>3.088327700091015</v>
      </c>
      <c r="L5" s="117">
        <v>3.2648085556535342</v>
      </c>
      <c r="M5" s="117">
        <v>3.4412894112151799</v>
      </c>
      <c r="N5" s="117">
        <v>3.6177702667759046</v>
      </c>
      <c r="O5" s="117">
        <v>3.7942511223356661</v>
      </c>
      <c r="P5" s="117">
        <v>3.9707319778944306</v>
      </c>
      <c r="Q5" s="117">
        <v>4.1472128334521718</v>
      </c>
      <c r="R5" s="117">
        <v>4.32369368900887</v>
      </c>
      <c r="S5" s="117">
        <v>4.5001745445645138</v>
      </c>
      <c r="T5" s="117">
        <v>4.676655400119099</v>
      </c>
      <c r="U5" s="117">
        <v>4.8531362556726307</v>
      </c>
      <c r="V5" s="117">
        <v>5.0296171112251198</v>
      </c>
      <c r="W5" s="117">
        <v>5.2060979667765839</v>
      </c>
      <c r="X5" s="117">
        <v>5.3825788223270505</v>
      </c>
      <c r="Y5" s="117">
        <v>5.5590596778765526</v>
      </c>
      <c r="Z5" s="117">
        <v>5.7355405334251284</v>
      </c>
      <c r="AA5" s="117">
        <v>5.9120213889728248</v>
      </c>
      <c r="AB5" s="117">
        <v>6.0885022445196952</v>
      </c>
      <c r="AC5" s="117">
        <v>6.2649831000657956</v>
      </c>
      <c r="AD5" s="117">
        <v>6.441463955611189</v>
      </c>
      <c r="AE5" s="117">
        <v>6.6179448111559429</v>
      </c>
      <c r="AF5" s="117">
        <v>6.7944256667001284</v>
      </c>
      <c r="AG5" s="117">
        <v>6.9709065222438209</v>
      </c>
      <c r="AH5" s="117">
        <v>7.1473873777870995</v>
      </c>
      <c r="AI5" s="117">
        <v>7.3238682333300442</v>
      </c>
      <c r="AJ5" s="117">
        <v>7.5003490888727367</v>
      </c>
      <c r="AK5" s="117">
        <v>7.6768299444152603</v>
      </c>
      <c r="AL5" s="117">
        <v>7.8533107999577005</v>
      </c>
      <c r="AM5" s="118">
        <v>8.0297916555001407</v>
      </c>
    </row>
    <row r="6" spans="1:39" x14ac:dyDescent="0.25">
      <c r="A6" t="s">
        <v>21</v>
      </c>
      <c r="B6" s="96">
        <v>2.1363670350000006</v>
      </c>
      <c r="C6" s="117">
        <v>2.1801960340540596</v>
      </c>
      <c r="D6" s="117">
        <v>2.2240250331081182</v>
      </c>
      <c r="E6" s="117">
        <v>2.2678540321621767</v>
      </c>
      <c r="F6" s="117">
        <v>2.3116830312162349</v>
      </c>
      <c r="G6" s="117">
        <v>2.355512030270293</v>
      </c>
      <c r="H6" s="117">
        <v>2.3993410293243507</v>
      </c>
      <c r="I6" s="117">
        <v>2.4431700283784079</v>
      </c>
      <c r="J6" s="117">
        <v>2.4869990274324651</v>
      </c>
      <c r="K6" s="117">
        <v>2.5308280264865219</v>
      </c>
      <c r="L6" s="117">
        <v>2.5746570255405783</v>
      </c>
      <c r="M6" s="117">
        <v>2.6184860245946346</v>
      </c>
      <c r="N6" s="117">
        <v>2.6623150236486905</v>
      </c>
      <c r="O6" s="117">
        <v>2.7061440227027465</v>
      </c>
      <c r="P6" s="117">
        <v>2.7499730217568019</v>
      </c>
      <c r="Q6" s="117">
        <v>2.7938020208108574</v>
      </c>
      <c r="R6" s="117">
        <v>2.8376310198649124</v>
      </c>
      <c r="S6" s="117">
        <v>2.881460018918967</v>
      </c>
      <c r="T6" s="117">
        <v>2.9252890179730215</v>
      </c>
      <c r="U6" s="117">
        <v>2.9691180170270757</v>
      </c>
      <c r="V6" s="117">
        <v>3.0129470160811294</v>
      </c>
      <c r="W6" s="117">
        <v>3.056776015135183</v>
      </c>
      <c r="X6" s="117">
        <v>3.1006050141892363</v>
      </c>
      <c r="Y6" s="117">
        <v>3.1444340132432891</v>
      </c>
      <c r="Z6" s="117">
        <v>3.1882630122973419</v>
      </c>
      <c r="AA6" s="117">
        <v>3.2320920113513942</v>
      </c>
      <c r="AB6" s="117">
        <v>3.2759210104054461</v>
      </c>
      <c r="AC6" s="117">
        <v>3.3197500094594981</v>
      </c>
      <c r="AD6" s="117">
        <v>3.3635790085135495</v>
      </c>
      <c r="AE6" s="117">
        <v>3.4074080075676005</v>
      </c>
      <c r="AF6" s="117">
        <v>3.4512370066216516</v>
      </c>
      <c r="AG6" s="117">
        <v>3.4950660056757021</v>
      </c>
      <c r="AH6" s="117">
        <v>3.5388950047297523</v>
      </c>
      <c r="AI6" s="117">
        <v>3.5827240037838024</v>
      </c>
      <c r="AJ6" s="117">
        <v>3.6265530028378521</v>
      </c>
      <c r="AK6" s="117">
        <v>3.6703820018919013</v>
      </c>
      <c r="AL6" s="117">
        <v>3.7142110009459506</v>
      </c>
      <c r="AM6" s="118">
        <v>3.7580399999999998</v>
      </c>
    </row>
    <row r="7" spans="1:39" x14ac:dyDescent="0.25">
      <c r="A7" t="s">
        <v>125</v>
      </c>
      <c r="B7" s="96">
        <v>1.7041322700000003</v>
      </c>
      <c r="C7" s="117">
        <v>2.2878970762369502</v>
      </c>
      <c r="D7" s="117">
        <v>2.8716618949483785</v>
      </c>
      <c r="E7" s="117">
        <v>3.4554267321920902</v>
      </c>
      <c r="F7" s="117">
        <v>4.0391915938490381</v>
      </c>
      <c r="G7" s="117">
        <v>4.6229564855822973</v>
      </c>
      <c r="H7" s="117">
        <v>5.2067214127979033</v>
      </c>
      <c r="I7" s="117">
        <v>5.7904863806078204</v>
      </c>
      <c r="J7" s="117">
        <v>6.3742513937952925</v>
      </c>
      <c r="K7" s="117">
        <v>6.9580164567828033</v>
      </c>
      <c r="L7" s="117">
        <v>7.5417815736028668</v>
      </c>
      <c r="M7" s="117">
        <v>8.1255467478718266</v>
      </c>
      <c r="N7" s="117">
        <v>8.709311982766847</v>
      </c>
      <c r="O7" s="117">
        <v>9.2930772810062123</v>
      </c>
      <c r="P7" s="117">
        <v>9.8768426448330828</v>
      </c>
      <c r="Q7" s="117">
        <v>10.460608076002778</v>
      </c>
      <c r="R7" s="117">
        <v>11.044373575773662</v>
      </c>
      <c r="S7" s="117">
        <v>11.628139144901661</v>
      </c>
      <c r="T7" s="117">
        <v>12.211904783638449</v>
      </c>
      <c r="U7" s="117">
        <v>12.795670491733262</v>
      </c>
      <c r="V7" s="117">
        <v>13.379436268438306</v>
      </c>
      <c r="W7" s="117">
        <v>13.963202112517727</v>
      </c>
      <c r="X7" s="117">
        <v>14.546968022259994</v>
      </c>
      <c r="Y7" s="117">
        <v>15.130733995493635</v>
      </c>
      <c r="Z7" s="117">
        <v>15.714500029606167</v>
      </c>
      <c r="AA7" s="117">
        <v>16.298266121566044</v>
      </c>
      <c r="AB7" s="117">
        <v>16.882032267947494</v>
      </c>
      <c r="AC7" s="117">
        <v>17.46579846495797</v>
      </c>
      <c r="AD7" s="117">
        <v>18.049564708468083</v>
      </c>
      <c r="AE7" s="117">
        <v>18.633330994043703</v>
      </c>
      <c r="AF7" s="117">
        <v>19.217097316980073</v>
      </c>
      <c r="AG7" s="117">
        <v>19.800863672337556</v>
      </c>
      <c r="AH7" s="117">
        <v>20.384630054978874</v>
      </c>
      <c r="AI7" s="117">
        <v>20.968396459607469</v>
      </c>
      <c r="AJ7" s="117">
        <v>21.55216288080674</v>
      </c>
      <c r="AK7" s="117">
        <v>22.135929313079874</v>
      </c>
      <c r="AL7" s="117">
        <v>22.71969575088994</v>
      </c>
      <c r="AM7" s="118">
        <v>23.303462188700003</v>
      </c>
    </row>
    <row r="8" spans="1:39" x14ac:dyDescent="0.25">
      <c r="A8" t="s">
        <v>164</v>
      </c>
      <c r="B8" s="96">
        <v>68.521000000000015</v>
      </c>
      <c r="C8" s="117">
        <v>68.324867814202634</v>
      </c>
      <c r="D8" s="117">
        <v>68.128735628405124</v>
      </c>
      <c r="E8" s="117">
        <v>67.932603442607444</v>
      </c>
      <c r="F8" s="117">
        <v>67.736471256809523</v>
      </c>
      <c r="G8" s="117">
        <v>67.540339071011331</v>
      </c>
      <c r="H8" s="117">
        <v>67.344206885212813</v>
      </c>
      <c r="I8" s="117">
        <v>67.148074699413911</v>
      </c>
      <c r="J8" s="117">
        <v>66.951942513614611</v>
      </c>
      <c r="K8" s="117">
        <v>66.755810327814856</v>
      </c>
      <c r="L8" s="117">
        <v>66.559678142014604</v>
      </c>
      <c r="M8" s="117">
        <v>66.363545956213827</v>
      </c>
      <c r="N8" s="117">
        <v>66.16741377041248</v>
      </c>
      <c r="O8" s="117">
        <v>65.971281584610566</v>
      </c>
      <c r="P8" s="117">
        <v>65.775149398808054</v>
      </c>
      <c r="Q8" s="117">
        <v>65.579017213004917</v>
      </c>
      <c r="R8" s="117">
        <v>65.382885027201155</v>
      </c>
      <c r="S8" s="117">
        <v>65.186752841396753</v>
      </c>
      <c r="T8" s="117">
        <v>64.990620655591698</v>
      </c>
      <c r="U8" s="117">
        <v>64.794488469786018</v>
      </c>
      <c r="V8" s="117">
        <v>64.598356283979712</v>
      </c>
      <c r="W8" s="117">
        <v>64.40222409817278</v>
      </c>
      <c r="X8" s="117">
        <v>64.206091912365252</v>
      </c>
      <c r="Y8" s="117">
        <v>64.009959726557156</v>
      </c>
      <c r="Z8" s="117">
        <v>63.813827540748491</v>
      </c>
      <c r="AA8" s="117">
        <v>63.617695354939293</v>
      </c>
      <c r="AB8" s="117">
        <v>63.421563169129598</v>
      </c>
      <c r="AC8" s="117">
        <v>63.225430983319434</v>
      </c>
      <c r="AD8" s="117">
        <v>63.029298797508844</v>
      </c>
      <c r="AE8" s="117">
        <v>62.833166611697862</v>
      </c>
      <c r="AF8" s="117">
        <v>62.63703442588654</v>
      </c>
      <c r="AG8" s="117">
        <v>62.440902240074919</v>
      </c>
      <c r="AH8" s="117">
        <v>62.24477005426305</v>
      </c>
      <c r="AI8" s="117">
        <v>62.048637868450982</v>
      </c>
      <c r="AJ8" s="117">
        <v>61.852505682638764</v>
      </c>
      <c r="AK8" s="117">
        <v>61.656373496826447</v>
      </c>
      <c r="AL8" s="117">
        <v>61.460241311014073</v>
      </c>
      <c r="AM8" s="118">
        <v>61.264109125201699</v>
      </c>
    </row>
    <row r="9" spans="1:39" x14ac:dyDescent="0.25">
      <c r="A9" t="s">
        <v>18</v>
      </c>
      <c r="B9" s="96">
        <v>1.2025420000000004E-2</v>
      </c>
      <c r="C9" s="117">
        <v>4.3662570810811589E-2</v>
      </c>
      <c r="D9" s="117">
        <v>7.529972162162317E-2</v>
      </c>
      <c r="E9" s="117">
        <v>0.10693687243243474</v>
      </c>
      <c r="F9" s="117">
        <v>0.1385740232432463</v>
      </c>
      <c r="G9" s="117">
        <v>0.17021117405405783</v>
      </c>
      <c r="H9" s="117">
        <v>0.20184832486486937</v>
      </c>
      <c r="I9" s="117">
        <v>0.23348547567568087</v>
      </c>
      <c r="J9" s="117">
        <v>0.26512262648649237</v>
      </c>
      <c r="K9" s="117">
        <v>0.29675977729730385</v>
      </c>
      <c r="L9" s="117">
        <v>0.32839692810811527</v>
      </c>
      <c r="M9" s="117">
        <v>0.36003407891892664</v>
      </c>
      <c r="N9" s="117">
        <v>0.391671229729738</v>
      </c>
      <c r="O9" s="117">
        <v>0.42330838054054931</v>
      </c>
      <c r="P9" s="117">
        <v>0.45494553135136057</v>
      </c>
      <c r="Q9" s="117">
        <v>0.48658268216217182</v>
      </c>
      <c r="R9" s="117">
        <v>0.51821983297298302</v>
      </c>
      <c r="S9" s="117">
        <v>0.54985698378379411</v>
      </c>
      <c r="T9" s="117">
        <v>0.58149413459460508</v>
      </c>
      <c r="U9" s="117">
        <v>0.61313128540541606</v>
      </c>
      <c r="V9" s="117">
        <v>0.64476843621622693</v>
      </c>
      <c r="W9" s="117">
        <v>0.67640558702703768</v>
      </c>
      <c r="X9" s="117">
        <v>0.70804273783784843</v>
      </c>
      <c r="Y9" s="117">
        <v>0.73967988864865908</v>
      </c>
      <c r="Z9" s="117">
        <v>0.77131703945946961</v>
      </c>
      <c r="AA9" s="117">
        <v>0.80295419027028014</v>
      </c>
      <c r="AB9" s="117">
        <v>0.83459134108109057</v>
      </c>
      <c r="AC9" s="117">
        <v>0.86622849189190088</v>
      </c>
      <c r="AD9" s="117">
        <v>0.89786564270271119</v>
      </c>
      <c r="AE9" s="117">
        <v>0.92950279351352139</v>
      </c>
      <c r="AF9" s="117">
        <v>0.96113994432433159</v>
      </c>
      <c r="AG9" s="117">
        <v>0.99277709513514167</v>
      </c>
      <c r="AH9" s="117">
        <v>1.0244142459459518</v>
      </c>
      <c r="AI9" s="117">
        <v>1.0560513967567617</v>
      </c>
      <c r="AJ9" s="117">
        <v>1.0876885475675715</v>
      </c>
      <c r="AK9" s="117">
        <v>1.1193256983783813</v>
      </c>
      <c r="AL9" s="117">
        <v>1.1509628491891908</v>
      </c>
      <c r="AM9" s="118">
        <v>1.1826000000000001</v>
      </c>
    </row>
    <row r="10" spans="1:39" x14ac:dyDescent="0.25">
      <c r="A10" t="s">
        <v>165</v>
      </c>
      <c r="B10" s="96">
        <v>0.41868</v>
      </c>
      <c r="C10" s="117">
        <v>1.0603076498361603</v>
      </c>
      <c r="D10" s="117">
        <v>1.7019356081485164</v>
      </c>
      <c r="E10" s="117">
        <v>2.3435640247380167</v>
      </c>
      <c r="F10" s="117">
        <v>2.9851930450322852</v>
      </c>
      <c r="G10" s="117">
        <v>3.6268228090711516</v>
      </c>
      <c r="H10" s="117">
        <v>4.2684534505382281</v>
      </c>
      <c r="I10" s="117">
        <v>4.9100850958451669</v>
      </c>
      <c r="J10" s="117">
        <v>5.5517178632747992</v>
      </c>
      <c r="K10" s="117">
        <v>6.1933518621889032</v>
      </c>
      <c r="L10" s="117">
        <v>6.8349871923058343</v>
      </c>
      <c r="M10" s="117">
        <v>7.4766239430526955</v>
      </c>
      <c r="N10" s="117">
        <v>8.1182621929961911</v>
      </c>
      <c r="O10" s="117">
        <v>8.7599020093556845</v>
      </c>
      <c r="P10" s="117">
        <v>9.4015434476013571</v>
      </c>
      <c r="Q10" s="117">
        <v>10.043186551139769</v>
      </c>
      <c r="R10" s="117">
        <v>10.684831351088441</v>
      </c>
      <c r="S10" s="117">
        <v>11.326477866140431</v>
      </c>
      <c r="T10" s="117">
        <v>11.96812610251926</v>
      </c>
      <c r="U10" s="117">
        <v>12.609776054023831</v>
      </c>
      <c r="V10" s="117">
        <v>13.251427702162379</v>
      </c>
      <c r="W10" s="117">
        <v>13.89308101637387</v>
      </c>
      <c r="X10" s="117">
        <v>14.534735954334591</v>
      </c>
      <c r="Y10" s="117">
        <v>15.176392462347149</v>
      </c>
      <c r="Z10" s="117">
        <v>15.818050475808457</v>
      </c>
      <c r="AA10" s="117">
        <v>16.459709919752807</v>
      </c>
      <c r="AB10" s="117">
        <v>17.101370709465549</v>
      </c>
      <c r="AC10" s="117">
        <v>17.743032751162474</v>
      </c>
      <c r="AD10" s="117">
        <v>18.38469594272955</v>
      </c>
      <c r="AE10" s="117">
        <v>19.026360174517237</v>
      </c>
      <c r="AF10" s="117">
        <v>19.66802533018328</v>
      </c>
      <c r="AG10" s="117">
        <v>20.309691287577593</v>
      </c>
      <c r="AH10" s="117">
        <v>20.951357919662538</v>
      </c>
      <c r="AI10" s="117">
        <v>21.593025095461723</v>
      </c>
      <c r="AJ10" s="117">
        <v>22.234692681030332</v>
      </c>
      <c r="AK10" s="117">
        <v>22.876360540439801</v>
      </c>
      <c r="AL10" s="117">
        <v>23.518028536769705</v>
      </c>
      <c r="AM10" s="118">
        <v>24.159696533099606</v>
      </c>
    </row>
    <row r="11" spans="1:39" x14ac:dyDescent="0.25">
      <c r="A11" t="s">
        <v>166</v>
      </c>
      <c r="B11" s="96">
        <v>0</v>
      </c>
      <c r="C11" s="117">
        <v>4.560217878973358E-57</v>
      </c>
      <c r="D11" s="117">
        <v>9.0548411751415806E-57</v>
      </c>
      <c r="E11" s="117">
        <v>1.3452016115461872E-56</v>
      </c>
      <c r="F11" s="117">
        <v>1.772081887359854E-56</v>
      </c>
      <c r="G11" s="117">
        <v>2.1831471287249784E-56</v>
      </c>
      <c r="H11" s="117">
        <v>2.5755546784358729E-56</v>
      </c>
      <c r="I11" s="117">
        <v>2.9466165107596282E-56</v>
      </c>
      <c r="J11" s="117">
        <v>3.2938174517211951E-56</v>
      </c>
      <c r="K11" s="117">
        <v>3.6148320251897661E-56</v>
      </c>
      <c r="L11" s="117">
        <v>3.9075398134919532E-56</v>
      </c>
      <c r="M11" s="117">
        <v>4.1700392327611257E-56</v>
      </c>
      <c r="N11" s="117">
        <v>4.4006596353512722E-56</v>
      </c>
      <c r="O11" s="117">
        <v>4.5979716643061103E-56</v>
      </c>
      <c r="P11" s="117">
        <v>4.7607957979849298E-56</v>
      </c>
      <c r="Q11" s="117">
        <v>4.888209036408319E-56</v>
      </c>
      <c r="R11" s="117">
        <v>4.9795496946001025E-56</v>
      </c>
      <c r="S11" s="117">
        <v>5.0344202820661371E-56</v>
      </c>
      <c r="T11" s="117">
        <v>5.0526884614652013E-56</v>
      </c>
      <c r="U11" s="117">
        <v>5.034486093391729E-56</v>
      </c>
      <c r="V11" s="117">
        <v>4.9802063879051022E-56</v>
      </c>
      <c r="W11" s="117">
        <v>4.8904991969082137E-56</v>
      </c>
      <c r="X11" s="117">
        <v>4.7662644946038091E-56</v>
      </c>
      <c r="Y11" s="117">
        <v>4.6086441059488832E-56</v>
      </c>
      <c r="Z11" s="117">
        <v>4.4190117551969418E-56</v>
      </c>
      <c r="AA11" s="117">
        <v>4.1989615181814535E-56</v>
      </c>
      <c r="AB11" s="117">
        <v>3.9502947728725621E-56</v>
      </c>
      <c r="AC11" s="117">
        <v>3.6750057528597159E-56</v>
      </c>
      <c r="AD11" s="117">
        <v>3.375265817708037E-56</v>
      </c>
      <c r="AE11" s="117">
        <v>3.0534065625450408E-56</v>
      </c>
      <c r="AF11" s="117">
        <v>2.7119018967026156E-56</v>
      </c>
      <c r="AG11" s="117">
        <v>2.3533492277200718E-56</v>
      </c>
      <c r="AH11" s="117">
        <v>1.9804498924680467E-56</v>
      </c>
      <c r="AI11" s="117">
        <v>1.5959889815482282E-56</v>
      </c>
      <c r="AJ11" s="117">
        <v>1.2028147064363161E-56</v>
      </c>
      <c r="AK11" s="117">
        <v>8.0381746104925915E-57</v>
      </c>
      <c r="AL11" s="117">
        <v>4.0190873052462957E-57</v>
      </c>
      <c r="AM11" s="118">
        <v>0</v>
      </c>
    </row>
    <row r="12" spans="1:39" x14ac:dyDescent="0.25">
      <c r="A12" t="s">
        <v>67</v>
      </c>
      <c r="B12" s="96">
        <v>403.7</v>
      </c>
      <c r="C12" s="117">
        <v>392.78922933141007</v>
      </c>
      <c r="D12" s="117">
        <v>381.87845808541078</v>
      </c>
      <c r="E12" s="117">
        <v>370.96768598160304</v>
      </c>
      <c r="F12" s="117">
        <v>360.05691274777382</v>
      </c>
      <c r="G12" s="117">
        <v>349.14613812179482</v>
      </c>
      <c r="H12" s="117">
        <v>338.23536185343562</v>
      </c>
      <c r="I12" s="117">
        <v>327.32458370607731</v>
      </c>
      <c r="J12" s="117">
        <v>316.41380345831681</v>
      </c>
      <c r="K12" s="117">
        <v>305.50302090544949</v>
      </c>
      <c r="L12" s="117">
        <v>294.59223586082135</v>
      </c>
      <c r="M12" s="117">
        <v>283.6814481570417</v>
      </c>
      <c r="N12" s="117">
        <v>272.77065764704849</v>
      </c>
      <c r="O12" s="117">
        <v>261.85986420501973</v>
      </c>
      <c r="P12" s="117">
        <v>250.94906772712568</v>
      </c>
      <c r="Q12" s="117">
        <v>240.03826813211748</v>
      </c>
      <c r="R12" s="117">
        <v>229.12746536174896</v>
      </c>
      <c r="S12" s="117">
        <v>218.21665938103024</v>
      </c>
      <c r="T12" s="117">
        <v>207.30585017831208</v>
      </c>
      <c r="U12" s="117">
        <v>196.39503776520178</v>
      </c>
      <c r="V12" s="117">
        <v>185.48422217631241</v>
      </c>
      <c r="W12" s="117">
        <v>174.57340346884848</v>
      </c>
      <c r="X12" s="117">
        <v>163.662581722032</v>
      </c>
      <c r="Y12" s="117">
        <v>152.75175703637439</v>
      </c>
      <c r="Z12" s="117">
        <v>141.8409295328004</v>
      </c>
      <c r="AA12" s="117">
        <v>130.93009935163175</v>
      </c>
      <c r="AB12" s="117">
        <v>120.0192666514383</v>
      </c>
      <c r="AC12" s="117">
        <v>109.10843160776641</v>
      </c>
      <c r="AD12" s="117">
        <v>98.197594411754295</v>
      </c>
      <c r="AE12" s="117">
        <v>87.286755268645237</v>
      </c>
      <c r="AF12" s="117">
        <v>76.375914396209993</v>
      </c>
      <c r="AG12" s="117">
        <v>65.465072023090528</v>
      </c>
      <c r="AH12" s="117">
        <v>54.554228387077345</v>
      </c>
      <c r="AI12" s="117">
        <v>43.643383733333579</v>
      </c>
      <c r="AJ12" s="117">
        <v>32.732538312578676</v>
      </c>
      <c r="AK12" s="117">
        <v>21.821692379245281</v>
      </c>
      <c r="AL12" s="117">
        <v>10.910846189622641</v>
      </c>
      <c r="AM12" s="118">
        <v>0</v>
      </c>
    </row>
    <row r="13" spans="1:39" x14ac:dyDescent="0.25">
      <c r="A13" t="s">
        <v>167</v>
      </c>
      <c r="B13" s="96">
        <v>19.5</v>
      </c>
      <c r="C13" s="117">
        <v>18.973012010674495</v>
      </c>
      <c r="D13" s="117">
        <v>18.446023459827188</v>
      </c>
      <c r="E13" s="117">
        <v>17.919034074774167</v>
      </c>
      <c r="F13" s="117">
        <v>17.392043590792309</v>
      </c>
      <c r="G13" s="117">
        <v>16.86505175296594</v>
      </c>
      <c r="H13" s="117">
        <v>16.33805831794966</v>
      </c>
      <c r="I13" s="117">
        <v>15.811063055635287</v>
      </c>
      <c r="J13" s="117">
        <v>15.284065750711592</v>
      </c>
      <c r="K13" s="117">
        <v>14.757066204106414</v>
      </c>
      <c r="L13" s="117">
        <v>14.230064234301599</v>
      </c>
      <c r="M13" s="117">
        <v>13.703059678512243</v>
      </c>
      <c r="N13" s="117">
        <v>13.176052393722717</v>
      </c>
      <c r="O13" s="117">
        <v>12.649042257573051</v>
      </c>
      <c r="P13" s="117">
        <v>12.122029169090409</v>
      </c>
      <c r="Q13" s="117">
        <v>11.595013049261468</v>
      </c>
      <c r="R13" s="117">
        <v>11.067993841442746</v>
      </c>
      <c r="S13" s="117">
        <v>10.540971511607108</v>
      </c>
      <c r="T13" s="117">
        <v>10.013946048425831</v>
      </c>
      <c r="U13" s="117">
        <v>9.4869174631868276</v>
      </c>
      <c r="V13" s="117">
        <v>8.9598857895508051</v>
      </c>
      <c r="W13" s="117">
        <v>8.4328510831482753</v>
      </c>
      <c r="X13" s="117">
        <v>7.9058134210214446</v>
      </c>
      <c r="Y13" s="117">
        <v>7.3787729009161271</v>
      </c>
      <c r="Z13" s="117">
        <v>6.8517296404298573</v>
      </c>
      <c r="AA13" s="117">
        <v>6.3246837760233445</v>
      </c>
      <c r="AB13" s="117">
        <v>5.7976354619033774</v>
      </c>
      <c r="AC13" s="117">
        <v>5.2705848687861305</v>
      </c>
      <c r="AD13" s="117">
        <v>4.7435321825506334</v>
      </c>
      <c r="AE13" s="117">
        <v>4.216477602792863</v>
      </c>
      <c r="AF13" s="117">
        <v>3.6894213412915908</v>
      </c>
      <c r="AG13" s="117">
        <v>3.1623636203976409</v>
      </c>
      <c r="AH13" s="117">
        <v>2.6353046713586972</v>
      </c>
      <c r="AI13" s="117">
        <v>2.1082447325921745</v>
      </c>
      <c r="AJ13" s="117">
        <v>1.5811840479189443</v>
      </c>
      <c r="AK13" s="117">
        <v>1.0541228647709007</v>
      </c>
      <c r="AL13" s="117">
        <v>0.52706143238545033</v>
      </c>
      <c r="AM13" s="118">
        <v>0</v>
      </c>
    </row>
    <row r="14" spans="1:39" x14ac:dyDescent="0.25">
      <c r="A14" t="s">
        <v>168</v>
      </c>
      <c r="B14" s="96">
        <v>5.4</v>
      </c>
      <c r="C14" s="117">
        <v>5.2540540540540608</v>
      </c>
      <c r="D14" s="117">
        <v>5.1081081081081212</v>
      </c>
      <c r="E14" s="117">
        <v>4.9621621621621808</v>
      </c>
      <c r="F14" s="117">
        <v>4.8162162162162403</v>
      </c>
      <c r="G14" s="117">
        <v>4.670270270270299</v>
      </c>
      <c r="H14" s="117">
        <v>4.5243243243243567</v>
      </c>
      <c r="I14" s="117">
        <v>4.3783783783784145</v>
      </c>
      <c r="J14" s="117">
        <v>4.2324324324324714</v>
      </c>
      <c r="K14" s="117">
        <v>4.0864864864865282</v>
      </c>
      <c r="L14" s="117">
        <v>3.9405405405405842</v>
      </c>
      <c r="M14" s="117">
        <v>3.7945945945946398</v>
      </c>
      <c r="N14" s="117">
        <v>3.6486486486486953</v>
      </c>
      <c r="O14" s="117">
        <v>3.5027027027027504</v>
      </c>
      <c r="P14" s="117">
        <v>3.3567567567568051</v>
      </c>
      <c r="Q14" s="117">
        <v>3.2108108108108597</v>
      </c>
      <c r="R14" s="117">
        <v>3.0648648648649139</v>
      </c>
      <c r="S14" s="117">
        <v>2.9189189189189677</v>
      </c>
      <c r="T14" s="117">
        <v>2.7729729729730215</v>
      </c>
      <c r="U14" s="117">
        <v>2.6270270270270748</v>
      </c>
      <c r="V14" s="117">
        <v>2.4810810810811277</v>
      </c>
      <c r="W14" s="117">
        <v>2.3351351351351806</v>
      </c>
      <c r="X14" s="117">
        <v>2.189189189189233</v>
      </c>
      <c r="Y14" s="117">
        <v>2.043243243243285</v>
      </c>
      <c r="Z14" s="117">
        <v>1.8972972972973368</v>
      </c>
      <c r="AA14" s="117">
        <v>1.7513513513513885</v>
      </c>
      <c r="AB14" s="117">
        <v>1.6054054054054401</v>
      </c>
      <c r="AC14" s="117">
        <v>1.4594594594594914</v>
      </c>
      <c r="AD14" s="117">
        <v>1.3135135135135427</v>
      </c>
      <c r="AE14" s="117">
        <v>1.1675675675675938</v>
      </c>
      <c r="AF14" s="117">
        <v>1.0216216216216449</v>
      </c>
      <c r="AG14" s="117">
        <v>0.87567567567569582</v>
      </c>
      <c r="AH14" s="117">
        <v>0.72972972972974659</v>
      </c>
      <c r="AI14" s="117">
        <v>0.58378378378379736</v>
      </c>
      <c r="AJ14" s="117">
        <v>0.43783783783784802</v>
      </c>
      <c r="AK14" s="117">
        <v>0.29189189189189868</v>
      </c>
      <c r="AL14" s="117">
        <v>0.14594594594594934</v>
      </c>
      <c r="AM14" s="118">
        <v>0</v>
      </c>
    </row>
    <row r="15" spans="1:39" x14ac:dyDescent="0.25">
      <c r="A15" t="s">
        <v>169</v>
      </c>
      <c r="B15" s="96">
        <v>19.8</v>
      </c>
      <c r="C15" s="117">
        <v>19.26486486486489</v>
      </c>
      <c r="D15" s="117">
        <v>18.729729729729776</v>
      </c>
      <c r="E15" s="117">
        <v>18.194594594594662</v>
      </c>
      <c r="F15" s="117">
        <v>17.659459459459544</v>
      </c>
      <c r="G15" s="117">
        <v>17.124324324324427</v>
      </c>
      <c r="H15" s="117">
        <v>16.589189189189305</v>
      </c>
      <c r="I15" s="117">
        <v>16.054054054054184</v>
      </c>
      <c r="J15" s="117">
        <v>15.518918918919059</v>
      </c>
      <c r="K15" s="117">
        <v>14.983783783783933</v>
      </c>
      <c r="L15" s="117">
        <v>14.448648648648806</v>
      </c>
      <c r="M15" s="117">
        <v>13.913513513513678</v>
      </c>
      <c r="N15" s="117">
        <v>13.378378378378548</v>
      </c>
      <c r="O15" s="117">
        <v>12.843243243243418</v>
      </c>
      <c r="P15" s="117">
        <v>12.308108108108286</v>
      </c>
      <c r="Q15" s="117">
        <v>11.772972972973152</v>
      </c>
      <c r="R15" s="117">
        <v>11.237837837838018</v>
      </c>
      <c r="S15" s="117">
        <v>10.702702702702883</v>
      </c>
      <c r="T15" s="117">
        <v>10.167567567567746</v>
      </c>
      <c r="U15" s="117">
        <v>9.6324324324326085</v>
      </c>
      <c r="V15" s="117">
        <v>9.0972972972974695</v>
      </c>
      <c r="W15" s="117">
        <v>8.5621621621623287</v>
      </c>
      <c r="X15" s="117">
        <v>8.027027027027188</v>
      </c>
      <c r="Y15" s="117">
        <v>7.4918918918920454</v>
      </c>
      <c r="Z15" s="117">
        <v>6.956756756756902</v>
      </c>
      <c r="AA15" s="117">
        <v>6.4216216216217585</v>
      </c>
      <c r="AB15" s="117">
        <v>5.8864864864866142</v>
      </c>
      <c r="AC15" s="117">
        <v>5.351351351351469</v>
      </c>
      <c r="AD15" s="117">
        <v>4.8162162162163238</v>
      </c>
      <c r="AE15" s="117">
        <v>4.2810810810811777</v>
      </c>
      <c r="AF15" s="117">
        <v>3.7459459459460311</v>
      </c>
      <c r="AG15" s="117">
        <v>3.2108108108108846</v>
      </c>
      <c r="AH15" s="117">
        <v>2.6756756756757376</v>
      </c>
      <c r="AI15" s="117">
        <v>2.1405405405405906</v>
      </c>
      <c r="AJ15" s="117">
        <v>1.6054054054054432</v>
      </c>
      <c r="AK15" s="117">
        <v>1.0702702702702955</v>
      </c>
      <c r="AL15" s="117">
        <v>0.53513513513514777</v>
      </c>
      <c r="AM15" s="118">
        <v>0</v>
      </c>
    </row>
    <row r="16" spans="1:39" ht="15.75" thickBot="1" x14ac:dyDescent="0.3">
      <c r="A16" s="85" t="s">
        <v>100</v>
      </c>
      <c r="B16" s="97">
        <v>543.1922047249999</v>
      </c>
      <c r="C16" s="97">
        <v>541.32039444537327</v>
      </c>
      <c r="D16" s="97">
        <v>539.44858464608456</v>
      </c>
      <c r="E16" s="97">
        <v>537.57677556039403</v>
      </c>
      <c r="F16" s="97">
        <v>535.70496741475188</v>
      </c>
      <c r="G16" s="97">
        <v>533.83316042721833</v>
      </c>
      <c r="H16" s="97">
        <v>531.9613548059566</v>
      </c>
      <c r="I16" s="97">
        <v>530.08955074780624</v>
      </c>
      <c r="J16" s="97">
        <v>528.21774843694948</v>
      </c>
      <c r="K16" s="97">
        <v>526.34594804367691</v>
      </c>
      <c r="L16" s="97">
        <v>524.47414972326328</v>
      </c>
      <c r="M16" s="97">
        <v>522.60235361495836</v>
      </c>
      <c r="N16" s="97">
        <v>520.7305598411009</v>
      </c>
      <c r="O16" s="97">
        <v>518.85876850636043</v>
      </c>
      <c r="P16" s="97">
        <v>516.98697969711122</v>
      </c>
      <c r="Q16" s="97">
        <v>515.11519348094328</v>
      </c>
      <c r="R16" s="97">
        <v>513.24340990631038</v>
      </c>
      <c r="S16" s="97">
        <v>511.37162900232022</v>
      </c>
      <c r="T16" s="97">
        <v>509.4998507786637</v>
      </c>
      <c r="U16" s="97">
        <v>507.62807522568488</v>
      </c>
      <c r="V16" s="97">
        <v>505.75630231458962</v>
      </c>
      <c r="W16" s="97">
        <v>503.8845319977903</v>
      </c>
      <c r="X16" s="97">
        <v>502.01276420938331</v>
      </c>
      <c r="Y16" s="97">
        <v>500.14099886575491</v>
      </c>
      <c r="Z16" s="97">
        <v>498.2692358663092</v>
      </c>
      <c r="AA16" s="97">
        <v>496.39747509431487</v>
      </c>
      <c r="AB16" s="97">
        <v>494.52571641786</v>
      </c>
      <c r="AC16" s="97">
        <v>492.65395969091014</v>
      </c>
      <c r="AD16" s="97">
        <v>490.78220475446022</v>
      </c>
      <c r="AE16" s="97">
        <v>488.91045143777126</v>
      </c>
      <c r="AF16" s="97">
        <v>487.03869955968321</v>
      </c>
      <c r="AG16" s="97">
        <v>485.16694892999226</v>
      </c>
      <c r="AH16" s="97">
        <v>483.29519935088365</v>
      </c>
      <c r="AI16" s="97">
        <v>481.42345061841024</v>
      </c>
      <c r="AJ16" s="97">
        <v>479.551702524002</v>
      </c>
      <c r="AK16" s="97">
        <v>477.67995485600011</v>
      </c>
      <c r="AL16" s="97">
        <v>475.80820740120146</v>
      </c>
      <c r="AM16" s="119">
        <v>473.93645994640292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0:BF111"/>
  <sheetViews>
    <sheetView topLeftCell="A18" workbookViewId="0">
      <selection activeCell="L18" sqref="L18"/>
    </sheetView>
  </sheetViews>
  <sheetFormatPr baseColWidth="10" defaultRowHeight="15" outlineLevelRow="1" x14ac:dyDescent="0.25"/>
  <cols>
    <col min="1" max="1" width="27" bestFit="1" customWidth="1"/>
    <col min="2" max="11" width="8.140625" customWidth="1"/>
    <col min="12" max="14" width="7.7109375" customWidth="1"/>
    <col min="15" max="39" width="8.140625" customWidth="1"/>
    <col min="40" max="74" width="7.5703125" customWidth="1"/>
  </cols>
  <sheetData>
    <row r="10" spans="1:39" x14ac:dyDescent="0.25">
      <c r="A10" s="3" t="s">
        <v>103</v>
      </c>
      <c r="B10" s="47">
        <v>2013</v>
      </c>
      <c r="C10" s="47">
        <v>2014</v>
      </c>
      <c r="D10" s="47">
        <v>2015</v>
      </c>
      <c r="E10" s="47">
        <v>2016</v>
      </c>
      <c r="F10" s="47">
        <v>2017</v>
      </c>
      <c r="G10" s="47">
        <v>2018</v>
      </c>
      <c r="H10" s="47">
        <v>2019</v>
      </c>
      <c r="I10" s="47">
        <v>2020</v>
      </c>
      <c r="J10" s="47">
        <v>2021</v>
      </c>
      <c r="K10" s="47">
        <v>2022</v>
      </c>
      <c r="L10" s="47">
        <v>2023</v>
      </c>
      <c r="M10" s="47">
        <v>2024</v>
      </c>
      <c r="N10" s="47">
        <v>2025</v>
      </c>
      <c r="O10" s="47">
        <v>2026</v>
      </c>
      <c r="P10" s="47">
        <v>2027</v>
      </c>
      <c r="Q10" s="47">
        <v>2028</v>
      </c>
      <c r="R10" s="47">
        <v>2029</v>
      </c>
      <c r="S10" s="47">
        <v>2030</v>
      </c>
      <c r="T10" s="47">
        <v>2031</v>
      </c>
      <c r="U10" s="47">
        <v>2032</v>
      </c>
      <c r="V10" s="47">
        <v>2033</v>
      </c>
      <c r="W10" s="47">
        <v>2034</v>
      </c>
      <c r="X10" s="47">
        <v>2035</v>
      </c>
      <c r="Y10" s="47">
        <v>2036</v>
      </c>
      <c r="Z10" s="47">
        <v>2037</v>
      </c>
      <c r="AA10" s="47">
        <v>2038</v>
      </c>
      <c r="AB10" s="47">
        <v>2039</v>
      </c>
      <c r="AC10" s="47">
        <v>2040</v>
      </c>
      <c r="AD10" s="47">
        <v>2041</v>
      </c>
      <c r="AE10" s="47">
        <v>2042</v>
      </c>
      <c r="AF10" s="47">
        <v>2043</v>
      </c>
      <c r="AG10" s="47">
        <v>2044</v>
      </c>
      <c r="AH10" s="47">
        <v>2045</v>
      </c>
      <c r="AI10" s="47">
        <v>2046</v>
      </c>
      <c r="AJ10" s="47">
        <v>2047</v>
      </c>
      <c r="AK10" s="47">
        <v>2048</v>
      </c>
      <c r="AL10" s="47">
        <v>2049</v>
      </c>
      <c r="AM10" s="47">
        <v>2050</v>
      </c>
    </row>
    <row r="11" spans="1:39" x14ac:dyDescent="0.25">
      <c r="A11" t="s">
        <v>90</v>
      </c>
      <c r="B11" s="109">
        <v>0</v>
      </c>
      <c r="C11" s="111">
        <f>B11+($M11-$B11)/(2024-2013)</f>
        <v>196.97461324784817</v>
      </c>
      <c r="D11" s="111">
        <f t="shared" ref="D11:L11" si="0">C11+($M11-$B11)/(2024-2013)</f>
        <v>393.94922649569634</v>
      </c>
      <c r="E11" s="111">
        <f t="shared" si="0"/>
        <v>590.92383974354448</v>
      </c>
      <c r="F11" s="111">
        <f t="shared" si="0"/>
        <v>787.89845299139267</v>
      </c>
      <c r="G11" s="111">
        <f t="shared" si="0"/>
        <v>984.87306623924087</v>
      </c>
      <c r="H11" s="111">
        <f t="shared" si="0"/>
        <v>1181.847679487089</v>
      </c>
      <c r="I11" s="111">
        <f t="shared" si="0"/>
        <v>1378.822292734937</v>
      </c>
      <c r="J11" s="111">
        <f t="shared" si="0"/>
        <v>1575.7969059827851</v>
      </c>
      <c r="K11" s="111">
        <f t="shared" si="0"/>
        <v>1772.7715192306332</v>
      </c>
      <c r="L11" s="111">
        <f t="shared" si="0"/>
        <v>1969.7461324784813</v>
      </c>
      <c r="M11" s="140">
        <f>'Capacités installées'!H24</f>
        <v>2166.7207457263298</v>
      </c>
      <c r="N11" s="111">
        <f>M11+($AE11-$M11)/(2042-2024)</f>
        <v>2490.862673628425</v>
      </c>
      <c r="O11" s="111">
        <f t="shared" ref="O11:AD11" si="1">N11+($AE11-$M11)/(2042-2024)</f>
        <v>2815.0046015305202</v>
      </c>
      <c r="P11" s="111">
        <f t="shared" si="1"/>
        <v>3139.1465294326154</v>
      </c>
      <c r="Q11" s="111">
        <f t="shared" si="1"/>
        <v>3463.2884573347105</v>
      </c>
      <c r="R11" s="111">
        <f t="shared" si="1"/>
        <v>3787.4303852368057</v>
      </c>
      <c r="S11" s="111">
        <f t="shared" si="1"/>
        <v>4111.5723131389004</v>
      </c>
      <c r="T11" s="111">
        <f t="shared" si="1"/>
        <v>4435.7142410409951</v>
      </c>
      <c r="U11" s="111">
        <f t="shared" si="1"/>
        <v>4759.8561689430899</v>
      </c>
      <c r="V11" s="111">
        <f t="shared" si="1"/>
        <v>5083.9980968451846</v>
      </c>
      <c r="W11" s="111">
        <f t="shared" si="1"/>
        <v>5408.1400247472793</v>
      </c>
      <c r="X11" s="111">
        <f t="shared" si="1"/>
        <v>5732.281952649374</v>
      </c>
      <c r="Y11" s="111">
        <f t="shared" si="1"/>
        <v>6056.4238805514688</v>
      </c>
      <c r="Z11" s="111">
        <f t="shared" si="1"/>
        <v>6380.5658084535635</v>
      </c>
      <c r="AA11" s="111">
        <f t="shared" si="1"/>
        <v>6704.7077363556582</v>
      </c>
      <c r="AB11" s="111">
        <f t="shared" si="1"/>
        <v>7028.8496642577529</v>
      </c>
      <c r="AC11" s="111">
        <f t="shared" si="1"/>
        <v>7352.9915921598476</v>
      </c>
      <c r="AD11" s="111">
        <f t="shared" si="1"/>
        <v>7677.1335200619424</v>
      </c>
      <c r="AE11" s="140">
        <f>'Capacités installées'!G24</f>
        <v>8001.2754479640398</v>
      </c>
      <c r="AF11" s="111">
        <f>AE11+($AM11-$AE11)/(2050-2042)</f>
        <v>9557.6665944420474</v>
      </c>
      <c r="AG11" s="111">
        <f t="shared" ref="AG11:AL11" si="2">AF11+($AM11-$AE11)/(2050-2042)</f>
        <v>11114.057740920056</v>
      </c>
      <c r="AH11" s="111">
        <f t="shared" si="2"/>
        <v>12670.448887398063</v>
      </c>
      <c r="AI11" s="111">
        <f t="shared" si="2"/>
        <v>14226.840033876069</v>
      </c>
      <c r="AJ11" s="111">
        <f t="shared" si="2"/>
        <v>15783.231180354076</v>
      </c>
      <c r="AK11" s="111">
        <f t="shared" si="2"/>
        <v>17339.622326832083</v>
      </c>
      <c r="AL11" s="111">
        <f t="shared" si="2"/>
        <v>18896.013473310089</v>
      </c>
      <c r="AM11" s="110">
        <f>'Capacités installées'!B24</f>
        <v>20452.4046197881</v>
      </c>
    </row>
    <row r="12" spans="1:39" x14ac:dyDescent="0.25">
      <c r="A12" t="s">
        <v>110</v>
      </c>
      <c r="B12" s="33"/>
      <c r="C12" s="42">
        <f>C11-B11</f>
        <v>196.97461324784817</v>
      </c>
      <c r="D12" s="42">
        <f t="shared" ref="D12:AM12" si="3">D11-C11</f>
        <v>196.97461324784817</v>
      </c>
      <c r="E12" s="42">
        <f t="shared" si="3"/>
        <v>196.97461324784814</v>
      </c>
      <c r="F12" s="42">
        <f t="shared" si="3"/>
        <v>196.9746132478482</v>
      </c>
      <c r="G12" s="42">
        <f t="shared" si="3"/>
        <v>196.9746132478482</v>
      </c>
      <c r="H12" s="42">
        <f t="shared" si="3"/>
        <v>196.97461324784808</v>
      </c>
      <c r="I12" s="42">
        <f t="shared" si="3"/>
        <v>196.97461324784808</v>
      </c>
      <c r="J12" s="42">
        <f t="shared" si="3"/>
        <v>196.97461324784808</v>
      </c>
      <c r="K12" s="42">
        <f t="shared" si="3"/>
        <v>196.97461324784808</v>
      </c>
      <c r="L12" s="42">
        <f t="shared" si="3"/>
        <v>196.97461324784808</v>
      </c>
      <c r="M12" s="42">
        <f t="shared" si="3"/>
        <v>196.97461324784854</v>
      </c>
      <c r="N12" s="42">
        <f t="shared" si="3"/>
        <v>324.14192790209518</v>
      </c>
      <c r="O12" s="42">
        <f t="shared" si="3"/>
        <v>324.14192790209518</v>
      </c>
      <c r="P12" s="42">
        <f t="shared" si="3"/>
        <v>324.14192790209518</v>
      </c>
      <c r="Q12" s="42">
        <f t="shared" si="3"/>
        <v>324.14192790209518</v>
      </c>
      <c r="R12" s="42">
        <f t="shared" si="3"/>
        <v>324.14192790209518</v>
      </c>
      <c r="S12" s="42">
        <f t="shared" si="3"/>
        <v>324.14192790209472</v>
      </c>
      <c r="T12" s="42">
        <f t="shared" si="3"/>
        <v>324.14192790209472</v>
      </c>
      <c r="U12" s="42">
        <f t="shared" si="3"/>
        <v>324.14192790209472</v>
      </c>
      <c r="V12" s="42">
        <f t="shared" si="3"/>
        <v>324.14192790209472</v>
      </c>
      <c r="W12" s="42">
        <f t="shared" si="3"/>
        <v>324.14192790209472</v>
      </c>
      <c r="X12" s="42">
        <f t="shared" si="3"/>
        <v>324.14192790209472</v>
      </c>
      <c r="Y12" s="42">
        <f t="shared" si="3"/>
        <v>324.14192790209472</v>
      </c>
      <c r="Z12" s="42">
        <f t="shared" si="3"/>
        <v>324.14192790209472</v>
      </c>
      <c r="AA12" s="42">
        <f t="shared" si="3"/>
        <v>324.14192790209472</v>
      </c>
      <c r="AB12" s="42">
        <f t="shared" si="3"/>
        <v>324.14192790209472</v>
      </c>
      <c r="AC12" s="42">
        <f t="shared" si="3"/>
        <v>324.14192790209472</v>
      </c>
      <c r="AD12" s="42">
        <f t="shared" si="3"/>
        <v>324.14192790209472</v>
      </c>
      <c r="AE12" s="42">
        <f t="shared" si="3"/>
        <v>324.14192790209745</v>
      </c>
      <c r="AF12" s="42">
        <f t="shared" si="3"/>
        <v>1556.3911464780076</v>
      </c>
      <c r="AG12" s="42">
        <f t="shared" si="3"/>
        <v>1556.3911464780085</v>
      </c>
      <c r="AH12" s="42">
        <f t="shared" si="3"/>
        <v>1556.3911464780067</v>
      </c>
      <c r="AI12" s="42">
        <f t="shared" si="3"/>
        <v>1556.3911464780067</v>
      </c>
      <c r="AJ12" s="42">
        <f t="shared" si="3"/>
        <v>1556.3911464780067</v>
      </c>
      <c r="AK12" s="42">
        <f t="shared" si="3"/>
        <v>1556.3911464780067</v>
      </c>
      <c r="AL12" s="42">
        <f t="shared" si="3"/>
        <v>1556.3911464780067</v>
      </c>
      <c r="AM12" s="42">
        <f t="shared" si="3"/>
        <v>1556.3911464780103</v>
      </c>
    </row>
    <row r="13" spans="1:39" x14ac:dyDescent="0.25">
      <c r="A13" t="s">
        <v>106</v>
      </c>
      <c r="B13" s="46">
        <f>LCOE!AN28*1000</f>
        <v>900000</v>
      </c>
      <c r="C13" s="42"/>
      <c r="D13" s="42"/>
      <c r="E13" s="42"/>
      <c r="F13" s="42"/>
      <c r="G13" s="42"/>
      <c r="H13" s="42"/>
      <c r="I13" s="42"/>
      <c r="J13" s="42"/>
      <c r="K13" s="42"/>
      <c r="L13" s="42"/>
      <c r="M13" s="49"/>
      <c r="N13" s="42"/>
      <c r="O13" s="42"/>
      <c r="P13" s="42"/>
      <c r="Q13" s="42"/>
      <c r="R13" s="42"/>
      <c r="S13" s="43">
        <f>LCOE!AO28*1000</f>
        <v>805000</v>
      </c>
      <c r="T13" s="42"/>
      <c r="U13" s="42"/>
      <c r="V13" s="42"/>
      <c r="W13" s="42"/>
      <c r="X13" s="42"/>
      <c r="Y13" s="42"/>
      <c r="Z13" s="42"/>
      <c r="AA13" s="42"/>
      <c r="AB13" s="42"/>
      <c r="AC13" s="42"/>
      <c r="AD13" s="42"/>
      <c r="AE13" s="49"/>
      <c r="AF13" s="49"/>
      <c r="AG13" s="49"/>
      <c r="AH13" s="49"/>
      <c r="AI13" s="49"/>
      <c r="AJ13" s="49"/>
      <c r="AK13" s="49"/>
      <c r="AL13" s="42"/>
      <c r="AM13" s="43">
        <f>LCOE!AP28*1000</f>
        <v>753000</v>
      </c>
    </row>
    <row r="14" spans="1:39" x14ac:dyDescent="0.25">
      <c r="A14" t="s">
        <v>104</v>
      </c>
      <c r="B14" s="41">
        <f>B13*S14/S13</f>
        <v>57370.517928286856</v>
      </c>
      <c r="C14" s="13">
        <f>B14+($S14-$B14)/(2030-2013)</f>
        <v>57014.295758143897</v>
      </c>
      <c r="D14" s="13">
        <f t="shared" ref="D14:R15" si="4">C14+($S14-$B14)/(2030-2013)</f>
        <v>56658.073588000938</v>
      </c>
      <c r="E14" s="13">
        <f t="shared" si="4"/>
        <v>56301.851417857979</v>
      </c>
      <c r="F14" s="13">
        <f t="shared" si="4"/>
        <v>55945.62924771502</v>
      </c>
      <c r="G14" s="13">
        <f t="shared" si="4"/>
        <v>55589.407077572061</v>
      </c>
      <c r="H14" s="13">
        <f t="shared" si="4"/>
        <v>55233.184907429102</v>
      </c>
      <c r="I14" s="13">
        <f t="shared" si="4"/>
        <v>54876.962737286143</v>
      </c>
      <c r="J14" s="13">
        <f t="shared" si="4"/>
        <v>54520.740567143184</v>
      </c>
      <c r="K14" s="13">
        <f t="shared" si="4"/>
        <v>54164.518397000225</v>
      </c>
      <c r="L14" s="13">
        <f t="shared" si="4"/>
        <v>53808.296226857266</v>
      </c>
      <c r="M14" s="13">
        <f t="shared" si="4"/>
        <v>53452.074056714308</v>
      </c>
      <c r="N14" s="13">
        <f t="shared" si="4"/>
        <v>53095.851886571349</v>
      </c>
      <c r="O14" s="13">
        <f t="shared" si="4"/>
        <v>52739.62971642839</v>
      </c>
      <c r="P14" s="13">
        <f t="shared" si="4"/>
        <v>52383.407546285431</v>
      </c>
      <c r="Q14" s="13">
        <f t="shared" si="4"/>
        <v>52027.185376142472</v>
      </c>
      <c r="R14" s="13">
        <f t="shared" si="4"/>
        <v>51670.963205999513</v>
      </c>
      <c r="S14" s="13">
        <f>S13*AM14/AM13</f>
        <v>51314.741035856576</v>
      </c>
      <c r="T14" s="13">
        <f>S14+($AM14-$S14)/(2050-2030)</f>
        <v>51149.003984063747</v>
      </c>
      <c r="U14" s="13">
        <f t="shared" ref="U14:AL15" si="5">T14+($AM14-$S14)/(2050-2030)</f>
        <v>50983.266932270919</v>
      </c>
      <c r="V14" s="13">
        <f t="shared" si="5"/>
        <v>50817.52988047809</v>
      </c>
      <c r="W14" s="13">
        <f t="shared" si="5"/>
        <v>50651.792828685262</v>
      </c>
      <c r="X14" s="13">
        <f t="shared" si="5"/>
        <v>50486.055776892434</v>
      </c>
      <c r="Y14" s="13">
        <f t="shared" si="5"/>
        <v>50320.318725099605</v>
      </c>
      <c r="Z14" s="13">
        <f t="shared" si="5"/>
        <v>50154.581673306777</v>
      </c>
      <c r="AA14" s="13">
        <f t="shared" si="5"/>
        <v>49988.844621513948</v>
      </c>
      <c r="AB14" s="13">
        <f t="shared" si="5"/>
        <v>49823.10756972112</v>
      </c>
      <c r="AC14" s="13">
        <f t="shared" si="5"/>
        <v>49657.370517928292</v>
      </c>
      <c r="AD14" s="13">
        <f t="shared" si="5"/>
        <v>49491.633466135463</v>
      </c>
      <c r="AE14" s="13">
        <f t="shared" si="5"/>
        <v>49325.896414342635</v>
      </c>
      <c r="AF14" s="13">
        <f t="shared" si="5"/>
        <v>49160.159362549806</v>
      </c>
      <c r="AG14" s="13">
        <f t="shared" si="5"/>
        <v>48994.422310756978</v>
      </c>
      <c r="AH14" s="13">
        <f t="shared" si="5"/>
        <v>48828.685258964149</v>
      </c>
      <c r="AI14" s="13">
        <f t="shared" si="5"/>
        <v>48662.948207171321</v>
      </c>
      <c r="AJ14" s="13">
        <f t="shared" si="5"/>
        <v>48497.211155378493</v>
      </c>
      <c r="AK14" s="13">
        <f t="shared" si="5"/>
        <v>48331.474103585664</v>
      </c>
      <c r="AL14" s="13">
        <f t="shared" si="5"/>
        <v>48165.737051792836</v>
      </c>
      <c r="AM14" s="13">
        <f>LCOE!AR28*1000</f>
        <v>48000</v>
      </c>
    </row>
    <row r="15" spans="1:39" x14ac:dyDescent="0.25">
      <c r="A15" t="s">
        <v>105</v>
      </c>
      <c r="B15" s="13">
        <f>B14*S15/S14</f>
        <v>16733.067729083668</v>
      </c>
      <c r="C15" s="13">
        <f>B15+($S15-$B15)/(2030-2013)</f>
        <v>16629.169596125306</v>
      </c>
      <c r="D15" s="13">
        <f t="shared" si="4"/>
        <v>16525.271463166944</v>
      </c>
      <c r="E15" s="13">
        <f t="shared" si="4"/>
        <v>16421.373330208582</v>
      </c>
      <c r="F15" s="13">
        <f t="shared" si="4"/>
        <v>16317.47519725022</v>
      </c>
      <c r="G15" s="13">
        <f t="shared" si="4"/>
        <v>16213.577064291858</v>
      </c>
      <c r="H15" s="13">
        <f t="shared" si="4"/>
        <v>16109.678931333496</v>
      </c>
      <c r="I15" s="13">
        <f t="shared" si="4"/>
        <v>16005.780798375134</v>
      </c>
      <c r="J15" s="13">
        <f t="shared" si="4"/>
        <v>15901.882665416771</v>
      </c>
      <c r="K15" s="13">
        <f t="shared" si="4"/>
        <v>15797.984532458409</v>
      </c>
      <c r="L15" s="13">
        <f t="shared" si="4"/>
        <v>15694.086399500047</v>
      </c>
      <c r="M15" s="13">
        <f t="shared" si="4"/>
        <v>15590.188266541685</v>
      </c>
      <c r="N15" s="13">
        <f t="shared" si="4"/>
        <v>15486.290133583323</v>
      </c>
      <c r="O15" s="13">
        <f t="shared" si="4"/>
        <v>15382.392000624961</v>
      </c>
      <c r="P15" s="13">
        <f>O15+($S15-$B15)/(2030-2013)</f>
        <v>15278.493867666599</v>
      </c>
      <c r="Q15" s="13">
        <f t="shared" si="4"/>
        <v>15174.595734708237</v>
      </c>
      <c r="R15" s="13">
        <f t="shared" si="4"/>
        <v>15070.697601749875</v>
      </c>
      <c r="S15" s="13">
        <f>S14*AM15/AM14</f>
        <v>14966.799468791502</v>
      </c>
      <c r="T15" s="13">
        <f>S15+($AM15-$S15)/(2050-2030)</f>
        <v>14918.459495351926</v>
      </c>
      <c r="U15" s="13">
        <f t="shared" si="5"/>
        <v>14870.119521912351</v>
      </c>
      <c r="V15" s="13">
        <f t="shared" si="5"/>
        <v>14821.779548472776</v>
      </c>
      <c r="W15" s="13">
        <f>V15+($AM15-$S15)/(2050-2030)</f>
        <v>14773.439575033201</v>
      </c>
      <c r="X15" s="13">
        <f t="shared" si="5"/>
        <v>14725.099601593625</v>
      </c>
      <c r="Y15" s="13">
        <f t="shared" si="5"/>
        <v>14676.75962815405</v>
      </c>
      <c r="Z15" s="13">
        <f t="shared" si="5"/>
        <v>14628.419654714475</v>
      </c>
      <c r="AA15" s="13">
        <f t="shared" si="5"/>
        <v>14580.079681274899</v>
      </c>
      <c r="AB15" s="13">
        <f t="shared" si="5"/>
        <v>14531.739707835324</v>
      </c>
      <c r="AC15" s="13">
        <f t="shared" si="5"/>
        <v>14483.399734395749</v>
      </c>
      <c r="AD15" s="13">
        <f t="shared" si="5"/>
        <v>14435.059760956174</v>
      </c>
      <c r="AE15" s="13">
        <f t="shared" si="5"/>
        <v>14386.719787516598</v>
      </c>
      <c r="AF15" s="13">
        <f t="shared" si="5"/>
        <v>14338.379814077023</v>
      </c>
      <c r="AG15" s="13">
        <f t="shared" si="5"/>
        <v>14290.039840637448</v>
      </c>
      <c r="AH15" s="13">
        <f t="shared" si="5"/>
        <v>14241.699867197873</v>
      </c>
      <c r="AI15" s="13">
        <f t="shared" si="5"/>
        <v>14193.359893758297</v>
      </c>
      <c r="AJ15" s="13">
        <f t="shared" si="5"/>
        <v>14145.019920318722</v>
      </c>
      <c r="AK15" s="13">
        <f t="shared" si="5"/>
        <v>14096.679946879147</v>
      </c>
      <c r="AL15" s="13">
        <f t="shared" si="5"/>
        <v>14048.339973439572</v>
      </c>
      <c r="AM15" s="13">
        <f>LCOE!AS28*1000</f>
        <v>14000</v>
      </c>
    </row>
    <row r="16" spans="1:39" x14ac:dyDescent="0.25">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row>
    <row r="17" spans="1:39" x14ac:dyDescent="0.25">
      <c r="A17" t="s">
        <v>111</v>
      </c>
      <c r="B17" s="111">
        <v>0</v>
      </c>
      <c r="C17" s="111">
        <v>11.230368856558853</v>
      </c>
      <c r="D17" s="111">
        <v>22.390570988923493</v>
      </c>
      <c r="E17" s="111">
        <v>33.480606397093922</v>
      </c>
      <c r="F17" s="111">
        <v>44.500475081070128</v>
      </c>
      <c r="G17" s="111">
        <v>55.450177040852118</v>
      </c>
      <c r="H17" s="111">
        <v>66.329712276439892</v>
      </c>
      <c r="I17" s="111">
        <v>77.139080787833436</v>
      </c>
      <c r="J17" s="111">
        <v>87.878282575032742</v>
      </c>
      <c r="K17" s="111">
        <v>98.547317638037839</v>
      </c>
      <c r="L17" s="111">
        <v>109.1461859768487</v>
      </c>
      <c r="M17" s="111">
        <v>119.67488759146534</v>
      </c>
      <c r="N17" s="111">
        <v>136.88646195988798</v>
      </c>
      <c r="O17" s="111">
        <v>153.98250433626202</v>
      </c>
      <c r="P17" s="111">
        <v>170.96298981066121</v>
      </c>
      <c r="Q17" s="111">
        <v>187.82789728806395</v>
      </c>
      <c r="R17" s="111">
        <v>204.57720996571211</v>
      </c>
      <c r="S17" s="111">
        <v>221.21091565905971</v>
      </c>
      <c r="T17" s="111">
        <v>237.790752303121</v>
      </c>
      <c r="U17" s="111">
        <v>254.31671619264057</v>
      </c>
      <c r="V17" s="111">
        <v>270.78880829932109</v>
      </c>
      <c r="W17" s="111">
        <v>285.95378251837656</v>
      </c>
      <c r="X17" s="111">
        <v>301.10242073477059</v>
      </c>
      <c r="Y17" s="111">
        <v>316.23473625546535</v>
      </c>
      <c r="Z17" s="111">
        <v>331.3507455584467</v>
      </c>
      <c r="AA17" s="111">
        <v>346.45046767912186</v>
      </c>
      <c r="AB17" s="111">
        <v>361.53392354176964</v>
      </c>
      <c r="AC17" s="111">
        <v>376.60113525827563</v>
      </c>
      <c r="AD17" s="111">
        <v>391.65212541656325</v>
      </c>
      <c r="AE17" s="111">
        <v>406.68691638062904</v>
      </c>
      <c r="AF17" s="111">
        <v>482.28378821048562</v>
      </c>
      <c r="AG17" s="111">
        <v>557.66022909289188</v>
      </c>
      <c r="AH17" s="111">
        <v>632.27351593987305</v>
      </c>
      <c r="AI17" s="111">
        <v>706.69060339514965</v>
      </c>
      <c r="AJ17" s="111">
        <v>780.9114929405257</v>
      </c>
      <c r="AK17" s="111">
        <v>854.93618554363832</v>
      </c>
      <c r="AL17" s="111">
        <v>928.76468166765562</v>
      </c>
      <c r="AM17" s="111">
        <v>1002.3969812999535</v>
      </c>
    </row>
    <row r="18" spans="1:39" x14ac:dyDescent="0.25">
      <c r="A18" t="s">
        <v>107</v>
      </c>
      <c r="B18" s="13">
        <f>B15*B11/1000000</f>
        <v>0</v>
      </c>
      <c r="C18" s="13">
        <f t="shared" ref="C18:S18" si="6">C15*C11/1000000</f>
        <v>3.2755242498296577</v>
      </c>
      <c r="D18" s="13">
        <f t="shared" si="6"/>
        <v>6.5101179105460218</v>
      </c>
      <c r="E18" s="13">
        <f t="shared" si="6"/>
        <v>9.703780982149091</v>
      </c>
      <c r="F18" s="13">
        <f t="shared" si="6"/>
        <v>12.856513464638867</v>
      </c>
      <c r="G18" s="13">
        <f t="shared" si="6"/>
        <v>15.968315358015351</v>
      </c>
      <c r="H18" s="13">
        <f t="shared" si="6"/>
        <v>19.039186662278542</v>
      </c>
      <c r="I18" s="13">
        <f t="shared" si="6"/>
        <v>22.06912737742843</v>
      </c>
      <c r="J18" s="13">
        <f t="shared" si="6"/>
        <v>25.058137503465034</v>
      </c>
      <c r="K18" s="13">
        <f t="shared" si="6"/>
        <v>28.006217040388339</v>
      </c>
      <c r="L18" s="13">
        <f t="shared" si="6"/>
        <v>30.91336598819835</v>
      </c>
      <c r="M18" s="13">
        <f t="shared" si="6"/>
        <v>33.779584346895078</v>
      </c>
      <c r="N18" s="13">
        <f t="shared" si="6"/>
        <v>38.574222046722852</v>
      </c>
      <c r="O18" s="13">
        <f t="shared" si="6"/>
        <v>43.301504264305535</v>
      </c>
      <c r="P18" s="13">
        <f t="shared" si="6"/>
        <v>47.961430999643099</v>
      </c>
      <c r="Q18" s="13">
        <f t="shared" si="6"/>
        <v>52.554002252735572</v>
      </c>
      <c r="R18" s="13">
        <f t="shared" si="6"/>
        <v>57.079218023582925</v>
      </c>
      <c r="S18" s="13">
        <f t="shared" si="6"/>
        <v>61.537078312185137</v>
      </c>
      <c r="T18" s="13">
        <f t="shared" ref="T18:AM18" si="7">T15*T11/1000000</f>
        <v>66.174023237925795</v>
      </c>
      <c r="U18" s="13">
        <f t="shared" si="7"/>
        <v>70.779630139295577</v>
      </c>
      <c r="V18" s="13">
        <f t="shared" si="7"/>
        <v>75.353899016294463</v>
      </c>
      <c r="W18" s="13">
        <f t="shared" si="7"/>
        <v>79.896829868922481</v>
      </c>
      <c r="X18" s="13">
        <f t="shared" si="7"/>
        <v>84.408422697179631</v>
      </c>
      <c r="Y18" s="13">
        <f t="shared" si="7"/>
        <v>88.888677501065885</v>
      </c>
      <c r="Z18" s="13">
        <f t="shared" si="7"/>
        <v>93.337594280581271</v>
      </c>
      <c r="AA18" s="13">
        <f t="shared" si="7"/>
        <v>97.755173035725761</v>
      </c>
      <c r="AB18" s="13">
        <f t="shared" si="7"/>
        <v>102.14141376649937</v>
      </c>
      <c r="AC18" s="13">
        <f t="shared" si="7"/>
        <v>106.49631647290212</v>
      </c>
      <c r="AD18" s="13">
        <f t="shared" si="7"/>
        <v>110.81988115493398</v>
      </c>
      <c r="AE18" s="13">
        <f t="shared" si="7"/>
        <v>115.11210781259499</v>
      </c>
      <c r="AF18" s="13">
        <f t="shared" si="7"/>
        <v>137.04145376742613</v>
      </c>
      <c r="AG18" s="13">
        <f t="shared" si="7"/>
        <v>158.82032790889264</v>
      </c>
      <c r="AH18" s="13">
        <f t="shared" si="7"/>
        <v>180.44873023699441</v>
      </c>
      <c r="AI18" s="13">
        <f t="shared" si="7"/>
        <v>201.92666075173153</v>
      </c>
      <c r="AJ18" s="13">
        <f t="shared" si="7"/>
        <v>223.25411945310398</v>
      </c>
      <c r="AK18" s="13">
        <f t="shared" si="7"/>
        <v>244.43110634111176</v>
      </c>
      <c r="AL18" s="13">
        <f t="shared" si="7"/>
        <v>265.45762141575483</v>
      </c>
      <c r="AM18" s="13">
        <f t="shared" si="7"/>
        <v>286.33366467703343</v>
      </c>
    </row>
    <row r="19" spans="1:39" x14ac:dyDescent="0.25">
      <c r="A19" t="s">
        <v>112</v>
      </c>
      <c r="B19" s="13">
        <f>B18+B17</f>
        <v>0</v>
      </c>
      <c r="C19" s="13">
        <f t="shared" ref="C19:AM19" si="8">C18+C17</f>
        <v>14.505893106388511</v>
      </c>
      <c r="D19" s="13">
        <f t="shared" si="8"/>
        <v>28.900688899469515</v>
      </c>
      <c r="E19" s="13">
        <f t="shared" si="8"/>
        <v>43.184387379243013</v>
      </c>
      <c r="F19" s="13">
        <f t="shared" si="8"/>
        <v>57.356988545708994</v>
      </c>
      <c r="G19" s="13">
        <f t="shared" si="8"/>
        <v>71.418492398867471</v>
      </c>
      <c r="H19" s="13">
        <f t="shared" si="8"/>
        <v>85.368898938718431</v>
      </c>
      <c r="I19" s="13">
        <f t="shared" si="8"/>
        <v>99.208208165261865</v>
      </c>
      <c r="J19" s="13">
        <f t="shared" si="8"/>
        <v>112.93642007849778</v>
      </c>
      <c r="K19" s="13">
        <f t="shared" si="8"/>
        <v>126.55353467842617</v>
      </c>
      <c r="L19" s="13">
        <f t="shared" si="8"/>
        <v>140.05955196504704</v>
      </c>
      <c r="M19" s="13">
        <f t="shared" si="8"/>
        <v>153.45447193836043</v>
      </c>
      <c r="N19" s="13">
        <f t="shared" si="8"/>
        <v>175.46068400661085</v>
      </c>
      <c r="O19" s="13">
        <f t="shared" si="8"/>
        <v>197.28400860056757</v>
      </c>
      <c r="P19" s="13">
        <f t="shared" si="8"/>
        <v>218.9244208103043</v>
      </c>
      <c r="Q19" s="13">
        <f t="shared" si="8"/>
        <v>240.38189954079951</v>
      </c>
      <c r="R19" s="13">
        <f t="shared" si="8"/>
        <v>261.65642798929503</v>
      </c>
      <c r="S19" s="13">
        <f t="shared" si="8"/>
        <v>282.74799397124485</v>
      </c>
      <c r="T19" s="13">
        <f t="shared" si="8"/>
        <v>303.96477554104678</v>
      </c>
      <c r="U19" s="13">
        <f t="shared" si="8"/>
        <v>325.09634633193616</v>
      </c>
      <c r="V19" s="13">
        <f t="shared" si="8"/>
        <v>346.14270731561555</v>
      </c>
      <c r="W19" s="13">
        <f t="shared" si="8"/>
        <v>365.85061238729907</v>
      </c>
      <c r="X19" s="13">
        <f t="shared" si="8"/>
        <v>385.51084343195021</v>
      </c>
      <c r="Y19" s="13">
        <f t="shared" si="8"/>
        <v>405.12341375653125</v>
      </c>
      <c r="Z19" s="13">
        <f t="shared" si="8"/>
        <v>424.688339839028</v>
      </c>
      <c r="AA19" s="13">
        <f t="shared" si="8"/>
        <v>444.20564071484762</v>
      </c>
      <c r="AB19" s="13">
        <f t="shared" si="8"/>
        <v>463.67533730826904</v>
      </c>
      <c r="AC19" s="13">
        <f t="shared" si="8"/>
        <v>483.09745173117778</v>
      </c>
      <c r="AD19" s="13">
        <f t="shared" si="8"/>
        <v>502.47200657149722</v>
      </c>
      <c r="AE19" s="13">
        <f t="shared" si="8"/>
        <v>521.799024193224</v>
      </c>
      <c r="AF19" s="13">
        <f t="shared" si="8"/>
        <v>619.32524197791179</v>
      </c>
      <c r="AG19" s="13">
        <f t="shared" si="8"/>
        <v>716.48055700178452</v>
      </c>
      <c r="AH19" s="13">
        <f t="shared" si="8"/>
        <v>812.72224617686743</v>
      </c>
      <c r="AI19" s="13">
        <f t="shared" si="8"/>
        <v>908.61726414688121</v>
      </c>
      <c r="AJ19" s="13">
        <f t="shared" si="8"/>
        <v>1004.1656123936297</v>
      </c>
      <c r="AK19" s="13">
        <f t="shared" si="8"/>
        <v>1099.3672918847501</v>
      </c>
      <c r="AL19" s="13">
        <f t="shared" si="8"/>
        <v>1194.2223030834105</v>
      </c>
      <c r="AM19" s="13">
        <f t="shared" si="8"/>
        <v>1288.730645976987</v>
      </c>
    </row>
    <row r="20" spans="1:39" x14ac:dyDescent="0.25">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row>
    <row r="22" spans="1:39" x14ac:dyDescent="0.25">
      <c r="A22" s="3" t="s">
        <v>29</v>
      </c>
      <c r="B22" s="47">
        <v>2013</v>
      </c>
      <c r="C22" s="47">
        <v>2014</v>
      </c>
      <c r="D22" s="47">
        <v>2015</v>
      </c>
      <c r="E22" s="47">
        <v>2016</v>
      </c>
      <c r="F22" s="47">
        <v>2017</v>
      </c>
      <c r="G22" s="47">
        <v>2018</v>
      </c>
      <c r="H22" s="47">
        <v>2019</v>
      </c>
      <c r="I22" s="47">
        <v>2020</v>
      </c>
      <c r="J22" s="47">
        <v>2021</v>
      </c>
      <c r="K22" s="47">
        <v>2022</v>
      </c>
      <c r="L22" s="47">
        <v>2023</v>
      </c>
      <c r="M22" s="47">
        <v>2024</v>
      </c>
      <c r="N22" s="47">
        <v>2025</v>
      </c>
      <c r="O22" s="47">
        <v>2026</v>
      </c>
      <c r="P22" s="47">
        <v>2027</v>
      </c>
      <c r="Q22" s="47">
        <v>2028</v>
      </c>
      <c r="R22" s="47">
        <v>2029</v>
      </c>
      <c r="S22" s="47">
        <v>2030</v>
      </c>
      <c r="T22" s="47">
        <v>2031</v>
      </c>
      <c r="U22" s="47">
        <v>2032</v>
      </c>
      <c r="V22" s="47">
        <v>2033</v>
      </c>
      <c r="W22" s="47">
        <v>2034</v>
      </c>
      <c r="X22" s="47">
        <v>2035</v>
      </c>
      <c r="Y22" s="47">
        <v>2036</v>
      </c>
      <c r="Z22" s="47">
        <v>2037</v>
      </c>
      <c r="AA22" s="47">
        <v>2038</v>
      </c>
      <c r="AB22" s="47">
        <v>2039</v>
      </c>
      <c r="AC22" s="47">
        <v>2040</v>
      </c>
      <c r="AD22" s="47">
        <v>2041</v>
      </c>
      <c r="AE22" s="47">
        <v>2042</v>
      </c>
      <c r="AF22" s="47">
        <v>2043</v>
      </c>
      <c r="AG22" s="47">
        <v>2044</v>
      </c>
      <c r="AH22" s="47">
        <v>2045</v>
      </c>
      <c r="AI22" s="47">
        <v>2046</v>
      </c>
      <c r="AJ22" s="47">
        <v>2047</v>
      </c>
      <c r="AK22" s="47">
        <v>2048</v>
      </c>
      <c r="AL22" s="47">
        <v>2049</v>
      </c>
      <c r="AM22" s="47">
        <v>2050</v>
      </c>
    </row>
    <row r="23" spans="1:39" x14ac:dyDescent="0.25">
      <c r="A23" s="51" t="s">
        <v>90</v>
      </c>
      <c r="B23" s="109">
        <v>0</v>
      </c>
      <c r="C23" s="111">
        <v>0</v>
      </c>
      <c r="D23" s="111">
        <v>0</v>
      </c>
      <c r="E23" s="111">
        <v>0</v>
      </c>
      <c r="F23" s="111">
        <v>0</v>
      </c>
      <c r="G23" s="111">
        <v>0</v>
      </c>
      <c r="H23" s="111">
        <v>0</v>
      </c>
      <c r="I23" s="111">
        <v>0</v>
      </c>
      <c r="J23" s="111">
        <v>0</v>
      </c>
      <c r="K23" s="111">
        <v>0</v>
      </c>
      <c r="L23" s="111">
        <v>0</v>
      </c>
      <c r="M23" s="110">
        <f>'Capacités installées'!H21</f>
        <v>0</v>
      </c>
      <c r="N23" s="111">
        <v>0</v>
      </c>
      <c r="O23" s="111">
        <v>0</v>
      </c>
      <c r="P23" s="111">
        <v>0</v>
      </c>
      <c r="Q23" s="111">
        <v>0</v>
      </c>
      <c r="R23" s="111">
        <v>0</v>
      </c>
      <c r="S23" s="111">
        <v>0</v>
      </c>
      <c r="T23" s="111">
        <v>0</v>
      </c>
      <c r="U23" s="111">
        <v>0</v>
      </c>
      <c r="V23" s="111">
        <v>0</v>
      </c>
      <c r="W23" s="111">
        <v>0</v>
      </c>
      <c r="X23" s="111">
        <v>0</v>
      </c>
      <c r="Y23" s="111">
        <v>0</v>
      </c>
      <c r="Z23" s="111">
        <v>0</v>
      </c>
      <c r="AA23" s="111">
        <v>0</v>
      </c>
      <c r="AB23" s="111">
        <v>0</v>
      </c>
      <c r="AC23" s="111">
        <v>0</v>
      </c>
      <c r="AD23" s="111">
        <v>0</v>
      </c>
      <c r="AE23" s="145">
        <f>AD23+($AM23-$AD23)/(2050-2041)</f>
        <v>1509.6137944172222</v>
      </c>
      <c r="AF23" s="145">
        <f t="shared" ref="AF23:AL23" si="9">AE23+($AM23-$AD23)/(2050-2041)</f>
        <v>3019.2275888344443</v>
      </c>
      <c r="AG23" s="145">
        <f t="shared" si="9"/>
        <v>4528.8413832516662</v>
      </c>
      <c r="AH23" s="145">
        <f t="shared" si="9"/>
        <v>6038.4551776688886</v>
      </c>
      <c r="AI23" s="145">
        <f t="shared" si="9"/>
        <v>7548.068972086111</v>
      </c>
      <c r="AJ23" s="145">
        <f t="shared" si="9"/>
        <v>9057.6827665033325</v>
      </c>
      <c r="AK23" s="145">
        <f t="shared" si="9"/>
        <v>10567.296560920555</v>
      </c>
      <c r="AL23" s="145">
        <f t="shared" si="9"/>
        <v>12076.910355337777</v>
      </c>
      <c r="AM23" s="110">
        <f>'Capacités installées'!B21</f>
        <v>13586.524149755</v>
      </c>
    </row>
    <row r="24" spans="1:39" x14ac:dyDescent="0.25">
      <c r="A24" t="s">
        <v>110</v>
      </c>
      <c r="B24" s="33"/>
      <c r="C24" s="42">
        <f t="shared" ref="C24:AM24" si="10">C23-B23</f>
        <v>0</v>
      </c>
      <c r="D24" s="42">
        <f t="shared" si="10"/>
        <v>0</v>
      </c>
      <c r="E24" s="42">
        <f t="shared" si="10"/>
        <v>0</v>
      </c>
      <c r="F24" s="42">
        <f t="shared" si="10"/>
        <v>0</v>
      </c>
      <c r="G24" s="42">
        <f t="shared" si="10"/>
        <v>0</v>
      </c>
      <c r="H24" s="42">
        <f t="shared" si="10"/>
        <v>0</v>
      </c>
      <c r="I24" s="42">
        <f t="shared" si="10"/>
        <v>0</v>
      </c>
      <c r="J24" s="42">
        <f t="shared" si="10"/>
        <v>0</v>
      </c>
      <c r="K24" s="42">
        <f t="shared" si="10"/>
        <v>0</v>
      </c>
      <c r="L24" s="42">
        <f t="shared" si="10"/>
        <v>0</v>
      </c>
      <c r="M24" s="42">
        <f t="shared" si="10"/>
        <v>0</v>
      </c>
      <c r="N24" s="42">
        <f t="shared" si="10"/>
        <v>0</v>
      </c>
      <c r="O24" s="42">
        <f t="shared" si="10"/>
        <v>0</v>
      </c>
      <c r="P24" s="42">
        <f t="shared" si="10"/>
        <v>0</v>
      </c>
      <c r="Q24" s="42">
        <f t="shared" si="10"/>
        <v>0</v>
      </c>
      <c r="R24" s="42">
        <f t="shared" si="10"/>
        <v>0</v>
      </c>
      <c r="S24" s="42">
        <f t="shared" si="10"/>
        <v>0</v>
      </c>
      <c r="T24" s="42">
        <f t="shared" si="10"/>
        <v>0</v>
      </c>
      <c r="U24" s="42">
        <f t="shared" si="10"/>
        <v>0</v>
      </c>
      <c r="V24" s="42">
        <f t="shared" si="10"/>
        <v>0</v>
      </c>
      <c r="W24" s="42">
        <f t="shared" si="10"/>
        <v>0</v>
      </c>
      <c r="X24" s="42">
        <f t="shared" si="10"/>
        <v>0</v>
      </c>
      <c r="Y24" s="42">
        <f t="shared" si="10"/>
        <v>0</v>
      </c>
      <c r="Z24" s="42">
        <f t="shared" si="10"/>
        <v>0</v>
      </c>
      <c r="AA24" s="42">
        <f t="shared" si="10"/>
        <v>0</v>
      </c>
      <c r="AB24" s="42">
        <f t="shared" si="10"/>
        <v>0</v>
      </c>
      <c r="AC24" s="42">
        <f t="shared" si="10"/>
        <v>0</v>
      </c>
      <c r="AD24" s="42">
        <f t="shared" si="10"/>
        <v>0</v>
      </c>
      <c r="AE24" s="42">
        <f t="shared" si="10"/>
        <v>1509.6137944172222</v>
      </c>
      <c r="AF24" s="42">
        <f t="shared" si="10"/>
        <v>1509.6137944172222</v>
      </c>
      <c r="AG24" s="42">
        <f t="shared" si="10"/>
        <v>1509.6137944172219</v>
      </c>
      <c r="AH24" s="42">
        <f t="shared" si="10"/>
        <v>1509.6137944172224</v>
      </c>
      <c r="AI24" s="42">
        <f t="shared" si="10"/>
        <v>1509.6137944172224</v>
      </c>
      <c r="AJ24" s="42">
        <f t="shared" si="10"/>
        <v>1509.6137944172215</v>
      </c>
      <c r="AK24" s="42">
        <f t="shared" si="10"/>
        <v>1509.6137944172224</v>
      </c>
      <c r="AL24" s="42">
        <f t="shared" si="10"/>
        <v>1509.6137944172224</v>
      </c>
      <c r="AM24" s="42">
        <f t="shared" si="10"/>
        <v>1509.6137944172224</v>
      </c>
    </row>
    <row r="25" spans="1:39" x14ac:dyDescent="0.25">
      <c r="A25" t="s">
        <v>106</v>
      </c>
      <c r="B25" s="46">
        <f>LCOE!AN29*1000</f>
        <v>836653.38645418326</v>
      </c>
      <c r="C25" s="42"/>
      <c r="D25" s="42"/>
      <c r="E25" s="42"/>
      <c r="F25" s="42"/>
      <c r="G25" s="42"/>
      <c r="H25" s="42"/>
      <c r="I25" s="42"/>
      <c r="J25" s="42"/>
      <c r="K25" s="42"/>
      <c r="L25" s="42"/>
      <c r="M25" s="49"/>
      <c r="N25" s="42"/>
      <c r="O25" s="42"/>
      <c r="P25" s="42"/>
      <c r="Q25" s="42"/>
      <c r="R25" s="42"/>
      <c r="S25" s="43">
        <f>LCOE!AO29*1000</f>
        <v>748339.97343957506</v>
      </c>
      <c r="T25" s="42"/>
      <c r="U25" s="42"/>
      <c r="V25" s="42"/>
      <c r="W25" s="42"/>
      <c r="X25" s="42"/>
      <c r="Y25" s="42"/>
      <c r="Z25" s="42"/>
      <c r="AA25" s="42"/>
      <c r="AB25" s="42"/>
      <c r="AC25" s="42"/>
      <c r="AD25" s="42"/>
      <c r="AE25" s="49"/>
      <c r="AF25" s="42"/>
      <c r="AG25" s="42"/>
      <c r="AH25" s="42"/>
      <c r="AI25" s="42"/>
      <c r="AJ25" s="42"/>
      <c r="AK25" s="49"/>
      <c r="AL25" s="42"/>
      <c r="AM25" s="43">
        <f>LCOE!AP29*1000</f>
        <v>700000</v>
      </c>
    </row>
    <row r="26" spans="1:39" x14ac:dyDescent="0.25">
      <c r="A26" t="s">
        <v>104</v>
      </c>
      <c r="B26" s="50">
        <f>B25*S26/S25</f>
        <v>50199.203187250998</v>
      </c>
      <c r="C26" s="13">
        <f>B26+($S26-$B26)/(2030-2013)</f>
        <v>49887.508788375912</v>
      </c>
      <c r="D26" s="13">
        <f t="shared" ref="D26:R26" si="11">C26+($S26-$B26)/(2030-2013)</f>
        <v>49575.814389500825</v>
      </c>
      <c r="E26" s="13">
        <f t="shared" si="11"/>
        <v>49264.119990625739</v>
      </c>
      <c r="F26" s="13">
        <f t="shared" si="11"/>
        <v>48952.425591750653</v>
      </c>
      <c r="G26" s="13">
        <f t="shared" si="11"/>
        <v>48640.731192875566</v>
      </c>
      <c r="H26" s="13">
        <f t="shared" si="11"/>
        <v>48329.03679400048</v>
      </c>
      <c r="I26" s="13">
        <f t="shared" si="11"/>
        <v>48017.342395125394</v>
      </c>
      <c r="J26" s="13">
        <f t="shared" si="11"/>
        <v>47705.647996250307</v>
      </c>
      <c r="K26" s="13">
        <f t="shared" si="11"/>
        <v>47393.953597375221</v>
      </c>
      <c r="L26" s="13">
        <f t="shared" si="11"/>
        <v>47082.259198500135</v>
      </c>
      <c r="M26" s="13">
        <f t="shared" si="11"/>
        <v>46770.564799625048</v>
      </c>
      <c r="N26" s="13">
        <f t="shared" si="11"/>
        <v>46458.870400749962</v>
      </c>
      <c r="O26" s="13">
        <f t="shared" si="11"/>
        <v>46147.176001874876</v>
      </c>
      <c r="P26" s="13">
        <f t="shared" si="11"/>
        <v>45835.481602999789</v>
      </c>
      <c r="Q26" s="13">
        <f t="shared" si="11"/>
        <v>45523.787204124703</v>
      </c>
      <c r="R26" s="13">
        <f t="shared" si="11"/>
        <v>45212.092805249617</v>
      </c>
      <c r="S26" s="13">
        <f>S25*AM26/AM25</f>
        <v>44900.398406374501</v>
      </c>
      <c r="T26" s="13">
        <f>S26+($AM26-$S26)/(2050-2030)</f>
        <v>44755.378486055779</v>
      </c>
      <c r="U26" s="13">
        <f t="shared" ref="U26:AL26" si="12">T26+($AM26-$S26)/(2050-2030)</f>
        <v>44610.358565737057</v>
      </c>
      <c r="V26" s="13">
        <f t="shared" si="12"/>
        <v>44465.338645418335</v>
      </c>
      <c r="W26" s="13">
        <f t="shared" si="12"/>
        <v>44320.318725099612</v>
      </c>
      <c r="X26" s="13">
        <f t="shared" si="12"/>
        <v>44175.29880478089</v>
      </c>
      <c r="Y26" s="13">
        <f t="shared" si="12"/>
        <v>44030.278884462168</v>
      </c>
      <c r="Z26" s="13">
        <f t="shared" si="12"/>
        <v>43885.258964143446</v>
      </c>
      <c r="AA26" s="13">
        <f t="shared" si="12"/>
        <v>43740.239043824724</v>
      </c>
      <c r="AB26" s="13">
        <f t="shared" si="12"/>
        <v>43595.219123506002</v>
      </c>
      <c r="AC26" s="13">
        <f t="shared" si="12"/>
        <v>43450.19920318728</v>
      </c>
      <c r="AD26" s="13">
        <f t="shared" si="12"/>
        <v>43305.179282868557</v>
      </c>
      <c r="AE26" s="13">
        <f t="shared" si="12"/>
        <v>43160.159362549835</v>
      </c>
      <c r="AF26" s="13">
        <f t="shared" si="12"/>
        <v>43015.139442231113</v>
      </c>
      <c r="AG26" s="13">
        <f t="shared" si="12"/>
        <v>42870.119521912391</v>
      </c>
      <c r="AH26" s="13">
        <f t="shared" si="12"/>
        <v>42725.099601593669</v>
      </c>
      <c r="AI26" s="13">
        <f t="shared" si="12"/>
        <v>42580.079681274947</v>
      </c>
      <c r="AJ26" s="13">
        <f t="shared" si="12"/>
        <v>42435.059760956225</v>
      </c>
      <c r="AK26" s="13">
        <f t="shared" si="12"/>
        <v>42290.039840637502</v>
      </c>
      <c r="AL26" s="13">
        <f t="shared" si="12"/>
        <v>42145.01992031878</v>
      </c>
      <c r="AM26" s="13">
        <f>LCOE!AR29*1000</f>
        <v>42000</v>
      </c>
    </row>
    <row r="27" spans="1:39" x14ac:dyDescent="0.25">
      <c r="A27" t="s">
        <v>105</v>
      </c>
      <c r="B27" s="13">
        <f>B26*S27/S26</f>
        <v>62151.394422310754</v>
      </c>
      <c r="C27" s="13">
        <f>B27+($S27-$B27)/(2030-2013)</f>
        <v>61765.487071322546</v>
      </c>
      <c r="D27" s="13">
        <f t="shared" ref="D27:O27" si="13">C27+($S27-$B27)/(2030-2013)</f>
        <v>61379.579720334339</v>
      </c>
      <c r="E27" s="13">
        <f t="shared" si="13"/>
        <v>60993.672369346132</v>
      </c>
      <c r="F27" s="13">
        <f t="shared" si="13"/>
        <v>60607.765018357924</v>
      </c>
      <c r="G27" s="13">
        <f t="shared" si="13"/>
        <v>60221.857667369717</v>
      </c>
      <c r="H27" s="13">
        <f t="shared" si="13"/>
        <v>59835.95031638151</v>
      </c>
      <c r="I27" s="13">
        <f t="shared" si="13"/>
        <v>59450.042965393302</v>
      </c>
      <c r="J27" s="13">
        <f t="shared" si="13"/>
        <v>59064.135614405095</v>
      </c>
      <c r="K27" s="13">
        <f t="shared" si="13"/>
        <v>58678.228263416888</v>
      </c>
      <c r="L27" s="13">
        <f t="shared" si="13"/>
        <v>58292.32091242868</v>
      </c>
      <c r="M27" s="13">
        <f t="shared" si="13"/>
        <v>57906.413561440473</v>
      </c>
      <c r="N27" s="13">
        <f t="shared" si="13"/>
        <v>57520.506210452266</v>
      </c>
      <c r="O27" s="13">
        <f t="shared" si="13"/>
        <v>57134.598859464058</v>
      </c>
      <c r="P27" s="13">
        <f>O27+($S27-$B27)/(2030-2013)</f>
        <v>56748.691508475851</v>
      </c>
      <c r="Q27" s="13">
        <f t="shared" ref="Q27:R27" si="14">P27+($S27-$B27)/(2030-2013)</f>
        <v>56362.784157487644</v>
      </c>
      <c r="R27" s="13">
        <f t="shared" si="14"/>
        <v>55976.876806499436</v>
      </c>
      <c r="S27" s="13">
        <f>S26*AM27/AM26</f>
        <v>55590.969455511287</v>
      </c>
      <c r="T27" s="13">
        <f>S27+($AM27-$S27)/(2050-2030)</f>
        <v>55411.420982735726</v>
      </c>
      <c r="U27" s="13">
        <f t="shared" ref="U27:V27" si="15">T27+($AM27-$S27)/(2050-2030)</f>
        <v>55231.872509960165</v>
      </c>
      <c r="V27" s="13">
        <f t="shared" si="15"/>
        <v>55052.324037184604</v>
      </c>
      <c r="W27" s="13">
        <f>V27+($AM27-$S27)/(2050-2030)</f>
        <v>54872.775564409043</v>
      </c>
      <c r="X27" s="13">
        <f t="shared" ref="X27:AL27" si="16">W27+($AM27-$S27)/(2050-2030)</f>
        <v>54693.227091633482</v>
      </c>
      <c r="Y27" s="13">
        <f t="shared" si="16"/>
        <v>54513.678618857921</v>
      </c>
      <c r="Z27" s="13">
        <f t="shared" si="16"/>
        <v>54334.13014608236</v>
      </c>
      <c r="AA27" s="13">
        <f t="shared" si="16"/>
        <v>54154.581673306799</v>
      </c>
      <c r="AB27" s="13">
        <f t="shared" si="16"/>
        <v>53975.033200531238</v>
      </c>
      <c r="AC27" s="13">
        <f t="shared" si="16"/>
        <v>53795.484727755676</v>
      </c>
      <c r="AD27" s="13">
        <f t="shared" si="16"/>
        <v>53615.936254980115</v>
      </c>
      <c r="AE27" s="13">
        <f t="shared" si="16"/>
        <v>53436.387782204554</v>
      </c>
      <c r="AF27" s="13">
        <f t="shared" si="16"/>
        <v>53256.839309428993</v>
      </c>
      <c r="AG27" s="13">
        <f t="shared" si="16"/>
        <v>53077.290836653432</v>
      </c>
      <c r="AH27" s="13">
        <f t="shared" si="16"/>
        <v>52897.742363877871</v>
      </c>
      <c r="AI27" s="13">
        <f t="shared" si="16"/>
        <v>52718.19389110231</v>
      </c>
      <c r="AJ27" s="13">
        <f t="shared" si="16"/>
        <v>52538.645418326749</v>
      </c>
      <c r="AK27" s="13">
        <f t="shared" si="16"/>
        <v>52359.096945551188</v>
      </c>
      <c r="AL27" s="13">
        <f t="shared" si="16"/>
        <v>52179.548472775627</v>
      </c>
      <c r="AM27" s="13">
        <f>LCOE!AS29*1000</f>
        <v>52000</v>
      </c>
    </row>
    <row r="29" spans="1:39" x14ac:dyDescent="0.25">
      <c r="A29" t="s">
        <v>111</v>
      </c>
      <c r="B29" s="13">
        <f>SUM(B33:B42)</f>
        <v>0</v>
      </c>
      <c r="C29" s="13">
        <f t="shared" ref="C29:AL29" si="17">SUM(C33:C42)</f>
        <v>0</v>
      </c>
      <c r="D29" s="13">
        <f t="shared" si="17"/>
        <v>0</v>
      </c>
      <c r="E29" s="13">
        <f t="shared" si="17"/>
        <v>0</v>
      </c>
      <c r="F29" s="13">
        <f t="shared" si="17"/>
        <v>0</v>
      </c>
      <c r="G29" s="13">
        <f t="shared" si="17"/>
        <v>0</v>
      </c>
      <c r="H29" s="13">
        <f t="shared" si="17"/>
        <v>0</v>
      </c>
      <c r="I29" s="13">
        <f t="shared" si="17"/>
        <v>0</v>
      </c>
      <c r="J29" s="13">
        <f t="shared" si="17"/>
        <v>0</v>
      </c>
      <c r="K29" s="13">
        <f t="shared" si="17"/>
        <v>0</v>
      </c>
      <c r="L29" s="13">
        <f t="shared" si="17"/>
        <v>0</v>
      </c>
      <c r="M29" s="13">
        <f>SUM(M33:M42)</f>
        <v>0</v>
      </c>
      <c r="N29" s="13">
        <f t="shared" si="17"/>
        <v>0</v>
      </c>
      <c r="O29" s="13">
        <f t="shared" si="17"/>
        <v>0</v>
      </c>
      <c r="P29" s="13">
        <f t="shared" si="17"/>
        <v>0</v>
      </c>
      <c r="Q29" s="13">
        <f t="shared" si="17"/>
        <v>0</v>
      </c>
      <c r="R29" s="13">
        <f t="shared" si="17"/>
        <v>0</v>
      </c>
      <c r="S29" s="13">
        <f t="shared" si="17"/>
        <v>0</v>
      </c>
      <c r="T29" s="13">
        <f t="shared" si="17"/>
        <v>0</v>
      </c>
      <c r="U29" s="13">
        <f t="shared" si="17"/>
        <v>0</v>
      </c>
      <c r="V29" s="13">
        <f t="shared" si="17"/>
        <v>0</v>
      </c>
      <c r="W29" s="13">
        <f t="shared" si="17"/>
        <v>0</v>
      </c>
      <c r="X29" s="13">
        <f t="shared" si="17"/>
        <v>0</v>
      </c>
      <c r="Y29" s="13">
        <f t="shared" si="17"/>
        <v>0</v>
      </c>
      <c r="Z29" s="13">
        <f t="shared" si="17"/>
        <v>0</v>
      </c>
      <c r="AA29" s="13">
        <f t="shared" si="17"/>
        <v>0</v>
      </c>
      <c r="AB29" s="13">
        <f t="shared" si="17"/>
        <v>0</v>
      </c>
      <c r="AC29" s="13">
        <f t="shared" si="17"/>
        <v>0</v>
      </c>
      <c r="AD29" s="13">
        <f t="shared" si="17"/>
        <v>0</v>
      </c>
      <c r="AE29" s="13">
        <f t="shared" si="17"/>
        <v>65.155171942950858</v>
      </c>
      <c r="AF29" s="13">
        <f t="shared" si="17"/>
        <v>130.09141981372329</v>
      </c>
      <c r="AG29" s="13">
        <f t="shared" si="17"/>
        <v>194.80874361231727</v>
      </c>
      <c r="AH29" s="13">
        <f t="shared" si="17"/>
        <v>259.30714333873283</v>
      </c>
      <c r="AI29" s="13">
        <f t="shared" si="17"/>
        <v>323.58661899296999</v>
      </c>
      <c r="AJ29" s="13">
        <f t="shared" si="17"/>
        <v>387.64717057502867</v>
      </c>
      <c r="AK29" s="13">
        <f t="shared" si="17"/>
        <v>451.48879808490898</v>
      </c>
      <c r="AL29" s="13">
        <f t="shared" si="17"/>
        <v>515.11150152261087</v>
      </c>
      <c r="AM29" s="13">
        <f>SUM(AM33:AM42)</f>
        <v>578.51528088813416</v>
      </c>
    </row>
    <row r="30" spans="1:39" x14ac:dyDescent="0.25">
      <c r="A30" t="s">
        <v>107</v>
      </c>
      <c r="B30" s="13">
        <f>B27*B23/1000000</f>
        <v>0</v>
      </c>
      <c r="C30" s="13">
        <f t="shared" ref="C30:S30" si="18">C27*C23/1000000</f>
        <v>0</v>
      </c>
      <c r="D30" s="13">
        <f t="shared" si="18"/>
        <v>0</v>
      </c>
      <c r="E30" s="13">
        <f t="shared" si="18"/>
        <v>0</v>
      </c>
      <c r="F30" s="13">
        <f t="shared" si="18"/>
        <v>0</v>
      </c>
      <c r="G30" s="13">
        <f t="shared" si="18"/>
        <v>0</v>
      </c>
      <c r="H30" s="13">
        <f t="shared" si="18"/>
        <v>0</v>
      </c>
      <c r="I30" s="13">
        <f t="shared" si="18"/>
        <v>0</v>
      </c>
      <c r="J30" s="13">
        <f t="shared" si="18"/>
        <v>0</v>
      </c>
      <c r="K30" s="13">
        <f t="shared" si="18"/>
        <v>0</v>
      </c>
      <c r="L30" s="13">
        <f t="shared" si="18"/>
        <v>0</v>
      </c>
      <c r="M30" s="13">
        <f>M27*M23/1000000</f>
        <v>0</v>
      </c>
      <c r="N30" s="13">
        <f t="shared" si="18"/>
        <v>0</v>
      </c>
      <c r="O30" s="13">
        <f t="shared" si="18"/>
        <v>0</v>
      </c>
      <c r="P30" s="13">
        <f t="shared" si="18"/>
        <v>0</v>
      </c>
      <c r="Q30" s="13">
        <f t="shared" si="18"/>
        <v>0</v>
      </c>
      <c r="R30" s="13">
        <f t="shared" si="18"/>
        <v>0</v>
      </c>
      <c r="S30" s="13">
        <f t="shared" si="18"/>
        <v>0</v>
      </c>
      <c r="T30" s="13">
        <f t="shared" ref="T30:AL30" si="19">T27*T23/1000000</f>
        <v>0</v>
      </c>
      <c r="U30" s="13">
        <f t="shared" si="19"/>
        <v>0</v>
      </c>
      <c r="V30" s="13">
        <f t="shared" si="19"/>
        <v>0</v>
      </c>
      <c r="W30" s="13">
        <f t="shared" si="19"/>
        <v>0</v>
      </c>
      <c r="X30" s="13">
        <f t="shared" si="19"/>
        <v>0</v>
      </c>
      <c r="Y30" s="13">
        <f t="shared" si="19"/>
        <v>0</v>
      </c>
      <c r="Z30" s="13">
        <f t="shared" si="19"/>
        <v>0</v>
      </c>
      <c r="AA30" s="13">
        <f t="shared" si="19"/>
        <v>0</v>
      </c>
      <c r="AB30" s="13">
        <f t="shared" si="19"/>
        <v>0</v>
      </c>
      <c r="AC30" s="13">
        <f t="shared" si="19"/>
        <v>0</v>
      </c>
      <c r="AD30" s="13">
        <f t="shared" si="19"/>
        <v>0</v>
      </c>
      <c r="AE30" s="13">
        <f t="shared" si="19"/>
        <v>80.6683081198439</v>
      </c>
      <c r="AF30" s="13">
        <f t="shared" si="19"/>
        <v>160.79451853715074</v>
      </c>
      <c r="AG30" s="13">
        <f t="shared" si="19"/>
        <v>240.37863125192052</v>
      </c>
      <c r="AH30" s="13">
        <f t="shared" si="19"/>
        <v>319.42064626415322</v>
      </c>
      <c r="AI30" s="13">
        <f t="shared" si="19"/>
        <v>397.92056357384888</v>
      </c>
      <c r="AJ30" s="13">
        <f t="shared" si="19"/>
        <v>475.87838318100745</v>
      </c>
      <c r="AK30" s="13">
        <f t="shared" si="19"/>
        <v>553.29410508562898</v>
      </c>
      <c r="AL30" s="13">
        <f t="shared" si="19"/>
        <v>630.16772928771343</v>
      </c>
      <c r="AM30" s="13">
        <f>AM27*AM23/1000000</f>
        <v>706.49925578725993</v>
      </c>
    </row>
    <row r="31" spans="1:39" x14ac:dyDescent="0.25">
      <c r="A31" t="s">
        <v>112</v>
      </c>
      <c r="B31" s="13">
        <f t="shared" ref="B31:AM31" si="20">B30+B29</f>
        <v>0</v>
      </c>
      <c r="C31" s="13">
        <f t="shared" si="20"/>
        <v>0</v>
      </c>
      <c r="D31" s="13">
        <f t="shared" si="20"/>
        <v>0</v>
      </c>
      <c r="E31" s="13">
        <f t="shared" si="20"/>
        <v>0</v>
      </c>
      <c r="F31" s="13">
        <f t="shared" si="20"/>
        <v>0</v>
      </c>
      <c r="G31" s="13">
        <f t="shared" si="20"/>
        <v>0</v>
      </c>
      <c r="H31" s="13">
        <f t="shared" si="20"/>
        <v>0</v>
      </c>
      <c r="I31" s="13">
        <f t="shared" si="20"/>
        <v>0</v>
      </c>
      <c r="J31" s="13">
        <f t="shared" si="20"/>
        <v>0</v>
      </c>
      <c r="K31" s="13">
        <f t="shared" si="20"/>
        <v>0</v>
      </c>
      <c r="L31" s="13">
        <f t="shared" si="20"/>
        <v>0</v>
      </c>
      <c r="M31" s="13">
        <f>M30+M29</f>
        <v>0</v>
      </c>
      <c r="N31" s="13">
        <f t="shared" si="20"/>
        <v>0</v>
      </c>
      <c r="O31" s="13">
        <f t="shared" si="20"/>
        <v>0</v>
      </c>
      <c r="P31" s="13">
        <f t="shared" si="20"/>
        <v>0</v>
      </c>
      <c r="Q31" s="13">
        <f t="shared" si="20"/>
        <v>0</v>
      </c>
      <c r="R31" s="13">
        <f t="shared" si="20"/>
        <v>0</v>
      </c>
      <c r="S31" s="13">
        <f t="shared" si="20"/>
        <v>0</v>
      </c>
      <c r="T31" s="13">
        <f t="shared" si="20"/>
        <v>0</v>
      </c>
      <c r="U31" s="13">
        <f t="shared" si="20"/>
        <v>0</v>
      </c>
      <c r="V31" s="13">
        <f t="shared" si="20"/>
        <v>0</v>
      </c>
      <c r="W31" s="13">
        <f t="shared" si="20"/>
        <v>0</v>
      </c>
      <c r="X31" s="13">
        <f t="shared" si="20"/>
        <v>0</v>
      </c>
      <c r="Y31" s="13">
        <f t="shared" si="20"/>
        <v>0</v>
      </c>
      <c r="Z31" s="13">
        <f t="shared" si="20"/>
        <v>0</v>
      </c>
      <c r="AA31" s="13">
        <f t="shared" si="20"/>
        <v>0</v>
      </c>
      <c r="AB31" s="13">
        <f t="shared" si="20"/>
        <v>0</v>
      </c>
      <c r="AC31" s="13">
        <f t="shared" si="20"/>
        <v>0</v>
      </c>
      <c r="AD31" s="13">
        <f t="shared" si="20"/>
        <v>0</v>
      </c>
      <c r="AE31" s="13">
        <f t="shared" si="20"/>
        <v>145.82348006279477</v>
      </c>
      <c r="AF31" s="13">
        <f t="shared" si="20"/>
        <v>290.88593835087403</v>
      </c>
      <c r="AG31" s="13">
        <f t="shared" si="20"/>
        <v>435.18737486423777</v>
      </c>
      <c r="AH31" s="13">
        <f t="shared" si="20"/>
        <v>578.72778960288611</v>
      </c>
      <c r="AI31" s="13">
        <f t="shared" si="20"/>
        <v>721.50718256681887</v>
      </c>
      <c r="AJ31" s="13">
        <f t="shared" si="20"/>
        <v>863.52555375603606</v>
      </c>
      <c r="AK31" s="13">
        <f t="shared" si="20"/>
        <v>1004.782903170538</v>
      </c>
      <c r="AL31" s="13">
        <f t="shared" si="20"/>
        <v>1145.2792308103244</v>
      </c>
      <c r="AM31" s="13">
        <f t="shared" si="20"/>
        <v>1285.0145366753941</v>
      </c>
    </row>
    <row r="33" spans="1:58" outlineLevel="1" x14ac:dyDescent="0.25">
      <c r="A33" t="s">
        <v>108</v>
      </c>
    </row>
    <row r="34" spans="1:58" outlineLevel="1" x14ac:dyDescent="0.25">
      <c r="A34">
        <v>2042</v>
      </c>
      <c r="AE34" s="13">
        <f>$AE$24*$AE$26/1000000</f>
        <v>65.155171942950858</v>
      </c>
      <c r="AF34" s="13">
        <f t="shared" ref="AF34:AM34" si="21">$AE$24*$AE$26/1000000</f>
        <v>65.155171942950858</v>
      </c>
      <c r="AG34" s="13">
        <f t="shared" si="21"/>
        <v>65.155171942950858</v>
      </c>
      <c r="AH34" s="13">
        <f t="shared" si="21"/>
        <v>65.155171942950858</v>
      </c>
      <c r="AI34" s="13">
        <f t="shared" si="21"/>
        <v>65.155171942950858</v>
      </c>
      <c r="AJ34" s="13">
        <f t="shared" si="21"/>
        <v>65.155171942950858</v>
      </c>
      <c r="AK34" s="13">
        <f t="shared" si="21"/>
        <v>65.155171942950858</v>
      </c>
      <c r="AL34" s="13">
        <f t="shared" si="21"/>
        <v>65.155171942950858</v>
      </c>
      <c r="AM34" s="13">
        <f t="shared" si="21"/>
        <v>65.155171942950858</v>
      </c>
      <c r="AN34" s="13"/>
      <c r="AO34" s="13"/>
      <c r="AP34" s="13"/>
      <c r="AQ34" s="13"/>
      <c r="AR34" s="13"/>
      <c r="AS34" s="13"/>
      <c r="AT34" s="13"/>
      <c r="AU34" s="13"/>
      <c r="AV34" s="13"/>
      <c r="AW34" s="13"/>
      <c r="AX34" s="13"/>
    </row>
    <row r="35" spans="1:58" outlineLevel="1" x14ac:dyDescent="0.25">
      <c r="A35">
        <v>2043</v>
      </c>
      <c r="AF35" s="13">
        <f>$AF$24*$AF$26/1000000</f>
        <v>64.936247870772419</v>
      </c>
      <c r="AG35" s="13">
        <f t="shared" ref="AG35:AM35" si="22">$AF$24*$AF$26/1000000</f>
        <v>64.936247870772419</v>
      </c>
      <c r="AH35" s="13">
        <f t="shared" si="22"/>
        <v>64.936247870772419</v>
      </c>
      <c r="AI35" s="13">
        <f t="shared" si="22"/>
        <v>64.936247870772419</v>
      </c>
      <c r="AJ35" s="13">
        <f t="shared" si="22"/>
        <v>64.936247870772419</v>
      </c>
      <c r="AK35" s="13">
        <f t="shared" si="22"/>
        <v>64.936247870772419</v>
      </c>
      <c r="AL35" s="13">
        <f t="shared" si="22"/>
        <v>64.936247870772419</v>
      </c>
      <c r="AM35" s="13">
        <f t="shared" si="22"/>
        <v>64.936247870772419</v>
      </c>
      <c r="AN35" s="13"/>
      <c r="AO35" s="13"/>
      <c r="AP35" s="13"/>
      <c r="AQ35" s="13"/>
      <c r="AR35" s="13"/>
      <c r="AS35" s="13"/>
      <c r="AT35" s="13"/>
      <c r="AU35" s="13"/>
      <c r="AV35" s="13"/>
      <c r="AW35" s="13"/>
      <c r="AX35" s="13"/>
      <c r="AY35" s="13"/>
    </row>
    <row r="36" spans="1:58" outlineLevel="1" x14ac:dyDescent="0.25">
      <c r="A36">
        <v>2044</v>
      </c>
      <c r="AG36" s="13">
        <f>$AG$24*$AG$26/1000000</f>
        <v>64.717323798593981</v>
      </c>
      <c r="AH36" s="13">
        <f t="shared" ref="AH36:AM36" si="23">$AG$24*$AG$26/1000000</f>
        <v>64.717323798593981</v>
      </c>
      <c r="AI36" s="13">
        <f t="shared" si="23"/>
        <v>64.717323798593981</v>
      </c>
      <c r="AJ36" s="13">
        <f t="shared" si="23"/>
        <v>64.717323798593981</v>
      </c>
      <c r="AK36" s="13">
        <f t="shared" si="23"/>
        <v>64.717323798593981</v>
      </c>
      <c r="AL36" s="13">
        <f t="shared" si="23"/>
        <v>64.717323798593981</v>
      </c>
      <c r="AM36" s="13">
        <f t="shared" si="23"/>
        <v>64.717323798593981</v>
      </c>
      <c r="AN36" s="13"/>
      <c r="AO36" s="13"/>
      <c r="AP36" s="13"/>
      <c r="AQ36" s="13"/>
      <c r="AR36" s="13"/>
      <c r="AS36" s="13"/>
      <c r="AT36" s="13"/>
      <c r="AU36" s="13"/>
      <c r="AV36" s="13"/>
      <c r="AW36" s="13"/>
      <c r="AX36" s="13"/>
      <c r="AY36" s="13"/>
      <c r="AZ36" s="13"/>
    </row>
    <row r="37" spans="1:58" outlineLevel="1" x14ac:dyDescent="0.25">
      <c r="A37">
        <v>2045</v>
      </c>
      <c r="AH37" s="13">
        <f t="shared" ref="AH37:AM37" si="24">$AH$24*$AH$26/1000000</f>
        <v>64.49839972641557</v>
      </c>
      <c r="AI37" s="13">
        <f t="shared" si="24"/>
        <v>64.49839972641557</v>
      </c>
      <c r="AJ37" s="13">
        <f t="shared" si="24"/>
        <v>64.49839972641557</v>
      </c>
      <c r="AK37" s="13">
        <f t="shared" si="24"/>
        <v>64.49839972641557</v>
      </c>
      <c r="AL37" s="13">
        <f t="shared" si="24"/>
        <v>64.49839972641557</v>
      </c>
      <c r="AM37" s="13">
        <f t="shared" si="24"/>
        <v>64.49839972641557</v>
      </c>
      <c r="AN37" s="13"/>
      <c r="AO37" s="13"/>
      <c r="AP37" s="13"/>
      <c r="AQ37" s="13"/>
      <c r="AR37" s="13"/>
      <c r="AS37" s="13"/>
      <c r="AT37" s="13"/>
      <c r="AU37" s="13"/>
      <c r="AV37" s="13"/>
      <c r="AW37" s="13"/>
      <c r="AX37" s="13"/>
      <c r="AY37" s="13"/>
      <c r="AZ37" s="13"/>
      <c r="BA37" s="13"/>
    </row>
    <row r="38" spans="1:58" outlineLevel="1" x14ac:dyDescent="0.25">
      <c r="A38">
        <v>2046</v>
      </c>
      <c r="AI38" s="13">
        <f>$AI$24*$AI$26/1000000</f>
        <v>64.279475654237146</v>
      </c>
      <c r="AJ38" s="13">
        <f>$AI$24*$AI$26/1000000</f>
        <v>64.279475654237146</v>
      </c>
      <c r="AK38" s="13">
        <f>$AI$24*$AI$26/1000000</f>
        <v>64.279475654237146</v>
      </c>
      <c r="AL38" s="13">
        <f>$AI$24*$AI$26/1000000</f>
        <v>64.279475654237146</v>
      </c>
      <c r="AM38" s="13">
        <f>$AI$24*$AI$26/1000000</f>
        <v>64.279475654237146</v>
      </c>
      <c r="AN38" s="13"/>
      <c r="AO38" s="13"/>
      <c r="AP38" s="13"/>
      <c r="AQ38" s="13"/>
      <c r="AR38" s="13"/>
      <c r="AS38" s="13"/>
      <c r="AT38" s="13"/>
      <c r="AU38" s="13"/>
      <c r="AV38" s="13"/>
      <c r="AW38" s="13"/>
      <c r="AX38" s="13"/>
      <c r="AY38" s="13"/>
      <c r="AZ38" s="13"/>
      <c r="BA38" s="13"/>
      <c r="BB38" s="13"/>
    </row>
    <row r="39" spans="1:58" outlineLevel="1" x14ac:dyDescent="0.25">
      <c r="A39">
        <v>2047</v>
      </c>
      <c r="AJ39" s="13">
        <f>$AJ$24*$AJ$26/1000000</f>
        <v>64.060551582058679</v>
      </c>
      <c r="AK39" s="13">
        <f>$AJ$24*$AJ$26/1000000</f>
        <v>64.060551582058679</v>
      </c>
      <c r="AL39" s="13">
        <f>$AJ$24*$AJ$26/1000000</f>
        <v>64.060551582058679</v>
      </c>
      <c r="AM39" s="13">
        <f>$AJ$24*$AJ$26/1000000</f>
        <v>64.060551582058679</v>
      </c>
      <c r="AN39" s="13"/>
      <c r="AO39" s="13"/>
      <c r="AP39" s="13"/>
      <c r="AQ39" s="13"/>
      <c r="AR39" s="13"/>
      <c r="AS39" s="13"/>
      <c r="AT39" s="13"/>
      <c r="AU39" s="13"/>
      <c r="AV39" s="13"/>
      <c r="AW39" s="13"/>
      <c r="AX39" s="13"/>
      <c r="AY39" s="13"/>
      <c r="AZ39" s="13"/>
      <c r="BA39" s="13"/>
      <c r="BB39" s="13"/>
      <c r="BC39" s="13"/>
    </row>
    <row r="40" spans="1:58" outlineLevel="1" x14ac:dyDescent="0.25">
      <c r="A40">
        <v>2048</v>
      </c>
      <c r="AK40" s="13">
        <f>$AK$24*$AK$26/1000000</f>
        <v>63.84162750988029</v>
      </c>
      <c r="AL40" s="13">
        <f>$AK$24*$AK$26/1000000</f>
        <v>63.84162750988029</v>
      </c>
      <c r="AM40" s="13">
        <f>$AK$24*$AK$26/1000000</f>
        <v>63.84162750988029</v>
      </c>
      <c r="AN40" s="13"/>
      <c r="AO40" s="13"/>
      <c r="AP40" s="13"/>
      <c r="AQ40" s="13"/>
      <c r="AR40" s="13"/>
      <c r="AS40" s="13"/>
      <c r="AT40" s="13"/>
      <c r="AU40" s="13"/>
      <c r="AV40" s="13"/>
      <c r="AW40" s="13"/>
      <c r="AX40" s="13"/>
      <c r="AY40" s="13"/>
      <c r="AZ40" s="13"/>
      <c r="BA40" s="13"/>
      <c r="BB40" s="13"/>
      <c r="BC40" s="13"/>
      <c r="BD40" s="13"/>
    </row>
    <row r="41" spans="1:58" outlineLevel="1" x14ac:dyDescent="0.25">
      <c r="A41">
        <v>2049</v>
      </c>
      <c r="AL41" s="13">
        <f>$AL$24*$AL$26/1000000</f>
        <v>63.622703437701858</v>
      </c>
      <c r="AM41" s="13">
        <f>$AL$24*$AL$26/1000000</f>
        <v>63.622703437701858</v>
      </c>
      <c r="AN41" s="13"/>
      <c r="AO41" s="13"/>
      <c r="AP41" s="13"/>
      <c r="AQ41" s="13"/>
      <c r="AR41" s="13"/>
      <c r="AS41" s="13"/>
      <c r="AT41" s="13"/>
      <c r="AU41" s="13"/>
      <c r="AV41" s="13"/>
      <c r="AW41" s="13"/>
      <c r="AX41" s="13"/>
      <c r="AY41" s="13"/>
      <c r="AZ41" s="13"/>
      <c r="BA41" s="13"/>
      <c r="BB41" s="13"/>
      <c r="BC41" s="13"/>
      <c r="BD41" s="13"/>
      <c r="BE41" s="13"/>
    </row>
    <row r="42" spans="1:58" outlineLevel="1" x14ac:dyDescent="0.25">
      <c r="A42">
        <v>2050</v>
      </c>
      <c r="AM42" s="13">
        <f>$AM$24*$AM$26/1000000</f>
        <v>63.403779365523341</v>
      </c>
      <c r="AN42" s="13"/>
      <c r="AO42" s="13"/>
      <c r="AP42" s="13"/>
      <c r="AQ42" s="13"/>
      <c r="AR42" s="13"/>
      <c r="AS42" s="13"/>
      <c r="AT42" s="13"/>
      <c r="AU42" s="13"/>
      <c r="AV42" s="13"/>
      <c r="AW42" s="13"/>
      <c r="AX42" s="13"/>
      <c r="AY42" s="13"/>
      <c r="AZ42" s="13"/>
      <c r="BA42" s="13"/>
      <c r="BB42" s="13"/>
      <c r="BC42" s="13"/>
      <c r="BD42" s="13"/>
      <c r="BE42" s="13"/>
      <c r="BF42" s="13"/>
    </row>
    <row r="45" spans="1:58" x14ac:dyDescent="0.25">
      <c r="A45" s="3" t="s">
        <v>59</v>
      </c>
      <c r="B45" s="47">
        <v>2013</v>
      </c>
      <c r="C45" s="47">
        <v>2014</v>
      </c>
      <c r="D45" s="47">
        <v>2015</v>
      </c>
      <c r="E45" s="47">
        <v>2016</v>
      </c>
      <c r="F45" s="47">
        <v>2017</v>
      </c>
      <c r="G45" s="47">
        <v>2018</v>
      </c>
      <c r="H45" s="47">
        <v>2019</v>
      </c>
      <c r="I45" s="47">
        <v>2020</v>
      </c>
      <c r="J45" s="47">
        <v>2021</v>
      </c>
      <c r="K45" s="47">
        <v>2022</v>
      </c>
      <c r="L45" s="47">
        <v>2023</v>
      </c>
      <c r="M45" s="47">
        <v>2024</v>
      </c>
      <c r="N45" s="47">
        <v>2025</v>
      </c>
      <c r="O45" s="47">
        <v>2026</v>
      </c>
      <c r="P45" s="47">
        <v>2027</v>
      </c>
      <c r="Q45" s="47">
        <v>2028</v>
      </c>
      <c r="R45" s="47">
        <v>2029</v>
      </c>
      <c r="S45" s="47">
        <v>2030</v>
      </c>
      <c r="T45" s="47">
        <v>2031</v>
      </c>
      <c r="U45" s="47">
        <v>2032</v>
      </c>
      <c r="V45" s="47">
        <v>2033</v>
      </c>
      <c r="W45" s="47">
        <v>2034</v>
      </c>
      <c r="X45" s="47">
        <v>2035</v>
      </c>
      <c r="Y45" s="47">
        <v>2036</v>
      </c>
      <c r="Z45" s="47">
        <v>2037</v>
      </c>
      <c r="AA45" s="47">
        <v>2038</v>
      </c>
      <c r="AB45" s="47">
        <v>2039</v>
      </c>
      <c r="AC45" s="47">
        <v>2040</v>
      </c>
      <c r="AD45" s="47">
        <v>2041</v>
      </c>
      <c r="AE45" s="47">
        <v>2042</v>
      </c>
      <c r="AF45" s="47">
        <v>2043</v>
      </c>
      <c r="AG45" s="47">
        <v>2044</v>
      </c>
      <c r="AH45" s="47">
        <v>2045</v>
      </c>
      <c r="AI45" s="47">
        <v>2046</v>
      </c>
      <c r="AJ45" s="47">
        <v>2047</v>
      </c>
      <c r="AK45" s="47">
        <v>2048</v>
      </c>
      <c r="AL45" s="47">
        <v>2049</v>
      </c>
      <c r="AM45" s="47">
        <v>2050</v>
      </c>
    </row>
    <row r="46" spans="1:58" x14ac:dyDescent="0.25">
      <c r="A46" t="s">
        <v>142</v>
      </c>
      <c r="B46" s="109"/>
      <c r="C46" s="111"/>
      <c r="D46" s="111"/>
      <c r="E46" s="111"/>
      <c r="F46" s="111"/>
      <c r="G46" s="111"/>
      <c r="H46" s="111"/>
      <c r="I46" s="111"/>
      <c r="J46" s="111"/>
      <c r="K46" s="111"/>
      <c r="L46" s="111"/>
      <c r="M46" s="110"/>
      <c r="N46" s="111"/>
      <c r="O46" s="111"/>
      <c r="P46" s="111"/>
      <c r="Q46" s="111"/>
      <c r="R46" s="111"/>
      <c r="S46" s="111"/>
      <c r="T46" s="111"/>
      <c r="U46" s="111"/>
      <c r="V46" s="111"/>
      <c r="W46" s="111"/>
      <c r="X46" s="111"/>
      <c r="Y46" s="111"/>
      <c r="Z46" s="111"/>
      <c r="AA46" s="111"/>
      <c r="AB46" s="111"/>
      <c r="AC46" s="111"/>
      <c r="AD46" s="111"/>
      <c r="AE46" s="110"/>
      <c r="AF46" s="111"/>
      <c r="AG46" s="111"/>
      <c r="AH46" s="111"/>
      <c r="AI46" s="111"/>
      <c r="AJ46" s="111"/>
      <c r="AK46" s="110"/>
      <c r="AL46" s="110"/>
      <c r="AM46" s="110"/>
    </row>
    <row r="47" spans="1:58" x14ac:dyDescent="0.25">
      <c r="A47" s="51" t="s">
        <v>90</v>
      </c>
      <c r="B47" s="109">
        <v>4300</v>
      </c>
      <c r="C47" s="111">
        <f>B47+($Q47-$B47)/(2028-2013)</f>
        <v>4480</v>
      </c>
      <c r="D47" s="111">
        <f t="shared" ref="D47:P47" si="25">C47+($Q47-$B47)/(2028-2013)</f>
        <v>4660</v>
      </c>
      <c r="E47" s="111">
        <f t="shared" si="25"/>
        <v>4840</v>
      </c>
      <c r="F47" s="111">
        <f t="shared" si="25"/>
        <v>5020</v>
      </c>
      <c r="G47" s="111">
        <f t="shared" si="25"/>
        <v>5200</v>
      </c>
      <c r="H47" s="111">
        <f t="shared" si="25"/>
        <v>5380</v>
      </c>
      <c r="I47" s="111">
        <f t="shared" si="25"/>
        <v>5560</v>
      </c>
      <c r="J47" s="111">
        <f t="shared" si="25"/>
        <v>5740</v>
      </c>
      <c r="K47" s="111">
        <f t="shared" si="25"/>
        <v>5920</v>
      </c>
      <c r="L47" s="111">
        <f t="shared" si="25"/>
        <v>6100</v>
      </c>
      <c r="M47" s="111">
        <f t="shared" si="25"/>
        <v>6280</v>
      </c>
      <c r="N47" s="111">
        <f t="shared" si="25"/>
        <v>6460</v>
      </c>
      <c r="O47" s="111">
        <f t="shared" si="25"/>
        <v>6640</v>
      </c>
      <c r="P47" s="111">
        <f t="shared" si="25"/>
        <v>6820</v>
      </c>
      <c r="Q47" s="43">
        <f t="shared" ref="Q47:AK47" si="26">R47</f>
        <v>7000</v>
      </c>
      <c r="R47" s="43">
        <f t="shared" si="26"/>
        <v>7000</v>
      </c>
      <c r="S47" s="43">
        <f t="shared" si="26"/>
        <v>7000</v>
      </c>
      <c r="T47" s="43">
        <f t="shared" si="26"/>
        <v>7000</v>
      </c>
      <c r="U47" s="43">
        <f t="shared" si="26"/>
        <v>7000</v>
      </c>
      <c r="V47" s="43">
        <f t="shared" si="26"/>
        <v>7000</v>
      </c>
      <c r="W47" s="43">
        <f t="shared" si="26"/>
        <v>7000</v>
      </c>
      <c r="X47" s="43">
        <f t="shared" si="26"/>
        <v>7000</v>
      </c>
      <c r="Y47" s="43">
        <f t="shared" si="26"/>
        <v>7000</v>
      </c>
      <c r="Z47" s="43">
        <f t="shared" si="26"/>
        <v>7000</v>
      </c>
      <c r="AA47" s="43">
        <f t="shared" si="26"/>
        <v>7000</v>
      </c>
      <c r="AB47" s="43">
        <f t="shared" si="26"/>
        <v>7000</v>
      </c>
      <c r="AC47" s="43">
        <f t="shared" si="26"/>
        <v>7000</v>
      </c>
      <c r="AD47" s="43">
        <f t="shared" si="26"/>
        <v>7000</v>
      </c>
      <c r="AE47" s="43">
        <f t="shared" si="26"/>
        <v>7000</v>
      </c>
      <c r="AF47" s="43">
        <f t="shared" si="26"/>
        <v>7000</v>
      </c>
      <c r="AG47" s="43">
        <f t="shared" si="26"/>
        <v>7000</v>
      </c>
      <c r="AH47" s="43">
        <f t="shared" si="26"/>
        <v>7000</v>
      </c>
      <c r="AI47" s="43">
        <f t="shared" si="26"/>
        <v>7000</v>
      </c>
      <c r="AJ47" s="43">
        <f t="shared" si="26"/>
        <v>7000</v>
      </c>
      <c r="AK47" s="43">
        <f t="shared" si="26"/>
        <v>7000</v>
      </c>
      <c r="AL47" s="43">
        <f>AM47</f>
        <v>7000</v>
      </c>
      <c r="AM47" s="43">
        <f>'Capacités installées'!B5</f>
        <v>7000</v>
      </c>
    </row>
    <row r="48" spans="1:58" x14ac:dyDescent="0.25">
      <c r="A48" t="s">
        <v>110</v>
      </c>
      <c r="B48" s="33"/>
      <c r="C48" s="42">
        <f t="shared" ref="C48:AM48" si="27">C47-B47</f>
        <v>180</v>
      </c>
      <c r="D48" s="42">
        <f t="shared" si="27"/>
        <v>180</v>
      </c>
      <c r="E48" s="42">
        <f t="shared" si="27"/>
        <v>180</v>
      </c>
      <c r="F48" s="42">
        <f t="shared" si="27"/>
        <v>180</v>
      </c>
      <c r="G48" s="42">
        <f t="shared" si="27"/>
        <v>180</v>
      </c>
      <c r="H48" s="42">
        <f t="shared" si="27"/>
        <v>180</v>
      </c>
      <c r="I48" s="42">
        <f t="shared" si="27"/>
        <v>180</v>
      </c>
      <c r="J48" s="42">
        <f t="shared" si="27"/>
        <v>180</v>
      </c>
      <c r="K48" s="42">
        <f t="shared" si="27"/>
        <v>180</v>
      </c>
      <c r="L48" s="42">
        <f t="shared" si="27"/>
        <v>180</v>
      </c>
      <c r="M48" s="42">
        <f t="shared" si="27"/>
        <v>180</v>
      </c>
      <c r="N48" s="42">
        <f t="shared" si="27"/>
        <v>180</v>
      </c>
      <c r="O48" s="42">
        <f t="shared" si="27"/>
        <v>180</v>
      </c>
      <c r="P48" s="42">
        <f t="shared" si="27"/>
        <v>180</v>
      </c>
      <c r="Q48" s="42">
        <f t="shared" si="27"/>
        <v>180</v>
      </c>
      <c r="R48" s="42">
        <f t="shared" si="27"/>
        <v>0</v>
      </c>
      <c r="S48" s="42">
        <f t="shared" si="27"/>
        <v>0</v>
      </c>
      <c r="T48" s="42">
        <f t="shared" si="27"/>
        <v>0</v>
      </c>
      <c r="U48" s="42">
        <f t="shared" si="27"/>
        <v>0</v>
      </c>
      <c r="V48" s="42">
        <f t="shared" si="27"/>
        <v>0</v>
      </c>
      <c r="W48" s="42">
        <f t="shared" si="27"/>
        <v>0</v>
      </c>
      <c r="X48" s="42">
        <f t="shared" si="27"/>
        <v>0</v>
      </c>
      <c r="Y48" s="42">
        <f t="shared" si="27"/>
        <v>0</v>
      </c>
      <c r="Z48" s="42">
        <f t="shared" si="27"/>
        <v>0</v>
      </c>
      <c r="AA48" s="42">
        <f t="shared" si="27"/>
        <v>0</v>
      </c>
      <c r="AB48" s="42">
        <f t="shared" si="27"/>
        <v>0</v>
      </c>
      <c r="AC48" s="42">
        <f t="shared" si="27"/>
        <v>0</v>
      </c>
      <c r="AD48" s="42">
        <f t="shared" si="27"/>
        <v>0</v>
      </c>
      <c r="AE48" s="42">
        <f t="shared" si="27"/>
        <v>0</v>
      </c>
      <c r="AF48" s="42">
        <f t="shared" si="27"/>
        <v>0</v>
      </c>
      <c r="AG48" s="42">
        <f t="shared" si="27"/>
        <v>0</v>
      </c>
      <c r="AH48" s="42">
        <f t="shared" si="27"/>
        <v>0</v>
      </c>
      <c r="AI48" s="42">
        <f t="shared" si="27"/>
        <v>0</v>
      </c>
      <c r="AJ48" s="42">
        <f t="shared" si="27"/>
        <v>0</v>
      </c>
      <c r="AK48" s="42">
        <f t="shared" si="27"/>
        <v>0</v>
      </c>
      <c r="AL48" s="42">
        <f t="shared" si="27"/>
        <v>0</v>
      </c>
      <c r="AM48" s="42">
        <f t="shared" si="27"/>
        <v>0</v>
      </c>
    </row>
    <row r="49" spans="1:43" x14ac:dyDescent="0.25">
      <c r="A49" t="s">
        <v>197</v>
      </c>
      <c r="AM49" s="69">
        <f>AM50/AM52</f>
        <v>0.17986111111111111</v>
      </c>
    </row>
    <row r="50" spans="1:43" x14ac:dyDescent="0.25">
      <c r="A50" t="s">
        <v>107</v>
      </c>
      <c r="B50" s="13">
        <f>$AM$49*B52</f>
        <v>63.640000000000008</v>
      </c>
      <c r="C50" s="13">
        <f t="shared" ref="C50:AK50" si="28">$AM$49*C52</f>
        <v>66.304000000000002</v>
      </c>
      <c r="D50" s="13">
        <f t="shared" si="28"/>
        <v>68.968000000000004</v>
      </c>
      <c r="E50" s="13">
        <f t="shared" si="28"/>
        <v>71.632000000000005</v>
      </c>
      <c r="F50" s="13">
        <f t="shared" si="28"/>
        <v>74.296000000000006</v>
      </c>
      <c r="G50" s="13">
        <f t="shared" si="28"/>
        <v>76.960000000000008</v>
      </c>
      <c r="H50" s="13">
        <f t="shared" si="28"/>
        <v>79.624000000000009</v>
      </c>
      <c r="I50" s="13">
        <f t="shared" si="28"/>
        <v>82.288000000000011</v>
      </c>
      <c r="J50" s="13">
        <f t="shared" si="28"/>
        <v>84.952000000000012</v>
      </c>
      <c r="K50" s="13">
        <f t="shared" si="28"/>
        <v>87.616000000000014</v>
      </c>
      <c r="L50" s="13">
        <f t="shared" si="28"/>
        <v>90.28</v>
      </c>
      <c r="M50" s="13">
        <f t="shared" si="28"/>
        <v>92.944000000000003</v>
      </c>
      <c r="N50" s="13">
        <f t="shared" si="28"/>
        <v>95.608000000000004</v>
      </c>
      <c r="O50" s="13">
        <f t="shared" si="28"/>
        <v>98.272000000000006</v>
      </c>
      <c r="P50" s="13">
        <f t="shared" si="28"/>
        <v>100.93600000000001</v>
      </c>
      <c r="Q50" s="13">
        <f t="shared" si="28"/>
        <v>103.6</v>
      </c>
      <c r="R50" s="13">
        <f t="shared" si="28"/>
        <v>103.6</v>
      </c>
      <c r="S50" s="13">
        <f t="shared" si="28"/>
        <v>103.6</v>
      </c>
      <c r="T50" s="13">
        <f t="shared" si="28"/>
        <v>103.6</v>
      </c>
      <c r="U50" s="13">
        <f t="shared" si="28"/>
        <v>103.6</v>
      </c>
      <c r="V50" s="13">
        <f t="shared" si="28"/>
        <v>103.6</v>
      </c>
      <c r="W50" s="13">
        <f t="shared" si="28"/>
        <v>103.6</v>
      </c>
      <c r="X50" s="13">
        <f t="shared" si="28"/>
        <v>103.6</v>
      </c>
      <c r="Y50" s="13">
        <f t="shared" si="28"/>
        <v>103.6</v>
      </c>
      <c r="Z50" s="13">
        <f t="shared" si="28"/>
        <v>103.6</v>
      </c>
      <c r="AA50" s="13">
        <f t="shared" si="28"/>
        <v>103.6</v>
      </c>
      <c r="AB50" s="13">
        <f t="shared" si="28"/>
        <v>103.6</v>
      </c>
      <c r="AC50" s="13">
        <f t="shared" si="28"/>
        <v>103.6</v>
      </c>
      <c r="AD50" s="13">
        <f t="shared" si="28"/>
        <v>103.6</v>
      </c>
      <c r="AE50" s="13">
        <f t="shared" si="28"/>
        <v>103.6</v>
      </c>
      <c r="AF50" s="13">
        <f t="shared" si="28"/>
        <v>103.6</v>
      </c>
      <c r="AG50" s="13">
        <f t="shared" si="28"/>
        <v>103.6</v>
      </c>
      <c r="AH50" s="13">
        <f t="shared" si="28"/>
        <v>103.6</v>
      </c>
      <c r="AI50" s="13">
        <f t="shared" si="28"/>
        <v>103.6</v>
      </c>
      <c r="AJ50" s="13">
        <f t="shared" si="28"/>
        <v>103.6</v>
      </c>
      <c r="AK50" s="13">
        <f t="shared" si="28"/>
        <v>103.6</v>
      </c>
      <c r="AL50" s="13">
        <f>$AM$49*AL52</f>
        <v>103.6</v>
      </c>
      <c r="AM50" s="13">
        <f>LCOE!AS26*1000*'Capacités installées'!B5/1000000</f>
        <v>103.6</v>
      </c>
    </row>
    <row r="51" spans="1:43" x14ac:dyDescent="0.25">
      <c r="A51" t="s">
        <v>111</v>
      </c>
      <c r="B51" s="13">
        <f>B52-B50</f>
        <v>290.18857142857149</v>
      </c>
      <c r="C51" s="13">
        <f t="shared" ref="C51:AM51" si="29">C52-C50</f>
        <v>302.33600000000001</v>
      </c>
      <c r="D51" s="13">
        <f t="shared" si="29"/>
        <v>314.48342857142859</v>
      </c>
      <c r="E51" s="13">
        <f t="shared" si="29"/>
        <v>326.63085714285717</v>
      </c>
      <c r="F51" s="13">
        <f t="shared" si="29"/>
        <v>338.77828571428574</v>
      </c>
      <c r="G51" s="13">
        <f t="shared" si="29"/>
        <v>350.92571428571432</v>
      </c>
      <c r="H51" s="13">
        <f t="shared" si="29"/>
        <v>363.0731428571429</v>
      </c>
      <c r="I51" s="13">
        <f t="shared" si="29"/>
        <v>375.22057142857147</v>
      </c>
      <c r="J51" s="13">
        <f t="shared" si="29"/>
        <v>387.36800000000005</v>
      </c>
      <c r="K51" s="13">
        <f t="shared" si="29"/>
        <v>399.51542857142863</v>
      </c>
      <c r="L51" s="13">
        <f t="shared" si="29"/>
        <v>411.66285714285721</v>
      </c>
      <c r="M51" s="13">
        <f t="shared" si="29"/>
        <v>423.81028571428573</v>
      </c>
      <c r="N51" s="13">
        <f t="shared" si="29"/>
        <v>435.9577142857143</v>
      </c>
      <c r="O51" s="13">
        <f t="shared" si="29"/>
        <v>448.10514285714288</v>
      </c>
      <c r="P51" s="13">
        <f t="shared" si="29"/>
        <v>460.2525714285714</v>
      </c>
      <c r="Q51" s="13">
        <f t="shared" si="29"/>
        <v>472.4</v>
      </c>
      <c r="R51" s="13">
        <f t="shared" si="29"/>
        <v>472.4</v>
      </c>
      <c r="S51" s="13">
        <f t="shared" si="29"/>
        <v>472.4</v>
      </c>
      <c r="T51" s="13">
        <f t="shared" si="29"/>
        <v>472.4</v>
      </c>
      <c r="U51" s="13">
        <f t="shared" si="29"/>
        <v>472.4</v>
      </c>
      <c r="V51" s="13">
        <f t="shared" si="29"/>
        <v>472.4</v>
      </c>
      <c r="W51" s="13">
        <f t="shared" si="29"/>
        <v>472.4</v>
      </c>
      <c r="X51" s="13">
        <f t="shared" si="29"/>
        <v>472.4</v>
      </c>
      <c r="Y51" s="13">
        <f t="shared" si="29"/>
        <v>472.4</v>
      </c>
      <c r="Z51" s="13">
        <f t="shared" si="29"/>
        <v>472.4</v>
      </c>
      <c r="AA51" s="13">
        <f t="shared" si="29"/>
        <v>472.4</v>
      </c>
      <c r="AB51" s="13">
        <f t="shared" si="29"/>
        <v>472.4</v>
      </c>
      <c r="AC51" s="13">
        <f t="shared" si="29"/>
        <v>472.4</v>
      </c>
      <c r="AD51" s="13">
        <f t="shared" si="29"/>
        <v>472.4</v>
      </c>
      <c r="AE51" s="13">
        <f t="shared" si="29"/>
        <v>472.4</v>
      </c>
      <c r="AF51" s="13">
        <f t="shared" si="29"/>
        <v>472.4</v>
      </c>
      <c r="AG51" s="13">
        <f t="shared" si="29"/>
        <v>472.4</v>
      </c>
      <c r="AH51" s="13">
        <f t="shared" si="29"/>
        <v>472.4</v>
      </c>
      <c r="AI51" s="13">
        <f t="shared" si="29"/>
        <v>472.4</v>
      </c>
      <c r="AJ51" s="13">
        <f t="shared" si="29"/>
        <v>472.4</v>
      </c>
      <c r="AK51" s="13">
        <f t="shared" si="29"/>
        <v>472.4</v>
      </c>
      <c r="AL51" s="13">
        <f t="shared" si="29"/>
        <v>472.4</v>
      </c>
      <c r="AM51" s="13">
        <f t="shared" si="29"/>
        <v>472.4</v>
      </c>
    </row>
    <row r="52" spans="1:43" x14ac:dyDescent="0.25">
      <c r="A52" t="s">
        <v>112</v>
      </c>
      <c r="B52" s="13">
        <f t="shared" ref="B52:AL52" si="30">C52/C47*B47</f>
        <v>353.82857142857148</v>
      </c>
      <c r="C52" s="13">
        <f t="shared" si="30"/>
        <v>368.64000000000004</v>
      </c>
      <c r="D52" s="13">
        <f t="shared" si="30"/>
        <v>383.45142857142861</v>
      </c>
      <c r="E52" s="13">
        <f t="shared" si="30"/>
        <v>398.26285714285717</v>
      </c>
      <c r="F52" s="13">
        <f t="shared" si="30"/>
        <v>413.07428571428574</v>
      </c>
      <c r="G52" s="13">
        <f t="shared" si="30"/>
        <v>427.88571428571436</v>
      </c>
      <c r="H52" s="13">
        <f t="shared" si="30"/>
        <v>442.69714285714292</v>
      </c>
      <c r="I52" s="13">
        <f t="shared" si="30"/>
        <v>457.50857142857149</v>
      </c>
      <c r="J52" s="13">
        <f t="shared" si="30"/>
        <v>472.32000000000005</v>
      </c>
      <c r="K52" s="13">
        <f t="shared" si="30"/>
        <v>487.13142857142861</v>
      </c>
      <c r="L52" s="13">
        <f t="shared" si="30"/>
        <v>501.94285714285718</v>
      </c>
      <c r="M52" s="13">
        <f t="shared" si="30"/>
        <v>516.75428571428574</v>
      </c>
      <c r="N52" s="13">
        <f t="shared" si="30"/>
        <v>531.56571428571431</v>
      </c>
      <c r="O52" s="13">
        <f t="shared" si="30"/>
        <v>546.37714285714287</v>
      </c>
      <c r="P52" s="13">
        <f t="shared" si="30"/>
        <v>561.18857142857144</v>
      </c>
      <c r="Q52" s="13">
        <f t="shared" si="30"/>
        <v>576</v>
      </c>
      <c r="R52" s="13">
        <f t="shared" si="30"/>
        <v>576</v>
      </c>
      <c r="S52" s="13">
        <f t="shared" si="30"/>
        <v>576</v>
      </c>
      <c r="T52" s="13">
        <f t="shared" si="30"/>
        <v>576</v>
      </c>
      <c r="U52" s="13">
        <f t="shared" si="30"/>
        <v>576</v>
      </c>
      <c r="V52" s="13">
        <f t="shared" si="30"/>
        <v>576</v>
      </c>
      <c r="W52" s="13">
        <f t="shared" si="30"/>
        <v>576</v>
      </c>
      <c r="X52" s="13">
        <f t="shared" si="30"/>
        <v>576</v>
      </c>
      <c r="Y52" s="13">
        <f t="shared" si="30"/>
        <v>576</v>
      </c>
      <c r="Z52" s="13">
        <f t="shared" si="30"/>
        <v>576</v>
      </c>
      <c r="AA52" s="13">
        <f t="shared" si="30"/>
        <v>576</v>
      </c>
      <c r="AB52" s="13">
        <f t="shared" si="30"/>
        <v>576</v>
      </c>
      <c r="AC52" s="13">
        <f t="shared" si="30"/>
        <v>576</v>
      </c>
      <c r="AD52" s="13">
        <f t="shared" si="30"/>
        <v>576</v>
      </c>
      <c r="AE52" s="13">
        <f t="shared" si="30"/>
        <v>576</v>
      </c>
      <c r="AF52" s="13">
        <f t="shared" si="30"/>
        <v>576</v>
      </c>
      <c r="AG52" s="13">
        <f t="shared" si="30"/>
        <v>576</v>
      </c>
      <c r="AH52" s="13">
        <f t="shared" si="30"/>
        <v>576</v>
      </c>
      <c r="AI52" s="13">
        <f t="shared" si="30"/>
        <v>576</v>
      </c>
      <c r="AJ52" s="13">
        <f t="shared" si="30"/>
        <v>576</v>
      </c>
      <c r="AK52" s="13">
        <f t="shared" si="30"/>
        <v>576</v>
      </c>
      <c r="AL52" s="13">
        <f t="shared" si="30"/>
        <v>576</v>
      </c>
      <c r="AM52" s="111">
        <v>576</v>
      </c>
    </row>
    <row r="54" spans="1:43" x14ac:dyDescent="0.25">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row>
    <row r="55" spans="1:43" x14ac:dyDescent="0.25">
      <c r="A55" s="3" t="s">
        <v>195</v>
      </c>
      <c r="B55" s="47">
        <v>2013</v>
      </c>
      <c r="C55" s="47">
        <v>2014</v>
      </c>
      <c r="D55" s="47">
        <v>2015</v>
      </c>
      <c r="E55" s="47">
        <v>2016</v>
      </c>
      <c r="F55" s="47">
        <v>2017</v>
      </c>
      <c r="G55" s="47">
        <v>2018</v>
      </c>
      <c r="H55" s="47">
        <v>2019</v>
      </c>
      <c r="I55" s="47">
        <v>2020</v>
      </c>
      <c r="J55" s="47">
        <v>2021</v>
      </c>
      <c r="K55" s="47">
        <v>2022</v>
      </c>
      <c r="L55" s="47">
        <v>2023</v>
      </c>
      <c r="M55" s="47">
        <v>2024</v>
      </c>
      <c r="N55" s="47">
        <v>2025</v>
      </c>
      <c r="O55" s="47">
        <v>2026</v>
      </c>
      <c r="P55" s="47">
        <v>2027</v>
      </c>
      <c r="Q55" s="47">
        <v>2028</v>
      </c>
      <c r="R55" s="47">
        <v>2029</v>
      </c>
      <c r="S55" s="47">
        <v>2030</v>
      </c>
      <c r="T55" s="47">
        <v>2031</v>
      </c>
      <c r="U55" s="47">
        <v>2032</v>
      </c>
      <c r="V55" s="47">
        <v>2033</v>
      </c>
      <c r="W55" s="47">
        <v>2034</v>
      </c>
      <c r="X55" s="47">
        <v>2035</v>
      </c>
      <c r="Y55" s="47">
        <v>2036</v>
      </c>
      <c r="Z55" s="47">
        <v>2037</v>
      </c>
      <c r="AA55" s="47">
        <v>2038</v>
      </c>
      <c r="AB55" s="47">
        <v>2039</v>
      </c>
      <c r="AC55" s="47">
        <v>2040</v>
      </c>
      <c r="AD55" s="47">
        <v>2041</v>
      </c>
      <c r="AE55" s="47">
        <v>2042</v>
      </c>
      <c r="AF55" s="47">
        <v>2043</v>
      </c>
      <c r="AG55" s="47">
        <v>2044</v>
      </c>
      <c r="AH55" s="47">
        <v>2045</v>
      </c>
      <c r="AI55" s="47">
        <v>2046</v>
      </c>
      <c r="AJ55" s="47">
        <v>2047</v>
      </c>
      <c r="AK55" s="47">
        <v>2048</v>
      </c>
      <c r="AL55" s="47">
        <v>2049</v>
      </c>
      <c r="AM55" s="47">
        <v>2050</v>
      </c>
    </row>
    <row r="56" spans="1:43" outlineLevel="1" x14ac:dyDescent="0.25">
      <c r="A56" t="s">
        <v>171</v>
      </c>
      <c r="B56" s="109">
        <v>0</v>
      </c>
      <c r="C56" s="111">
        <v>0</v>
      </c>
      <c r="D56" s="111">
        <v>0</v>
      </c>
      <c r="E56" s="111">
        <v>0</v>
      </c>
      <c r="F56" s="111">
        <v>0</v>
      </c>
      <c r="G56" s="111">
        <v>0</v>
      </c>
      <c r="H56" s="111">
        <v>0</v>
      </c>
      <c r="I56" s="111">
        <v>0</v>
      </c>
      <c r="J56" s="111">
        <v>0</v>
      </c>
      <c r="K56" s="111">
        <v>0</v>
      </c>
      <c r="L56" s="111">
        <v>0</v>
      </c>
      <c r="M56" s="111">
        <v>0</v>
      </c>
      <c r="N56" s="111">
        <v>0</v>
      </c>
      <c r="O56" s="111">
        <v>0</v>
      </c>
      <c r="P56" s="111">
        <v>0</v>
      </c>
      <c r="Q56" s="111">
        <v>0</v>
      </c>
      <c r="R56" s="111">
        <v>0</v>
      </c>
      <c r="S56" s="111">
        <v>0</v>
      </c>
      <c r="T56" s="111">
        <v>0</v>
      </c>
      <c r="U56" s="111">
        <v>0</v>
      </c>
      <c r="V56" s="111">
        <v>0</v>
      </c>
      <c r="W56" s="111">
        <v>0</v>
      </c>
      <c r="X56" s="111">
        <v>0</v>
      </c>
      <c r="Y56" s="111">
        <v>0</v>
      </c>
      <c r="Z56" s="111">
        <v>0</v>
      </c>
      <c r="AA56" s="111">
        <v>0</v>
      </c>
      <c r="AB56" s="111">
        <v>0</v>
      </c>
      <c r="AC56" s="111">
        <v>0</v>
      </c>
      <c r="AD56" s="111">
        <v>0</v>
      </c>
      <c r="AE56" s="145">
        <f>AD56+($AM56-$AD56)/(2050-2041)</f>
        <v>1790954.936588889</v>
      </c>
      <c r="AF56" s="145">
        <f t="shared" ref="AF56:AL56" si="31">AE56+($AM56-$AD56)/(2050-2041)</f>
        <v>3581909.873177778</v>
      </c>
      <c r="AG56" s="145">
        <f t="shared" si="31"/>
        <v>5372864.809766667</v>
      </c>
      <c r="AH56" s="145">
        <f t="shared" si="31"/>
        <v>7163819.746355556</v>
      </c>
      <c r="AI56" s="145">
        <f t="shared" si="31"/>
        <v>8954774.6829444449</v>
      </c>
      <c r="AJ56" s="145">
        <f t="shared" si="31"/>
        <v>10745729.619533334</v>
      </c>
      <c r="AK56" s="145">
        <f t="shared" si="31"/>
        <v>12536684.556122223</v>
      </c>
      <c r="AL56" s="145">
        <f t="shared" si="31"/>
        <v>14327639.492711112</v>
      </c>
      <c r="AM56" s="116">
        <f>Production!$B$4</f>
        <v>16118594.429300001</v>
      </c>
    </row>
    <row r="57" spans="1:43" outlineLevel="1" x14ac:dyDescent="0.25">
      <c r="A57" t="s">
        <v>185</v>
      </c>
      <c r="B57" s="109">
        <f>LCOE!B23</f>
        <v>206.55737704918033</v>
      </c>
      <c r="C57" s="111">
        <f>LCOE!C23</f>
        <v>204.99517839922854</v>
      </c>
      <c r="D57" s="111">
        <f>LCOE!D23</f>
        <v>203.43297974927674</v>
      </c>
      <c r="E57" s="111">
        <f>LCOE!E23</f>
        <v>201.87078109932494</v>
      </c>
      <c r="F57" s="111">
        <f>LCOE!F23</f>
        <v>200.30858244937315</v>
      </c>
      <c r="G57" s="111">
        <f>LCOE!G23</f>
        <v>198.74638379942135</v>
      </c>
      <c r="H57" s="111">
        <f>LCOE!H23</f>
        <v>197.18418514946956</v>
      </c>
      <c r="I57" s="111">
        <f>LCOE!I23</f>
        <v>195.62198649951776</v>
      </c>
      <c r="J57" s="111">
        <f>LCOE!J23</f>
        <v>194.05978784956596</v>
      </c>
      <c r="K57" s="111">
        <f>LCOE!K23</f>
        <v>192.49758919961417</v>
      </c>
      <c r="L57" s="111">
        <f>LCOE!L23</f>
        <v>190.93539054966237</v>
      </c>
      <c r="M57" s="110">
        <f>LCOE!M23</f>
        <v>189.37319189971058</v>
      </c>
      <c r="N57" s="111">
        <f>LCOE!N23</f>
        <v>187.81099324975878</v>
      </c>
      <c r="O57" s="111">
        <f>LCOE!O23</f>
        <v>186.24879459980698</v>
      </c>
      <c r="P57" s="111">
        <f>LCOE!P23</f>
        <v>184.68659594985519</v>
      </c>
      <c r="Q57" s="111">
        <f>LCOE!Q23</f>
        <v>183.12439729990339</v>
      </c>
      <c r="R57" s="111">
        <f>LCOE!R23</f>
        <v>181.5621986499516</v>
      </c>
      <c r="S57" s="111">
        <f>LCOE!S23</f>
        <v>180</v>
      </c>
      <c r="T57" s="111">
        <f>LCOE!T23</f>
        <v>180</v>
      </c>
      <c r="U57" s="111">
        <f>LCOE!U23</f>
        <v>180</v>
      </c>
      <c r="V57" s="111">
        <f>LCOE!V23</f>
        <v>180</v>
      </c>
      <c r="W57" s="111">
        <f>LCOE!W23</f>
        <v>180</v>
      </c>
      <c r="X57" s="111">
        <f>LCOE!X23</f>
        <v>180</v>
      </c>
      <c r="Y57" s="111">
        <f>LCOE!Y23</f>
        <v>180</v>
      </c>
      <c r="Z57" s="111">
        <f>LCOE!Z23</f>
        <v>180</v>
      </c>
      <c r="AA57" s="111">
        <f>LCOE!AA23</f>
        <v>180</v>
      </c>
      <c r="AB57" s="111">
        <f>LCOE!AB23</f>
        <v>180</v>
      </c>
      <c r="AC57" s="111">
        <f>LCOE!AC23</f>
        <v>180</v>
      </c>
      <c r="AD57" s="111">
        <f>LCOE!AD23</f>
        <v>180</v>
      </c>
      <c r="AE57" s="110">
        <f>LCOE!AE23</f>
        <v>180</v>
      </c>
      <c r="AF57" s="111">
        <f>LCOE!AF23</f>
        <v>180</v>
      </c>
      <c r="AG57" s="111">
        <f>LCOE!AG23</f>
        <v>180</v>
      </c>
      <c r="AH57" s="111">
        <f>LCOE!AH23</f>
        <v>180</v>
      </c>
      <c r="AI57" s="111">
        <f>LCOE!AI23</f>
        <v>180</v>
      </c>
      <c r="AJ57" s="111">
        <f>LCOE!AJ23</f>
        <v>180</v>
      </c>
      <c r="AK57" s="110">
        <f>LCOE!AK23</f>
        <v>180</v>
      </c>
      <c r="AL57" s="110">
        <f>LCOE!AL23</f>
        <v>180</v>
      </c>
      <c r="AM57" s="110">
        <f>LCOE!AM23</f>
        <v>180</v>
      </c>
    </row>
    <row r="58" spans="1:43" x14ac:dyDescent="0.25">
      <c r="A58" s="51" t="s">
        <v>90</v>
      </c>
      <c r="B58" s="49">
        <v>0</v>
      </c>
      <c r="C58" s="49">
        <v>0</v>
      </c>
      <c r="D58" s="49">
        <v>0</v>
      </c>
      <c r="E58" s="49">
        <v>0</v>
      </c>
      <c r="F58" s="49">
        <v>0</v>
      </c>
      <c r="G58" s="49">
        <v>0</v>
      </c>
      <c r="H58" s="49">
        <v>0</v>
      </c>
      <c r="I58" s="49">
        <v>0</v>
      </c>
      <c r="J58" s="49">
        <v>0</v>
      </c>
      <c r="K58" s="49">
        <v>0</v>
      </c>
      <c r="L58" s="49">
        <v>0</v>
      </c>
      <c r="M58" s="49">
        <v>0</v>
      </c>
      <c r="N58" s="49">
        <v>0</v>
      </c>
      <c r="O58" s="49">
        <v>0</v>
      </c>
      <c r="P58" s="49">
        <v>0</v>
      </c>
      <c r="Q58" s="49">
        <v>0</v>
      </c>
      <c r="R58" s="49">
        <v>0</v>
      </c>
      <c r="S58" s="49">
        <v>0</v>
      </c>
      <c r="T58" s="49">
        <v>0</v>
      </c>
      <c r="U58" s="49">
        <v>0</v>
      </c>
      <c r="V58" s="49">
        <v>0</v>
      </c>
      <c r="W58" s="49">
        <v>0</v>
      </c>
      <c r="X58" s="49">
        <v>0</v>
      </c>
      <c r="Y58" s="49">
        <v>0</v>
      </c>
      <c r="Z58" s="49">
        <v>0</v>
      </c>
      <c r="AA58" s="49">
        <v>0</v>
      </c>
      <c r="AB58" s="49">
        <v>0</v>
      </c>
      <c r="AC58" s="49">
        <v>0</v>
      </c>
      <c r="AD58" s="49">
        <v>0</v>
      </c>
      <c r="AE58" s="145">
        <f>AD58+($AM58-$AD58)/(2050-2041)</f>
        <v>1493.8515836656111</v>
      </c>
      <c r="AF58" s="145">
        <f t="shared" ref="AF58:AL58" si="32">AE58+($AM58-$AD58)/(2050-2041)</f>
        <v>2987.7031673312222</v>
      </c>
      <c r="AG58" s="145">
        <f t="shared" si="32"/>
        <v>4481.5547509968328</v>
      </c>
      <c r="AH58" s="145">
        <f t="shared" si="32"/>
        <v>5975.4063346624444</v>
      </c>
      <c r="AI58" s="145">
        <f t="shared" si="32"/>
        <v>7469.2579183280559</v>
      </c>
      <c r="AJ58" s="145">
        <f t="shared" si="32"/>
        <v>8963.1095019936674</v>
      </c>
      <c r="AK58" s="145">
        <f t="shared" si="32"/>
        <v>10456.961085659279</v>
      </c>
      <c r="AL58" s="145">
        <f t="shared" si="32"/>
        <v>11950.812669324891</v>
      </c>
      <c r="AM58" s="43">
        <f>'Capacités installées'!B3</f>
        <v>13444.6642529905</v>
      </c>
    </row>
    <row r="59" spans="1:43" x14ac:dyDescent="0.25">
      <c r="A59" t="s">
        <v>110</v>
      </c>
      <c r="B59" s="33"/>
      <c r="C59" s="42">
        <f t="shared" ref="C59:AM59" si="33">C58-B58</f>
        <v>0</v>
      </c>
      <c r="D59" s="42">
        <f t="shared" si="33"/>
        <v>0</v>
      </c>
      <c r="E59" s="42">
        <f t="shared" si="33"/>
        <v>0</v>
      </c>
      <c r="F59" s="42">
        <f t="shared" si="33"/>
        <v>0</v>
      </c>
      <c r="G59" s="42">
        <f t="shared" si="33"/>
        <v>0</v>
      </c>
      <c r="H59" s="42">
        <f t="shared" si="33"/>
        <v>0</v>
      </c>
      <c r="I59" s="42">
        <f t="shared" si="33"/>
        <v>0</v>
      </c>
      <c r="J59" s="42">
        <f t="shared" si="33"/>
        <v>0</v>
      </c>
      <c r="K59" s="42">
        <f t="shared" si="33"/>
        <v>0</v>
      </c>
      <c r="L59" s="42">
        <f t="shared" si="33"/>
        <v>0</v>
      </c>
      <c r="M59" s="42">
        <f t="shared" si="33"/>
        <v>0</v>
      </c>
      <c r="N59" s="42">
        <f t="shared" si="33"/>
        <v>0</v>
      </c>
      <c r="O59" s="42">
        <f t="shared" si="33"/>
        <v>0</v>
      </c>
      <c r="P59" s="42">
        <f t="shared" si="33"/>
        <v>0</v>
      </c>
      <c r="Q59" s="42">
        <f t="shared" si="33"/>
        <v>0</v>
      </c>
      <c r="R59" s="42">
        <f t="shared" si="33"/>
        <v>0</v>
      </c>
      <c r="S59" s="42">
        <f t="shared" si="33"/>
        <v>0</v>
      </c>
      <c r="T59" s="42">
        <f t="shared" si="33"/>
        <v>0</v>
      </c>
      <c r="U59" s="42">
        <f t="shared" si="33"/>
        <v>0</v>
      </c>
      <c r="V59" s="42">
        <f t="shared" si="33"/>
        <v>0</v>
      </c>
      <c r="W59" s="42">
        <f t="shared" si="33"/>
        <v>0</v>
      </c>
      <c r="X59" s="42">
        <f t="shared" si="33"/>
        <v>0</v>
      </c>
      <c r="Y59" s="42">
        <f t="shared" si="33"/>
        <v>0</v>
      </c>
      <c r="Z59" s="42">
        <f t="shared" si="33"/>
        <v>0</v>
      </c>
      <c r="AA59" s="42">
        <f t="shared" si="33"/>
        <v>0</v>
      </c>
      <c r="AB59" s="42">
        <f t="shared" si="33"/>
        <v>0</v>
      </c>
      <c r="AC59" s="42">
        <f t="shared" si="33"/>
        <v>0</v>
      </c>
      <c r="AD59" s="42">
        <f t="shared" si="33"/>
        <v>0</v>
      </c>
      <c r="AE59" s="42">
        <f t="shared" si="33"/>
        <v>1493.8515836656111</v>
      </c>
      <c r="AF59" s="42">
        <f t="shared" si="33"/>
        <v>1493.8515836656111</v>
      </c>
      <c r="AG59" s="42">
        <f t="shared" si="33"/>
        <v>1493.8515836656106</v>
      </c>
      <c r="AH59" s="42">
        <f t="shared" si="33"/>
        <v>1493.8515836656115</v>
      </c>
      <c r="AI59" s="42">
        <f t="shared" si="33"/>
        <v>1493.8515836656115</v>
      </c>
      <c r="AJ59" s="42">
        <f t="shared" si="33"/>
        <v>1493.8515836656115</v>
      </c>
      <c r="AK59" s="42">
        <f t="shared" si="33"/>
        <v>1493.8515836656115</v>
      </c>
      <c r="AL59" s="42">
        <f t="shared" si="33"/>
        <v>1493.8515836656115</v>
      </c>
      <c r="AM59" s="42">
        <f t="shared" si="33"/>
        <v>1493.8515836656097</v>
      </c>
    </row>
    <row r="60" spans="1:43" x14ac:dyDescent="0.25">
      <c r="A60" t="s">
        <v>143</v>
      </c>
      <c r="B60" s="42">
        <f>LCOE!$AT$23*10</f>
        <v>150</v>
      </c>
      <c r="C60" s="42">
        <f>LCOE!$AT$23*10</f>
        <v>150</v>
      </c>
      <c r="D60" s="42">
        <f>LCOE!$AT$23*10</f>
        <v>150</v>
      </c>
      <c r="E60" s="42">
        <f>LCOE!$AT$23*10</f>
        <v>150</v>
      </c>
      <c r="F60" s="42">
        <f>LCOE!$AT$23*10</f>
        <v>150</v>
      </c>
      <c r="G60" s="42">
        <f>LCOE!$AT$23*10</f>
        <v>150</v>
      </c>
      <c r="H60" s="42">
        <f>LCOE!$AT$23*10</f>
        <v>150</v>
      </c>
      <c r="I60" s="42">
        <f>LCOE!$AT$23*10</f>
        <v>150</v>
      </c>
      <c r="J60" s="42">
        <f>LCOE!$AT$23*10</f>
        <v>150</v>
      </c>
      <c r="K60" s="42">
        <f>LCOE!$AT$23*10</f>
        <v>150</v>
      </c>
      <c r="L60" s="42">
        <f>LCOE!$AT$23*10</f>
        <v>150</v>
      </c>
      <c r="M60" s="42">
        <f>LCOE!$AT$23*10</f>
        <v>150</v>
      </c>
      <c r="N60" s="42">
        <f>LCOE!$AT$23*10</f>
        <v>150</v>
      </c>
      <c r="O60" s="42">
        <f>LCOE!$AT$23*10</f>
        <v>150</v>
      </c>
      <c r="P60" s="42">
        <f>LCOE!$AT$23*10</f>
        <v>150</v>
      </c>
      <c r="Q60" s="42">
        <f>LCOE!$AT$23*10</f>
        <v>150</v>
      </c>
      <c r="R60" s="42">
        <f>LCOE!$AT$23*10</f>
        <v>150</v>
      </c>
      <c r="S60" s="42">
        <f>LCOE!$AT$23*10</f>
        <v>150</v>
      </c>
      <c r="T60" s="42">
        <f>LCOE!$AT$23*10</f>
        <v>150</v>
      </c>
      <c r="U60" s="42">
        <f>LCOE!$AT$23*10</f>
        <v>150</v>
      </c>
      <c r="V60" s="42">
        <f>LCOE!$AT$23*10</f>
        <v>150</v>
      </c>
      <c r="W60" s="42">
        <f>LCOE!$AT$23*10</f>
        <v>150</v>
      </c>
      <c r="X60" s="42">
        <f>LCOE!$AT$23*10</f>
        <v>150</v>
      </c>
      <c r="Y60" s="42">
        <f>LCOE!$AT$23*10</f>
        <v>150</v>
      </c>
      <c r="Z60" s="42">
        <f>LCOE!$AT$23*10</f>
        <v>150</v>
      </c>
      <c r="AA60" s="42">
        <f>LCOE!$AT$23*10</f>
        <v>150</v>
      </c>
      <c r="AB60" s="42">
        <f>LCOE!$AT$23*10</f>
        <v>150</v>
      </c>
      <c r="AC60" s="42">
        <f>LCOE!$AT$23*10</f>
        <v>150</v>
      </c>
      <c r="AD60" s="42">
        <f>LCOE!$AT$23*10</f>
        <v>150</v>
      </c>
      <c r="AE60" s="42">
        <f>LCOE!$AT$23*10</f>
        <v>150</v>
      </c>
      <c r="AF60" s="42">
        <f>LCOE!$AT$23*10</f>
        <v>150</v>
      </c>
      <c r="AG60" s="42">
        <f>LCOE!$AT$23*10</f>
        <v>150</v>
      </c>
      <c r="AH60" s="42">
        <f>LCOE!$AT$23*10</f>
        <v>150</v>
      </c>
      <c r="AI60" s="42">
        <f>LCOE!$AT$23*10</f>
        <v>150</v>
      </c>
      <c r="AJ60" s="42">
        <f>LCOE!$AT$23*10</f>
        <v>150</v>
      </c>
      <c r="AK60" s="42">
        <f>LCOE!$AT$23*10</f>
        <v>150</v>
      </c>
      <c r="AL60" s="42">
        <f>LCOE!$AT$23*10</f>
        <v>150</v>
      </c>
      <c r="AM60" s="42">
        <f>LCOE!$AT$23*10</f>
        <v>150</v>
      </c>
    </row>
    <row r="61" spans="1:43" x14ac:dyDescent="0.25">
      <c r="A61" t="s">
        <v>197</v>
      </c>
      <c r="B61" s="55"/>
      <c r="C61" s="42"/>
      <c r="D61" s="43"/>
      <c r="E61" s="42"/>
      <c r="F61" s="42"/>
      <c r="G61" s="42"/>
      <c r="H61" s="42"/>
      <c r="I61" s="42"/>
      <c r="J61" s="42"/>
      <c r="K61" s="42"/>
      <c r="L61" s="42"/>
      <c r="M61" s="49"/>
      <c r="N61" s="43"/>
      <c r="O61" s="42"/>
      <c r="P61" s="42"/>
      <c r="Q61" s="42"/>
      <c r="R61" s="42"/>
      <c r="S61" s="57"/>
      <c r="T61" s="42"/>
      <c r="U61" s="42"/>
      <c r="V61" s="42"/>
      <c r="W61" s="42"/>
      <c r="X61" s="42"/>
      <c r="Y61" s="42"/>
      <c r="Z61" s="42"/>
      <c r="AA61" s="42"/>
      <c r="AB61" s="42"/>
      <c r="AC61" s="42"/>
      <c r="AD61" s="42"/>
      <c r="AE61" s="49"/>
      <c r="AF61" s="42"/>
      <c r="AG61" s="42"/>
      <c r="AH61" s="42"/>
      <c r="AI61" s="42"/>
      <c r="AJ61" s="42"/>
      <c r="AK61" s="49"/>
      <c r="AL61" s="42"/>
      <c r="AM61" s="112">
        <f>AM63/AM66</f>
        <v>0.10194665231139106</v>
      </c>
    </row>
    <row r="62" spans="1:43" x14ac:dyDescent="0.25">
      <c r="A62" t="s">
        <v>30</v>
      </c>
      <c r="B62" s="113">
        <f>LCOE!AQ23</f>
        <v>30</v>
      </c>
      <c r="AN62" s="13"/>
      <c r="AO62" s="13"/>
    </row>
    <row r="63" spans="1:43" x14ac:dyDescent="0.25">
      <c r="A63" t="s">
        <v>198</v>
      </c>
      <c r="B63" s="13">
        <f t="shared" ref="B63:AK63" si="34">$AM$61*B66</f>
        <v>0</v>
      </c>
      <c r="C63" s="13">
        <f t="shared" si="34"/>
        <v>0</v>
      </c>
      <c r="D63" s="13">
        <f t="shared" si="34"/>
        <v>0</v>
      </c>
      <c r="E63" s="13">
        <f t="shared" si="34"/>
        <v>0</v>
      </c>
      <c r="F63" s="13">
        <f t="shared" si="34"/>
        <v>0</v>
      </c>
      <c r="G63" s="13">
        <f t="shared" si="34"/>
        <v>0</v>
      </c>
      <c r="H63" s="13">
        <f t="shared" si="34"/>
        <v>0</v>
      </c>
      <c r="I63" s="13">
        <f t="shared" si="34"/>
        <v>0</v>
      </c>
      <c r="J63" s="13">
        <f t="shared" si="34"/>
        <v>0</v>
      </c>
      <c r="K63" s="13">
        <f t="shared" si="34"/>
        <v>0</v>
      </c>
      <c r="L63" s="146">
        <f t="shared" si="34"/>
        <v>0</v>
      </c>
      <c r="M63" s="146">
        <f>$AM$61*M66</f>
        <v>0</v>
      </c>
      <c r="N63" s="146">
        <f t="shared" si="34"/>
        <v>0</v>
      </c>
      <c r="O63" s="13">
        <f t="shared" si="34"/>
        <v>0</v>
      </c>
      <c r="P63" s="13">
        <f t="shared" si="34"/>
        <v>0</v>
      </c>
      <c r="Q63" s="13">
        <f t="shared" si="34"/>
        <v>0</v>
      </c>
      <c r="R63" s="13">
        <f t="shared" si="34"/>
        <v>0</v>
      </c>
      <c r="S63" s="13">
        <f t="shared" si="34"/>
        <v>0</v>
      </c>
      <c r="T63" s="13">
        <f t="shared" si="34"/>
        <v>0</v>
      </c>
      <c r="U63" s="13">
        <f t="shared" si="34"/>
        <v>0</v>
      </c>
      <c r="V63" s="13">
        <f t="shared" si="34"/>
        <v>0</v>
      </c>
      <c r="W63" s="13">
        <f t="shared" si="34"/>
        <v>0</v>
      </c>
      <c r="X63" s="13">
        <f t="shared" si="34"/>
        <v>0</v>
      </c>
      <c r="Y63" s="13">
        <f t="shared" si="34"/>
        <v>0</v>
      </c>
      <c r="Z63" s="13">
        <f t="shared" si="34"/>
        <v>0</v>
      </c>
      <c r="AA63" s="13">
        <f t="shared" si="34"/>
        <v>0</v>
      </c>
      <c r="AB63" s="13">
        <f t="shared" si="34"/>
        <v>0</v>
      </c>
      <c r="AC63" s="13">
        <f t="shared" si="34"/>
        <v>0</v>
      </c>
      <c r="AD63" s="13">
        <f t="shared" si="34"/>
        <v>0</v>
      </c>
      <c r="AE63" s="13">
        <f t="shared" si="34"/>
        <v>32.864734840643443</v>
      </c>
      <c r="AF63" s="13">
        <f t="shared" si="34"/>
        <v>65.729469681286886</v>
      </c>
      <c r="AG63" s="13">
        <f t="shared" si="34"/>
        <v>98.594204521930322</v>
      </c>
      <c r="AH63" s="13">
        <f t="shared" si="34"/>
        <v>131.45893936257377</v>
      </c>
      <c r="AI63" s="13">
        <f t="shared" si="34"/>
        <v>164.32367420321722</v>
      </c>
      <c r="AJ63" s="13">
        <f t="shared" si="34"/>
        <v>197.18840904386064</v>
      </c>
      <c r="AK63" s="13">
        <f t="shared" si="34"/>
        <v>230.0531438845041</v>
      </c>
      <c r="AL63" s="13">
        <f>$AM$61*AL66</f>
        <v>262.91787872514755</v>
      </c>
      <c r="AM63" s="13">
        <f>LCOE!AS23*1000*'Capacités installées'!B3/1000000</f>
        <v>295.782613565791</v>
      </c>
      <c r="AN63" s="13"/>
      <c r="AO63" s="13"/>
      <c r="AP63" s="13"/>
      <c r="AQ63" s="13"/>
    </row>
    <row r="64" spans="1:43" x14ac:dyDescent="0.25">
      <c r="A64" t="s">
        <v>199</v>
      </c>
      <c r="B64" s="13">
        <f>B60*B56/1000000-B31</f>
        <v>0</v>
      </c>
      <c r="C64" s="13">
        <f t="shared" ref="C64:AM64" si="35">C60*C56/1000000-C31</f>
        <v>0</v>
      </c>
      <c r="D64" s="13">
        <f t="shared" si="35"/>
        <v>0</v>
      </c>
      <c r="E64" s="13">
        <f t="shared" si="35"/>
        <v>0</v>
      </c>
      <c r="F64" s="13">
        <f t="shared" si="35"/>
        <v>0</v>
      </c>
      <c r="G64" s="13">
        <f t="shared" si="35"/>
        <v>0</v>
      </c>
      <c r="H64" s="13">
        <f t="shared" si="35"/>
        <v>0</v>
      </c>
      <c r="I64" s="13">
        <f t="shared" si="35"/>
        <v>0</v>
      </c>
      <c r="J64" s="13">
        <f t="shared" si="35"/>
        <v>0</v>
      </c>
      <c r="K64" s="13">
        <f t="shared" si="35"/>
        <v>0</v>
      </c>
      <c r="L64" s="146">
        <f t="shared" si="35"/>
        <v>0</v>
      </c>
      <c r="M64" s="146">
        <f>M60*M56/1000000-M31</f>
        <v>0</v>
      </c>
      <c r="N64" s="146">
        <f t="shared" si="35"/>
        <v>0</v>
      </c>
      <c r="O64" s="13">
        <f t="shared" si="35"/>
        <v>0</v>
      </c>
      <c r="P64" s="13">
        <f t="shared" si="35"/>
        <v>0</v>
      </c>
      <c r="Q64" s="13">
        <f t="shared" si="35"/>
        <v>0</v>
      </c>
      <c r="R64" s="13">
        <f t="shared" si="35"/>
        <v>0</v>
      </c>
      <c r="S64" s="13">
        <f t="shared" si="35"/>
        <v>0</v>
      </c>
      <c r="T64" s="13">
        <f t="shared" si="35"/>
        <v>0</v>
      </c>
      <c r="U64" s="13">
        <f t="shared" si="35"/>
        <v>0</v>
      </c>
      <c r="V64" s="13">
        <f t="shared" si="35"/>
        <v>0</v>
      </c>
      <c r="W64" s="13">
        <f t="shared" si="35"/>
        <v>0</v>
      </c>
      <c r="X64" s="13">
        <f t="shared" si="35"/>
        <v>0</v>
      </c>
      <c r="Y64" s="13">
        <f t="shared" si="35"/>
        <v>0</v>
      </c>
      <c r="Z64" s="13">
        <f t="shared" si="35"/>
        <v>0</v>
      </c>
      <c r="AA64" s="13">
        <f t="shared" si="35"/>
        <v>0</v>
      </c>
      <c r="AB64" s="13">
        <f t="shared" si="35"/>
        <v>0</v>
      </c>
      <c r="AC64" s="13">
        <f t="shared" si="35"/>
        <v>0</v>
      </c>
      <c r="AD64" s="13">
        <f t="shared" si="35"/>
        <v>0</v>
      </c>
      <c r="AE64" s="13">
        <f t="shared" si="35"/>
        <v>122.81976042553856</v>
      </c>
      <c r="AF64" s="13">
        <f t="shared" si="35"/>
        <v>246.40054262579264</v>
      </c>
      <c r="AG64" s="13">
        <f t="shared" si="35"/>
        <v>370.74234660076229</v>
      </c>
      <c r="AH64" s="13">
        <f t="shared" si="35"/>
        <v>495.84517235044723</v>
      </c>
      <c r="AI64" s="13">
        <f t="shared" si="35"/>
        <v>621.70901987484797</v>
      </c>
      <c r="AJ64" s="13">
        <f t="shared" si="35"/>
        <v>748.33388917396405</v>
      </c>
      <c r="AK64" s="13">
        <f t="shared" si="35"/>
        <v>875.7197802477956</v>
      </c>
      <c r="AL64" s="13">
        <f t="shared" si="35"/>
        <v>1003.8666930963423</v>
      </c>
      <c r="AM64" s="13">
        <f t="shared" si="35"/>
        <v>1132.7746277196061</v>
      </c>
      <c r="AN64" s="13"/>
      <c r="AO64" s="13"/>
      <c r="AP64" s="13"/>
      <c r="AQ64" s="13"/>
    </row>
    <row r="65" spans="1:45" x14ac:dyDescent="0.25">
      <c r="A65" t="s">
        <v>111</v>
      </c>
      <c r="B65" s="13">
        <f>B66-B63-B64</f>
        <v>0</v>
      </c>
      <c r="C65" s="13">
        <f t="shared" ref="C65:AM65" si="36">C66-C63-C64</f>
        <v>0</v>
      </c>
      <c r="D65" s="13">
        <f t="shared" si="36"/>
        <v>0</v>
      </c>
      <c r="E65" s="13">
        <f t="shared" si="36"/>
        <v>0</v>
      </c>
      <c r="F65" s="13">
        <f t="shared" si="36"/>
        <v>0</v>
      </c>
      <c r="G65" s="13">
        <f t="shared" si="36"/>
        <v>0</v>
      </c>
      <c r="H65" s="13">
        <f t="shared" si="36"/>
        <v>0</v>
      </c>
      <c r="I65" s="13">
        <f t="shared" si="36"/>
        <v>0</v>
      </c>
      <c r="J65" s="13">
        <f t="shared" si="36"/>
        <v>0</v>
      </c>
      <c r="K65" s="13">
        <f t="shared" si="36"/>
        <v>0</v>
      </c>
      <c r="L65" s="146">
        <f t="shared" si="36"/>
        <v>0</v>
      </c>
      <c r="M65" s="146">
        <f t="shared" si="36"/>
        <v>0</v>
      </c>
      <c r="N65" s="146">
        <f t="shared" si="36"/>
        <v>0</v>
      </c>
      <c r="O65" s="13">
        <f t="shared" si="36"/>
        <v>0</v>
      </c>
      <c r="P65" s="13">
        <f t="shared" si="36"/>
        <v>0</v>
      </c>
      <c r="Q65" s="13">
        <f t="shared" si="36"/>
        <v>0</v>
      </c>
      <c r="R65" s="13">
        <f t="shared" si="36"/>
        <v>0</v>
      </c>
      <c r="S65" s="13">
        <f t="shared" si="36"/>
        <v>0</v>
      </c>
      <c r="T65" s="13">
        <f t="shared" si="36"/>
        <v>0</v>
      </c>
      <c r="U65" s="13">
        <f t="shared" si="36"/>
        <v>0</v>
      </c>
      <c r="V65" s="13">
        <f t="shared" si="36"/>
        <v>0</v>
      </c>
      <c r="W65" s="13">
        <f t="shared" si="36"/>
        <v>0</v>
      </c>
      <c r="X65" s="13">
        <f t="shared" si="36"/>
        <v>0</v>
      </c>
      <c r="Y65" s="13">
        <f t="shared" si="36"/>
        <v>0</v>
      </c>
      <c r="Z65" s="13">
        <f t="shared" si="36"/>
        <v>0</v>
      </c>
      <c r="AA65" s="13">
        <f t="shared" si="36"/>
        <v>0</v>
      </c>
      <c r="AB65" s="13">
        <f t="shared" si="36"/>
        <v>0</v>
      </c>
      <c r="AC65" s="13">
        <f t="shared" si="36"/>
        <v>0</v>
      </c>
      <c r="AD65" s="13">
        <f t="shared" si="36"/>
        <v>0</v>
      </c>
      <c r="AE65" s="13">
        <f t="shared" si="36"/>
        <v>166.687393319818</v>
      </c>
      <c r="AF65" s="13">
        <f t="shared" si="36"/>
        <v>332.61376486492048</v>
      </c>
      <c r="AG65" s="13">
        <f t="shared" si="36"/>
        <v>497.77911463530734</v>
      </c>
      <c r="AH65" s="13">
        <f t="shared" si="36"/>
        <v>662.18344263097902</v>
      </c>
      <c r="AI65" s="13">
        <f t="shared" si="36"/>
        <v>825.82674885193489</v>
      </c>
      <c r="AJ65" s="13">
        <f t="shared" si="36"/>
        <v>988.7090332981752</v>
      </c>
      <c r="AK65" s="13">
        <f t="shared" si="36"/>
        <v>1150.8302959697005</v>
      </c>
      <c r="AL65" s="13">
        <f t="shared" si="36"/>
        <v>1312.1905368665102</v>
      </c>
      <c r="AM65" s="13">
        <f t="shared" si="36"/>
        <v>1472.7897559886032</v>
      </c>
      <c r="AN65" s="13"/>
      <c r="AO65" s="13"/>
      <c r="AP65" s="13"/>
    </row>
    <row r="66" spans="1:45" x14ac:dyDescent="0.25">
      <c r="A66" t="s">
        <v>112</v>
      </c>
      <c r="B66" s="13">
        <f t="shared" ref="B66:AL66" si="37">B56*B57/1000000</f>
        <v>0</v>
      </c>
      <c r="C66" s="13">
        <f t="shared" si="37"/>
        <v>0</v>
      </c>
      <c r="D66" s="13">
        <f t="shared" si="37"/>
        <v>0</v>
      </c>
      <c r="E66" s="13">
        <f t="shared" si="37"/>
        <v>0</v>
      </c>
      <c r="F66" s="13">
        <f t="shared" si="37"/>
        <v>0</v>
      </c>
      <c r="G66" s="13">
        <f t="shared" si="37"/>
        <v>0</v>
      </c>
      <c r="H66" s="13">
        <f t="shared" si="37"/>
        <v>0</v>
      </c>
      <c r="I66" s="13">
        <f t="shared" si="37"/>
        <v>0</v>
      </c>
      <c r="J66" s="13">
        <f t="shared" si="37"/>
        <v>0</v>
      </c>
      <c r="K66" s="13">
        <f t="shared" si="37"/>
        <v>0</v>
      </c>
      <c r="L66" s="146">
        <f t="shared" si="37"/>
        <v>0</v>
      </c>
      <c r="M66" s="146">
        <f>M56*M57/1000000</f>
        <v>0</v>
      </c>
      <c r="N66" s="146">
        <f t="shared" si="37"/>
        <v>0</v>
      </c>
      <c r="O66" s="13">
        <f t="shared" si="37"/>
        <v>0</v>
      </c>
      <c r="P66" s="13">
        <f t="shared" si="37"/>
        <v>0</v>
      </c>
      <c r="Q66" s="13">
        <f t="shared" si="37"/>
        <v>0</v>
      </c>
      <c r="R66" s="13">
        <f t="shared" si="37"/>
        <v>0</v>
      </c>
      <c r="S66" s="13">
        <f t="shared" si="37"/>
        <v>0</v>
      </c>
      <c r="T66" s="13">
        <f t="shared" si="37"/>
        <v>0</v>
      </c>
      <c r="U66" s="13">
        <f t="shared" si="37"/>
        <v>0</v>
      </c>
      <c r="V66" s="13">
        <f t="shared" si="37"/>
        <v>0</v>
      </c>
      <c r="W66" s="13">
        <f t="shared" si="37"/>
        <v>0</v>
      </c>
      <c r="X66" s="13">
        <f t="shared" si="37"/>
        <v>0</v>
      </c>
      <c r="Y66" s="13">
        <f t="shared" si="37"/>
        <v>0</v>
      </c>
      <c r="Z66" s="13">
        <f t="shared" si="37"/>
        <v>0</v>
      </c>
      <c r="AA66" s="13">
        <f t="shared" si="37"/>
        <v>0</v>
      </c>
      <c r="AB66" s="13">
        <f t="shared" si="37"/>
        <v>0</v>
      </c>
      <c r="AC66" s="13">
        <f t="shared" si="37"/>
        <v>0</v>
      </c>
      <c r="AD66" s="13">
        <f t="shared" si="37"/>
        <v>0</v>
      </c>
      <c r="AE66" s="13">
        <f t="shared" si="37"/>
        <v>322.37188858600001</v>
      </c>
      <c r="AF66" s="13">
        <f t="shared" si="37"/>
        <v>644.74377717200002</v>
      </c>
      <c r="AG66" s="13">
        <f t="shared" si="37"/>
        <v>967.11566575799998</v>
      </c>
      <c r="AH66" s="13">
        <f t="shared" si="37"/>
        <v>1289.487554344</v>
      </c>
      <c r="AI66" s="13">
        <f t="shared" si="37"/>
        <v>1611.8594429300001</v>
      </c>
      <c r="AJ66" s="13">
        <f t="shared" si="37"/>
        <v>1934.231331516</v>
      </c>
      <c r="AK66" s="13">
        <f t="shared" si="37"/>
        <v>2256.6032201020003</v>
      </c>
      <c r="AL66" s="13">
        <f t="shared" si="37"/>
        <v>2578.9751086880001</v>
      </c>
      <c r="AM66" s="13">
        <f>AM56*AM57/1000000</f>
        <v>2901.3469972740004</v>
      </c>
      <c r="AN66" s="13"/>
      <c r="AO66" s="13"/>
      <c r="AP66" s="13"/>
      <c r="AQ66" s="13"/>
      <c r="AR66" s="13"/>
    </row>
    <row r="67" spans="1:45" x14ac:dyDescent="0.25">
      <c r="Z67" s="13"/>
      <c r="AA67" s="13"/>
      <c r="AB67" s="13"/>
      <c r="AC67" s="13"/>
      <c r="AD67" s="13"/>
      <c r="AE67" s="13"/>
      <c r="AF67" s="13"/>
      <c r="AG67" s="13"/>
      <c r="AH67" s="13"/>
      <c r="AI67" s="13"/>
      <c r="AJ67" s="13"/>
      <c r="AK67" s="13"/>
      <c r="AL67" s="13"/>
      <c r="AM67" s="13"/>
      <c r="AN67" s="13"/>
      <c r="AO67" s="13"/>
      <c r="AP67" s="13"/>
      <c r="AQ67" s="13"/>
      <c r="AR67" s="13"/>
      <c r="AS67" s="13"/>
    </row>
    <row r="68" spans="1:45" hidden="1" outlineLevel="1" x14ac:dyDescent="0.25">
      <c r="A68" t="s">
        <v>108</v>
      </c>
    </row>
    <row r="69" spans="1:45" hidden="1" outlineLevel="1" x14ac:dyDescent="0.25">
      <c r="A69">
        <v>2021</v>
      </c>
      <c r="J69" s="13" t="e">
        <f>$J$59*#REF!/1000000</f>
        <v>#REF!</v>
      </c>
      <c r="K69" s="13" t="e">
        <f>$J$59*#REF!/1000000</f>
        <v>#REF!</v>
      </c>
      <c r="L69" s="13" t="e">
        <f>$J$59*#REF!/1000000</f>
        <v>#REF!</v>
      </c>
      <c r="M69" s="13" t="e">
        <f>$J$59*#REF!/1000000</f>
        <v>#REF!</v>
      </c>
      <c r="N69" s="13" t="e">
        <f>$J$59*#REF!/1000000</f>
        <v>#REF!</v>
      </c>
      <c r="O69" s="13" t="e">
        <f>$J$59*#REF!/1000000</f>
        <v>#REF!</v>
      </c>
      <c r="P69" s="13" t="e">
        <f>$J$59*#REF!/1000000</f>
        <v>#REF!</v>
      </c>
      <c r="Q69" s="13" t="e">
        <f>$J$59*#REF!/1000000</f>
        <v>#REF!</v>
      </c>
      <c r="R69" s="13" t="e">
        <f>$J$59*#REF!/1000000</f>
        <v>#REF!</v>
      </c>
      <c r="S69" s="13" t="e">
        <f>$J$59*#REF!/1000000</f>
        <v>#REF!</v>
      </c>
      <c r="T69" s="13" t="e">
        <f>$J$59*#REF!/1000000</f>
        <v>#REF!</v>
      </c>
      <c r="U69" s="13" t="e">
        <f>$J$59*#REF!/1000000</f>
        <v>#REF!</v>
      </c>
      <c r="V69" s="13" t="e">
        <f>$J$59*#REF!/1000000</f>
        <v>#REF!</v>
      </c>
      <c r="W69" s="13" t="e">
        <f>$J$59*#REF!/1000000</f>
        <v>#REF!</v>
      </c>
      <c r="X69" s="13" t="e">
        <f>$J$59*#REF!/1000000</f>
        <v>#REF!</v>
      </c>
      <c r="Y69" s="13" t="e">
        <f>$J$59*#REF!/1000000</f>
        <v>#REF!</v>
      </c>
      <c r="Z69" s="13" t="e">
        <f>$J$59*#REF!/1000000</f>
        <v>#REF!</v>
      </c>
      <c r="AA69" s="13" t="e">
        <f>$J$59*#REF!/1000000</f>
        <v>#REF!</v>
      </c>
      <c r="AB69" s="13" t="e">
        <f>$J$59*#REF!/1000000</f>
        <v>#REF!</v>
      </c>
      <c r="AC69" s="13" t="e">
        <f>$J$59*#REF!/1000000</f>
        <v>#REF!</v>
      </c>
      <c r="AD69" s="13" t="e">
        <f>$J$59*#REF!/1000000</f>
        <v>#REF!</v>
      </c>
      <c r="AE69" s="13" t="e">
        <f>$J$59*#REF!/1000000</f>
        <v>#REF!</v>
      </c>
      <c r="AF69" s="13" t="e">
        <f>$J$59*#REF!/1000000</f>
        <v>#REF!</v>
      </c>
      <c r="AG69" s="13" t="e">
        <f>$J$59*#REF!/1000000</f>
        <v>#REF!</v>
      </c>
      <c r="AH69" s="13" t="e">
        <f>$J$59*#REF!/1000000</f>
        <v>#REF!</v>
      </c>
      <c r="AI69" s="13" t="e">
        <f>$J$59*#REF!/1000000</f>
        <v>#REF!</v>
      </c>
      <c r="AJ69" s="13" t="e">
        <f>$J$59*#REF!/1000000</f>
        <v>#REF!</v>
      </c>
      <c r="AK69" s="13" t="e">
        <f>$J$59*#REF!/1000000</f>
        <v>#REF!</v>
      </c>
      <c r="AL69" s="13" t="e">
        <f>$J$59*#REF!/1000000</f>
        <v>#REF!</v>
      </c>
      <c r="AM69" s="13" t="e">
        <f>$J$59*#REF!/1000000</f>
        <v>#REF!</v>
      </c>
    </row>
    <row r="70" spans="1:45" hidden="1" outlineLevel="1" x14ac:dyDescent="0.25">
      <c r="A70">
        <v>2022</v>
      </c>
      <c r="K70" s="13" t="e">
        <f>$K$59*#REF!/1000000</f>
        <v>#REF!</v>
      </c>
      <c r="L70" s="13" t="e">
        <f>$K$59*#REF!/1000000</f>
        <v>#REF!</v>
      </c>
      <c r="M70" s="13" t="e">
        <f>$K$59*#REF!/1000000</f>
        <v>#REF!</v>
      </c>
      <c r="N70" s="13" t="e">
        <f>$K$59*#REF!/1000000</f>
        <v>#REF!</v>
      </c>
      <c r="O70" s="13" t="e">
        <f>$K$59*#REF!/1000000</f>
        <v>#REF!</v>
      </c>
      <c r="P70" s="13" t="e">
        <f>$K$59*#REF!/1000000</f>
        <v>#REF!</v>
      </c>
      <c r="Q70" s="13" t="e">
        <f>$K$59*#REF!/1000000</f>
        <v>#REF!</v>
      </c>
      <c r="R70" s="13" t="e">
        <f>$K$59*#REF!/1000000</f>
        <v>#REF!</v>
      </c>
      <c r="S70" s="13" t="e">
        <f>$K$59*#REF!/1000000</f>
        <v>#REF!</v>
      </c>
      <c r="T70" s="13" t="e">
        <f>$K$59*#REF!/1000000</f>
        <v>#REF!</v>
      </c>
      <c r="U70" s="13" t="e">
        <f>$K$59*#REF!/1000000</f>
        <v>#REF!</v>
      </c>
      <c r="V70" s="13" t="e">
        <f>$K$59*#REF!/1000000</f>
        <v>#REF!</v>
      </c>
      <c r="W70" s="13" t="e">
        <f>$K$59*#REF!/1000000</f>
        <v>#REF!</v>
      </c>
      <c r="X70" s="13" t="e">
        <f>$K$59*#REF!/1000000</f>
        <v>#REF!</v>
      </c>
      <c r="Y70" s="13" t="e">
        <f>$K$59*#REF!/1000000</f>
        <v>#REF!</v>
      </c>
      <c r="Z70" s="13" t="e">
        <f>$K$59*#REF!/1000000</f>
        <v>#REF!</v>
      </c>
      <c r="AA70" s="13" t="e">
        <f>$K$59*#REF!/1000000</f>
        <v>#REF!</v>
      </c>
      <c r="AB70" s="13" t="e">
        <f>$K$59*#REF!/1000000</f>
        <v>#REF!</v>
      </c>
      <c r="AC70" s="13" t="e">
        <f>$K$59*#REF!/1000000</f>
        <v>#REF!</v>
      </c>
      <c r="AD70" s="13" t="e">
        <f>$K$59*#REF!/1000000</f>
        <v>#REF!</v>
      </c>
      <c r="AE70" s="13" t="e">
        <f>$K$59*#REF!/1000000</f>
        <v>#REF!</v>
      </c>
      <c r="AF70" s="13" t="e">
        <f>$K$59*#REF!/1000000</f>
        <v>#REF!</v>
      </c>
      <c r="AG70" s="13" t="e">
        <f>$K$59*#REF!/1000000</f>
        <v>#REF!</v>
      </c>
      <c r="AH70" s="13" t="e">
        <f>$K$59*#REF!/1000000</f>
        <v>#REF!</v>
      </c>
      <c r="AI70" s="13" t="e">
        <f>$K$59*#REF!/1000000</f>
        <v>#REF!</v>
      </c>
      <c r="AJ70" s="13" t="e">
        <f>$K$59*#REF!/1000000</f>
        <v>#REF!</v>
      </c>
      <c r="AK70" s="13" t="e">
        <f>$K$59*#REF!/1000000</f>
        <v>#REF!</v>
      </c>
      <c r="AL70" s="13" t="e">
        <f>$K$59*#REF!/1000000</f>
        <v>#REF!</v>
      </c>
      <c r="AM70" s="13" t="e">
        <f>$K$59*#REF!/1000000</f>
        <v>#REF!</v>
      </c>
    </row>
    <row r="71" spans="1:45" hidden="1" outlineLevel="1" x14ac:dyDescent="0.25">
      <c r="A71">
        <v>2023</v>
      </c>
      <c r="L71" s="13" t="e">
        <f>$L$59*#REF!/1000000</f>
        <v>#REF!</v>
      </c>
      <c r="M71" s="13" t="e">
        <f>$L$59*#REF!/1000000</f>
        <v>#REF!</v>
      </c>
      <c r="N71" s="13" t="e">
        <f>$L$59*#REF!/1000000</f>
        <v>#REF!</v>
      </c>
      <c r="O71" s="13" t="e">
        <f>$L$59*#REF!/1000000</f>
        <v>#REF!</v>
      </c>
      <c r="P71" s="13" t="e">
        <f>$L$59*#REF!/1000000</f>
        <v>#REF!</v>
      </c>
      <c r="Q71" s="13" t="e">
        <f>$L$59*#REF!/1000000</f>
        <v>#REF!</v>
      </c>
      <c r="R71" s="13" t="e">
        <f>$L$59*#REF!/1000000</f>
        <v>#REF!</v>
      </c>
      <c r="S71" s="13" t="e">
        <f>$L$59*#REF!/1000000</f>
        <v>#REF!</v>
      </c>
      <c r="T71" s="13" t="e">
        <f>$L$59*#REF!/1000000</f>
        <v>#REF!</v>
      </c>
      <c r="U71" s="13" t="e">
        <f>$L$59*#REF!/1000000</f>
        <v>#REF!</v>
      </c>
      <c r="V71" s="13" t="e">
        <f>$L$59*#REF!/1000000</f>
        <v>#REF!</v>
      </c>
      <c r="W71" s="13" t="e">
        <f>$L$59*#REF!/1000000</f>
        <v>#REF!</v>
      </c>
      <c r="X71" s="13" t="e">
        <f>$L$59*#REF!/1000000</f>
        <v>#REF!</v>
      </c>
      <c r="Y71" s="13" t="e">
        <f>$L$59*#REF!/1000000</f>
        <v>#REF!</v>
      </c>
      <c r="Z71" s="13" t="e">
        <f>$L$59*#REF!/1000000</f>
        <v>#REF!</v>
      </c>
      <c r="AA71" s="13" t="e">
        <f>$L$59*#REF!/1000000</f>
        <v>#REF!</v>
      </c>
      <c r="AB71" s="13" t="e">
        <f>$L$59*#REF!/1000000</f>
        <v>#REF!</v>
      </c>
      <c r="AC71" s="13" t="e">
        <f>$L$59*#REF!/1000000</f>
        <v>#REF!</v>
      </c>
      <c r="AD71" s="13" t="e">
        <f>$L$59*#REF!/1000000</f>
        <v>#REF!</v>
      </c>
      <c r="AE71" s="13" t="e">
        <f>$L$59*#REF!/1000000</f>
        <v>#REF!</v>
      </c>
      <c r="AF71" s="13" t="e">
        <f>$L$59*#REF!/1000000</f>
        <v>#REF!</v>
      </c>
      <c r="AG71" s="13" t="e">
        <f>$L$59*#REF!/1000000</f>
        <v>#REF!</v>
      </c>
      <c r="AH71" s="13" t="e">
        <f>$L$59*#REF!/1000000</f>
        <v>#REF!</v>
      </c>
      <c r="AI71" s="13" t="e">
        <f>$L$59*#REF!/1000000</f>
        <v>#REF!</v>
      </c>
      <c r="AJ71" s="13" t="e">
        <f>$L$59*#REF!/1000000</f>
        <v>#REF!</v>
      </c>
      <c r="AK71" s="13" t="e">
        <f>$L$59*#REF!/1000000</f>
        <v>#REF!</v>
      </c>
      <c r="AL71" s="13" t="e">
        <f>$L$59*#REF!/1000000</f>
        <v>#REF!</v>
      </c>
      <c r="AM71" s="13" t="e">
        <f>$L$59*#REF!/1000000</f>
        <v>#REF!</v>
      </c>
    </row>
    <row r="72" spans="1:45" hidden="1" outlineLevel="1" x14ac:dyDescent="0.25">
      <c r="A72">
        <v>2024</v>
      </c>
      <c r="M72" s="13" t="e">
        <f>$M$59*#REF!/1000000</f>
        <v>#REF!</v>
      </c>
      <c r="N72" s="13" t="e">
        <f>$M$59*#REF!/1000000</f>
        <v>#REF!</v>
      </c>
      <c r="O72" s="13" t="e">
        <f>$M$59*#REF!/1000000</f>
        <v>#REF!</v>
      </c>
      <c r="P72" s="13" t="e">
        <f>$M$59*#REF!/1000000</f>
        <v>#REF!</v>
      </c>
      <c r="Q72" s="13" t="e">
        <f>$M$59*#REF!/1000000</f>
        <v>#REF!</v>
      </c>
      <c r="R72" s="13" t="e">
        <f>$M$59*#REF!/1000000</f>
        <v>#REF!</v>
      </c>
      <c r="S72" s="13" t="e">
        <f>$M$59*#REF!/1000000</f>
        <v>#REF!</v>
      </c>
      <c r="T72" s="13" t="e">
        <f>$M$59*#REF!/1000000</f>
        <v>#REF!</v>
      </c>
      <c r="U72" s="13" t="e">
        <f>$M$59*#REF!/1000000</f>
        <v>#REF!</v>
      </c>
      <c r="V72" s="13" t="e">
        <f>$M$59*#REF!/1000000</f>
        <v>#REF!</v>
      </c>
      <c r="W72" s="13" t="e">
        <f>$M$59*#REF!/1000000</f>
        <v>#REF!</v>
      </c>
      <c r="X72" s="13" t="e">
        <f>$M$59*#REF!/1000000</f>
        <v>#REF!</v>
      </c>
      <c r="Y72" s="13" t="e">
        <f>$M$59*#REF!/1000000</f>
        <v>#REF!</v>
      </c>
      <c r="Z72" s="13" t="e">
        <f>$M$59*#REF!/1000000</f>
        <v>#REF!</v>
      </c>
      <c r="AA72" s="13" t="e">
        <f>$M$59*#REF!/1000000</f>
        <v>#REF!</v>
      </c>
      <c r="AB72" s="13" t="e">
        <f>$M$59*#REF!/1000000</f>
        <v>#REF!</v>
      </c>
      <c r="AC72" s="13" t="e">
        <f>$M$59*#REF!/1000000</f>
        <v>#REF!</v>
      </c>
      <c r="AD72" s="13" t="e">
        <f>$M$59*#REF!/1000000</f>
        <v>#REF!</v>
      </c>
      <c r="AE72" s="13" t="e">
        <f>$M$59*#REF!/1000000</f>
        <v>#REF!</v>
      </c>
      <c r="AF72" s="13" t="e">
        <f>$M$59*#REF!/1000000</f>
        <v>#REF!</v>
      </c>
      <c r="AG72" s="13" t="e">
        <f>$M$59*#REF!/1000000</f>
        <v>#REF!</v>
      </c>
      <c r="AH72" s="13" t="e">
        <f>$M$59*#REF!/1000000</f>
        <v>#REF!</v>
      </c>
      <c r="AI72" s="13" t="e">
        <f>$M$59*#REF!/1000000</f>
        <v>#REF!</v>
      </c>
      <c r="AJ72" s="13" t="e">
        <f>$M$59*#REF!/1000000</f>
        <v>#REF!</v>
      </c>
      <c r="AK72" s="13" t="e">
        <f>$M$59*#REF!/1000000</f>
        <v>#REF!</v>
      </c>
      <c r="AL72" s="13" t="e">
        <f>$M$59*#REF!/1000000</f>
        <v>#REF!</v>
      </c>
      <c r="AM72" s="13" t="e">
        <f>$M$59*#REF!/1000000</f>
        <v>#REF!</v>
      </c>
    </row>
    <row r="73" spans="1:45" hidden="1" outlineLevel="1" x14ac:dyDescent="0.25">
      <c r="A73">
        <v>2025</v>
      </c>
      <c r="N73" s="13" t="e">
        <f>$N$59*#REF!/1000000</f>
        <v>#REF!</v>
      </c>
      <c r="O73" s="13" t="e">
        <f>$N$59*#REF!/1000000</f>
        <v>#REF!</v>
      </c>
      <c r="P73" s="13" t="e">
        <f>$N$59*#REF!/1000000</f>
        <v>#REF!</v>
      </c>
      <c r="Q73" s="13" t="e">
        <f>$N$59*#REF!/1000000</f>
        <v>#REF!</v>
      </c>
      <c r="R73" s="13" t="e">
        <f>$N$59*#REF!/1000000</f>
        <v>#REF!</v>
      </c>
      <c r="S73" s="13" t="e">
        <f>$N$59*#REF!/1000000</f>
        <v>#REF!</v>
      </c>
      <c r="T73" s="13" t="e">
        <f>$N$59*#REF!/1000000</f>
        <v>#REF!</v>
      </c>
      <c r="U73" s="13" t="e">
        <f>$N$59*#REF!/1000000</f>
        <v>#REF!</v>
      </c>
      <c r="V73" s="13" t="e">
        <f>$N$59*#REF!/1000000</f>
        <v>#REF!</v>
      </c>
      <c r="W73" s="13" t="e">
        <f>$N$59*#REF!/1000000</f>
        <v>#REF!</v>
      </c>
      <c r="X73" s="13" t="e">
        <f>$N$59*#REF!/1000000</f>
        <v>#REF!</v>
      </c>
      <c r="Y73" s="13" t="e">
        <f>$N$59*#REF!/1000000</f>
        <v>#REF!</v>
      </c>
      <c r="Z73" s="13" t="e">
        <f>$N$59*#REF!/1000000</f>
        <v>#REF!</v>
      </c>
      <c r="AA73" s="13" t="e">
        <f>$N$59*#REF!/1000000</f>
        <v>#REF!</v>
      </c>
      <c r="AB73" s="13" t="e">
        <f>$N$59*#REF!/1000000</f>
        <v>#REF!</v>
      </c>
      <c r="AC73" s="13" t="e">
        <f>$N$59*#REF!/1000000</f>
        <v>#REF!</v>
      </c>
      <c r="AD73" s="13" t="e">
        <f>$N$59*#REF!/1000000</f>
        <v>#REF!</v>
      </c>
      <c r="AE73" s="13" t="e">
        <f>$N$59*#REF!/1000000</f>
        <v>#REF!</v>
      </c>
      <c r="AF73" s="13" t="e">
        <f>$N$59*#REF!/1000000</f>
        <v>#REF!</v>
      </c>
      <c r="AG73" s="13" t="e">
        <f>$N$59*#REF!/1000000</f>
        <v>#REF!</v>
      </c>
      <c r="AH73" s="13" t="e">
        <f>$N$59*#REF!/1000000</f>
        <v>#REF!</v>
      </c>
      <c r="AI73" s="13" t="e">
        <f>$N$59*#REF!/1000000</f>
        <v>#REF!</v>
      </c>
      <c r="AJ73" s="13" t="e">
        <f>$N$59*#REF!/1000000</f>
        <v>#REF!</v>
      </c>
      <c r="AK73" s="13" t="e">
        <f>$N$59*#REF!/1000000</f>
        <v>#REF!</v>
      </c>
      <c r="AL73" s="13" t="e">
        <f>$N$59*#REF!/1000000</f>
        <v>#REF!</v>
      </c>
      <c r="AM73" s="13" t="e">
        <f>$N$59*#REF!/1000000</f>
        <v>#REF!</v>
      </c>
    </row>
    <row r="74" spans="1:45" hidden="1" outlineLevel="1" x14ac:dyDescent="0.25">
      <c r="A74">
        <v>2026</v>
      </c>
      <c r="O74" s="13" t="e">
        <f>$O$59*#REF!/1000000</f>
        <v>#REF!</v>
      </c>
      <c r="P74" s="13" t="e">
        <f>$O$59*#REF!/1000000</f>
        <v>#REF!</v>
      </c>
      <c r="Q74" s="13" t="e">
        <f>$O$59*#REF!/1000000</f>
        <v>#REF!</v>
      </c>
      <c r="R74" s="13" t="e">
        <f>$O$59*#REF!/1000000</f>
        <v>#REF!</v>
      </c>
      <c r="S74" s="13" t="e">
        <f>$O$59*#REF!/1000000</f>
        <v>#REF!</v>
      </c>
      <c r="T74" s="13" t="e">
        <f>$O$59*#REF!/1000000</f>
        <v>#REF!</v>
      </c>
      <c r="U74" s="13" t="e">
        <f>$O$59*#REF!/1000000</f>
        <v>#REF!</v>
      </c>
      <c r="V74" s="13" t="e">
        <f>$O$59*#REF!/1000000</f>
        <v>#REF!</v>
      </c>
      <c r="W74" s="13" t="e">
        <f>$O$59*#REF!/1000000</f>
        <v>#REF!</v>
      </c>
      <c r="X74" s="13" t="e">
        <f>$O$59*#REF!/1000000</f>
        <v>#REF!</v>
      </c>
      <c r="Y74" s="13" t="e">
        <f>$O$59*#REF!/1000000</f>
        <v>#REF!</v>
      </c>
      <c r="Z74" s="13" t="e">
        <f>$O$59*#REF!/1000000</f>
        <v>#REF!</v>
      </c>
      <c r="AA74" s="13" t="e">
        <f>$O$59*#REF!/1000000</f>
        <v>#REF!</v>
      </c>
      <c r="AB74" s="13" t="e">
        <f>$O$59*#REF!/1000000</f>
        <v>#REF!</v>
      </c>
      <c r="AC74" s="13" t="e">
        <f>$O$59*#REF!/1000000</f>
        <v>#REF!</v>
      </c>
      <c r="AD74" s="13" t="e">
        <f>$O$59*#REF!/1000000</f>
        <v>#REF!</v>
      </c>
      <c r="AE74" s="13" t="e">
        <f>$O$59*#REF!/1000000</f>
        <v>#REF!</v>
      </c>
      <c r="AF74" s="13" t="e">
        <f>$O$59*#REF!/1000000</f>
        <v>#REF!</v>
      </c>
      <c r="AG74" s="13" t="e">
        <f>$O$59*#REF!/1000000</f>
        <v>#REF!</v>
      </c>
      <c r="AH74" s="13" t="e">
        <f>$O$59*#REF!/1000000</f>
        <v>#REF!</v>
      </c>
      <c r="AI74" s="13" t="e">
        <f>$O$59*#REF!/1000000</f>
        <v>#REF!</v>
      </c>
      <c r="AJ74" s="13" t="e">
        <f>$O$59*#REF!/1000000</f>
        <v>#REF!</v>
      </c>
      <c r="AK74" s="13" t="e">
        <f>$O$59*#REF!/1000000</f>
        <v>#REF!</v>
      </c>
      <c r="AL74" s="13" t="e">
        <f>$O$59*#REF!/1000000</f>
        <v>#REF!</v>
      </c>
      <c r="AM74" s="13" t="e">
        <f>$O$59*#REF!/1000000</f>
        <v>#REF!</v>
      </c>
    </row>
    <row r="75" spans="1:45" hidden="1" outlineLevel="1" x14ac:dyDescent="0.25">
      <c r="A75">
        <v>2027</v>
      </c>
      <c r="P75" s="13" t="e">
        <f>$P$59*#REF!/1000000</f>
        <v>#REF!</v>
      </c>
      <c r="Q75" s="13" t="e">
        <f>$P$59*#REF!/1000000</f>
        <v>#REF!</v>
      </c>
      <c r="R75" s="13" t="e">
        <f>$P$59*#REF!/1000000</f>
        <v>#REF!</v>
      </c>
      <c r="S75" s="13" t="e">
        <f>$P$59*#REF!/1000000</f>
        <v>#REF!</v>
      </c>
      <c r="T75" s="13" t="e">
        <f>$P$59*#REF!/1000000</f>
        <v>#REF!</v>
      </c>
      <c r="U75" s="13" t="e">
        <f>$P$59*#REF!/1000000</f>
        <v>#REF!</v>
      </c>
      <c r="V75" s="13" t="e">
        <f>$P$59*#REF!/1000000</f>
        <v>#REF!</v>
      </c>
      <c r="W75" s="13" t="e">
        <f>$P$59*#REF!/1000000</f>
        <v>#REF!</v>
      </c>
      <c r="X75" s="13" t="e">
        <f>$P$59*#REF!/1000000</f>
        <v>#REF!</v>
      </c>
      <c r="Y75" s="13" t="e">
        <f>$P$59*#REF!/1000000</f>
        <v>#REF!</v>
      </c>
      <c r="Z75" s="13" t="e">
        <f>$P$59*#REF!/1000000</f>
        <v>#REF!</v>
      </c>
      <c r="AA75" s="13" t="e">
        <f>$P$59*#REF!/1000000</f>
        <v>#REF!</v>
      </c>
      <c r="AB75" s="13" t="e">
        <f>$P$59*#REF!/1000000</f>
        <v>#REF!</v>
      </c>
      <c r="AC75" s="13" t="e">
        <f>$P$59*#REF!/1000000</f>
        <v>#REF!</v>
      </c>
      <c r="AD75" s="13" t="e">
        <f>$P$59*#REF!/1000000</f>
        <v>#REF!</v>
      </c>
      <c r="AE75" s="13" t="e">
        <f>$P$59*#REF!/1000000</f>
        <v>#REF!</v>
      </c>
      <c r="AF75" s="13" t="e">
        <f>$P$59*#REF!/1000000</f>
        <v>#REF!</v>
      </c>
      <c r="AG75" s="13" t="e">
        <f>$P$59*#REF!/1000000</f>
        <v>#REF!</v>
      </c>
      <c r="AH75" s="13" t="e">
        <f>$P$59*#REF!/1000000</f>
        <v>#REF!</v>
      </c>
      <c r="AI75" s="13" t="e">
        <f>$P$59*#REF!/1000000</f>
        <v>#REF!</v>
      </c>
      <c r="AJ75" s="13" t="e">
        <f>$P$59*#REF!/1000000</f>
        <v>#REF!</v>
      </c>
      <c r="AK75" s="13" t="e">
        <f>$P$59*#REF!/1000000</f>
        <v>#REF!</v>
      </c>
      <c r="AL75" s="13" t="e">
        <f>$P$59*#REF!/1000000</f>
        <v>#REF!</v>
      </c>
      <c r="AM75" s="13" t="e">
        <f>$P$59*#REF!/1000000</f>
        <v>#REF!</v>
      </c>
    </row>
    <row r="76" spans="1:45" hidden="1" outlineLevel="1" x14ac:dyDescent="0.25">
      <c r="A76">
        <v>2028</v>
      </c>
      <c r="Q76" s="13" t="e">
        <f>$Q$59*#REF!/1000000</f>
        <v>#REF!</v>
      </c>
      <c r="R76" s="13" t="e">
        <f>$Q$59*#REF!/1000000</f>
        <v>#REF!</v>
      </c>
      <c r="S76" s="13" t="e">
        <f>$Q$59*#REF!/1000000</f>
        <v>#REF!</v>
      </c>
      <c r="T76" s="13" t="e">
        <f>$Q$59*#REF!/1000000</f>
        <v>#REF!</v>
      </c>
      <c r="U76" s="13" t="e">
        <f>$Q$59*#REF!/1000000</f>
        <v>#REF!</v>
      </c>
      <c r="V76" s="13" t="e">
        <f>$Q$59*#REF!/1000000</f>
        <v>#REF!</v>
      </c>
      <c r="W76" s="13" t="e">
        <f>$Q$59*#REF!/1000000</f>
        <v>#REF!</v>
      </c>
      <c r="X76" s="13" t="e">
        <f>$Q$59*#REF!/1000000</f>
        <v>#REF!</v>
      </c>
      <c r="Y76" s="13" t="e">
        <f>$Q$59*#REF!/1000000</f>
        <v>#REF!</v>
      </c>
      <c r="Z76" s="13" t="e">
        <f>$Q$59*#REF!/1000000</f>
        <v>#REF!</v>
      </c>
      <c r="AA76" s="13" t="e">
        <f>$Q$59*#REF!/1000000</f>
        <v>#REF!</v>
      </c>
      <c r="AB76" s="13" t="e">
        <f>$Q$59*#REF!/1000000</f>
        <v>#REF!</v>
      </c>
      <c r="AC76" s="13" t="e">
        <f>$Q$59*#REF!/1000000</f>
        <v>#REF!</v>
      </c>
      <c r="AD76" s="13" t="e">
        <f>$Q$59*#REF!/1000000</f>
        <v>#REF!</v>
      </c>
      <c r="AE76" s="13" t="e">
        <f>$Q$59*#REF!/1000000</f>
        <v>#REF!</v>
      </c>
      <c r="AF76" s="13" t="e">
        <f>$Q$59*#REF!/1000000</f>
        <v>#REF!</v>
      </c>
      <c r="AG76" s="13" t="e">
        <f>$Q$59*#REF!/1000000</f>
        <v>#REF!</v>
      </c>
      <c r="AH76" s="13" t="e">
        <f>$Q$59*#REF!/1000000</f>
        <v>#REF!</v>
      </c>
      <c r="AI76" s="13" t="e">
        <f>$Q$59*#REF!/1000000</f>
        <v>#REF!</v>
      </c>
      <c r="AJ76" s="13" t="e">
        <f>$Q$59*#REF!/1000000</f>
        <v>#REF!</v>
      </c>
      <c r="AK76" s="13" t="e">
        <f>$Q$59*#REF!/1000000</f>
        <v>#REF!</v>
      </c>
      <c r="AL76" s="13" t="e">
        <f>$Q$59*#REF!/1000000</f>
        <v>#REF!</v>
      </c>
      <c r="AM76" s="13" t="e">
        <f>$Q$59*#REF!/1000000</f>
        <v>#REF!</v>
      </c>
    </row>
    <row r="77" spans="1:45" hidden="1" outlineLevel="1" x14ac:dyDescent="0.25">
      <c r="A77">
        <v>2029</v>
      </c>
      <c r="R77" s="13" t="e">
        <f>$R$59*#REF!/1000000</f>
        <v>#REF!</v>
      </c>
      <c r="S77" s="13" t="e">
        <f>$R$59*#REF!/1000000</f>
        <v>#REF!</v>
      </c>
      <c r="T77" s="13" t="e">
        <f>$R$59*#REF!/1000000</f>
        <v>#REF!</v>
      </c>
      <c r="U77" s="13" t="e">
        <f>$R$59*#REF!/1000000</f>
        <v>#REF!</v>
      </c>
      <c r="V77" s="13" t="e">
        <f>$R$59*#REF!/1000000</f>
        <v>#REF!</v>
      </c>
      <c r="W77" s="13" t="e">
        <f>$R$59*#REF!/1000000</f>
        <v>#REF!</v>
      </c>
      <c r="X77" s="13" t="e">
        <f>$R$59*#REF!/1000000</f>
        <v>#REF!</v>
      </c>
      <c r="Y77" s="13" t="e">
        <f>$R$59*#REF!/1000000</f>
        <v>#REF!</v>
      </c>
      <c r="Z77" s="13" t="e">
        <f>$R$59*#REF!/1000000</f>
        <v>#REF!</v>
      </c>
      <c r="AA77" s="13" t="e">
        <f>$R$59*#REF!/1000000</f>
        <v>#REF!</v>
      </c>
      <c r="AB77" s="13" t="e">
        <f>$R$59*#REF!/1000000</f>
        <v>#REF!</v>
      </c>
      <c r="AC77" s="13" t="e">
        <f>$R$59*#REF!/1000000</f>
        <v>#REF!</v>
      </c>
      <c r="AD77" s="13" t="e">
        <f>$R$59*#REF!/1000000</f>
        <v>#REF!</v>
      </c>
      <c r="AE77" s="13" t="e">
        <f>$R$59*#REF!/1000000</f>
        <v>#REF!</v>
      </c>
      <c r="AF77" s="13" t="e">
        <f>$R$59*#REF!/1000000</f>
        <v>#REF!</v>
      </c>
      <c r="AG77" s="13" t="e">
        <f>$R$59*#REF!/1000000</f>
        <v>#REF!</v>
      </c>
      <c r="AH77" s="13" t="e">
        <f>$R$59*#REF!/1000000</f>
        <v>#REF!</v>
      </c>
      <c r="AI77" s="13" t="e">
        <f>$R$59*#REF!/1000000</f>
        <v>#REF!</v>
      </c>
      <c r="AJ77" s="13" t="e">
        <f>$R$59*#REF!/1000000</f>
        <v>#REF!</v>
      </c>
      <c r="AK77" s="13" t="e">
        <f>$R$59*#REF!/1000000</f>
        <v>#REF!</v>
      </c>
      <c r="AL77" s="13" t="e">
        <f>$R$59*#REF!/1000000</f>
        <v>#REF!</v>
      </c>
      <c r="AM77" s="13" t="e">
        <f>$R$59*#REF!/1000000</f>
        <v>#REF!</v>
      </c>
    </row>
    <row r="78" spans="1:45" hidden="1" outlineLevel="1" x14ac:dyDescent="0.25">
      <c r="A78">
        <v>2030</v>
      </c>
      <c r="S78" s="13" t="e">
        <f>$S$59*#REF!/1000000</f>
        <v>#REF!</v>
      </c>
      <c r="T78" s="13" t="e">
        <f>$S$59*#REF!/1000000</f>
        <v>#REF!</v>
      </c>
      <c r="U78" s="13" t="e">
        <f>$S$59*#REF!/1000000</f>
        <v>#REF!</v>
      </c>
      <c r="V78" s="13" t="e">
        <f>$S$59*#REF!/1000000</f>
        <v>#REF!</v>
      </c>
      <c r="W78" s="13" t="e">
        <f>$S$59*#REF!/1000000</f>
        <v>#REF!</v>
      </c>
      <c r="X78" s="13" t="e">
        <f>$S$59*#REF!/1000000</f>
        <v>#REF!</v>
      </c>
      <c r="Y78" s="13" t="e">
        <f>$S$59*#REF!/1000000</f>
        <v>#REF!</v>
      </c>
      <c r="Z78" s="13" t="e">
        <f>$S$59*#REF!/1000000</f>
        <v>#REF!</v>
      </c>
      <c r="AA78" s="13" t="e">
        <f>$S$59*#REF!/1000000</f>
        <v>#REF!</v>
      </c>
      <c r="AB78" s="13" t="e">
        <f>$S$59*#REF!/1000000</f>
        <v>#REF!</v>
      </c>
      <c r="AC78" s="13" t="e">
        <f>$S$59*#REF!/1000000</f>
        <v>#REF!</v>
      </c>
      <c r="AD78" s="13" t="e">
        <f>$S$59*#REF!/1000000</f>
        <v>#REF!</v>
      </c>
      <c r="AE78" s="13" t="e">
        <f>$S$59*#REF!/1000000</f>
        <v>#REF!</v>
      </c>
      <c r="AF78" s="13" t="e">
        <f>$S$59*#REF!/1000000</f>
        <v>#REF!</v>
      </c>
      <c r="AG78" s="13" t="e">
        <f>$S$59*#REF!/1000000</f>
        <v>#REF!</v>
      </c>
      <c r="AH78" s="13" t="e">
        <f>$S$59*#REF!/1000000</f>
        <v>#REF!</v>
      </c>
      <c r="AI78" s="13" t="e">
        <f>$S$59*#REF!/1000000</f>
        <v>#REF!</v>
      </c>
      <c r="AJ78" s="13" t="e">
        <f>$S$59*#REF!/1000000</f>
        <v>#REF!</v>
      </c>
      <c r="AK78" s="13" t="e">
        <f>$S$59*#REF!/1000000</f>
        <v>#REF!</v>
      </c>
      <c r="AL78" s="13" t="e">
        <f>$S$59*#REF!/1000000</f>
        <v>#REF!</v>
      </c>
      <c r="AM78" s="13" t="e">
        <f>$S$59*#REF!/1000000</f>
        <v>#REF!</v>
      </c>
    </row>
    <row r="79" spans="1:45" hidden="1" outlineLevel="1" x14ac:dyDescent="0.25">
      <c r="A79">
        <v>2031</v>
      </c>
      <c r="T79" s="13" t="e">
        <f>$T$59*#REF!/1000000</f>
        <v>#REF!</v>
      </c>
      <c r="U79" s="13" t="e">
        <f>$T$59*#REF!/1000000</f>
        <v>#REF!</v>
      </c>
      <c r="V79" s="13" t="e">
        <f>$T$59*#REF!/1000000</f>
        <v>#REF!</v>
      </c>
      <c r="W79" s="13" t="e">
        <f>$T$59*#REF!/1000000</f>
        <v>#REF!</v>
      </c>
      <c r="X79" s="13" t="e">
        <f>$T$59*#REF!/1000000</f>
        <v>#REF!</v>
      </c>
      <c r="Y79" s="13" t="e">
        <f>$T$59*#REF!/1000000</f>
        <v>#REF!</v>
      </c>
      <c r="Z79" s="13" t="e">
        <f>$T$59*#REF!/1000000</f>
        <v>#REF!</v>
      </c>
      <c r="AA79" s="13" t="e">
        <f>$T$59*#REF!/1000000</f>
        <v>#REF!</v>
      </c>
      <c r="AB79" s="13" t="e">
        <f>$T$59*#REF!/1000000</f>
        <v>#REF!</v>
      </c>
      <c r="AC79" s="13" t="e">
        <f>$T$59*#REF!/1000000</f>
        <v>#REF!</v>
      </c>
      <c r="AD79" s="13" t="e">
        <f>$T$59*#REF!/1000000</f>
        <v>#REF!</v>
      </c>
      <c r="AE79" s="13" t="e">
        <f>$T$59*#REF!/1000000</f>
        <v>#REF!</v>
      </c>
      <c r="AF79" s="13" t="e">
        <f>$T$59*#REF!/1000000</f>
        <v>#REF!</v>
      </c>
      <c r="AG79" s="13" t="e">
        <f>$T$59*#REF!/1000000</f>
        <v>#REF!</v>
      </c>
      <c r="AH79" s="13" t="e">
        <f>$T$59*#REF!/1000000</f>
        <v>#REF!</v>
      </c>
      <c r="AI79" s="13" t="e">
        <f>$T$59*#REF!/1000000</f>
        <v>#REF!</v>
      </c>
      <c r="AJ79" s="13" t="e">
        <f>$T$59*#REF!/1000000</f>
        <v>#REF!</v>
      </c>
      <c r="AK79" s="13" t="e">
        <f>$T$59*#REF!/1000000</f>
        <v>#REF!</v>
      </c>
      <c r="AL79" s="13" t="e">
        <f>$T$59*#REF!/1000000</f>
        <v>#REF!</v>
      </c>
      <c r="AM79" s="13" t="e">
        <f>$T$59*#REF!/1000000</f>
        <v>#REF!</v>
      </c>
    </row>
    <row r="80" spans="1:45" hidden="1" outlineLevel="1" x14ac:dyDescent="0.25">
      <c r="A80">
        <v>2032</v>
      </c>
      <c r="U80" s="13" t="e">
        <f>$U$59*#REF!/1000000</f>
        <v>#REF!</v>
      </c>
      <c r="V80" s="13" t="e">
        <f>$U$59*#REF!/1000000</f>
        <v>#REF!</v>
      </c>
      <c r="W80" s="13" t="e">
        <f>$U$59*#REF!/1000000</f>
        <v>#REF!</v>
      </c>
      <c r="X80" s="13" t="e">
        <f>$U$59*#REF!/1000000</f>
        <v>#REF!</v>
      </c>
      <c r="Y80" s="13" t="e">
        <f>$U$59*#REF!/1000000</f>
        <v>#REF!</v>
      </c>
      <c r="Z80" s="13" t="e">
        <f>$U$59*#REF!/1000000</f>
        <v>#REF!</v>
      </c>
      <c r="AA80" s="13" t="e">
        <f>$U$59*#REF!/1000000</f>
        <v>#REF!</v>
      </c>
      <c r="AB80" s="13" t="e">
        <f>$U$59*#REF!/1000000</f>
        <v>#REF!</v>
      </c>
      <c r="AC80" s="13" t="e">
        <f>$U$59*#REF!/1000000</f>
        <v>#REF!</v>
      </c>
      <c r="AD80" s="13" t="e">
        <f>$U$59*#REF!/1000000</f>
        <v>#REF!</v>
      </c>
      <c r="AE80" s="13" t="e">
        <f>$U$59*#REF!/1000000</f>
        <v>#REF!</v>
      </c>
      <c r="AF80" s="13" t="e">
        <f>$U$59*#REF!/1000000</f>
        <v>#REF!</v>
      </c>
      <c r="AG80" s="13" t="e">
        <f>$U$59*#REF!/1000000</f>
        <v>#REF!</v>
      </c>
      <c r="AH80" s="13" t="e">
        <f>$U$59*#REF!/1000000</f>
        <v>#REF!</v>
      </c>
      <c r="AI80" s="13" t="e">
        <f>$U$59*#REF!/1000000</f>
        <v>#REF!</v>
      </c>
      <c r="AJ80" s="13" t="e">
        <f>$U$59*#REF!/1000000</f>
        <v>#REF!</v>
      </c>
      <c r="AK80" s="13" t="e">
        <f>$U$59*#REF!/1000000</f>
        <v>#REF!</v>
      </c>
      <c r="AL80" s="13" t="e">
        <f>$U$59*#REF!/1000000</f>
        <v>#REF!</v>
      </c>
      <c r="AM80" s="13" t="e">
        <f>$U$59*#REF!/1000000</f>
        <v>#REF!</v>
      </c>
      <c r="AN80" s="13"/>
    </row>
    <row r="81" spans="1:56" hidden="1" outlineLevel="1" x14ac:dyDescent="0.25">
      <c r="A81">
        <v>2033</v>
      </c>
      <c r="V81" s="13" t="e">
        <f>$V$59*#REF!/1000000</f>
        <v>#REF!</v>
      </c>
      <c r="W81" s="13" t="e">
        <f>$V$59*#REF!/1000000</f>
        <v>#REF!</v>
      </c>
      <c r="X81" s="13" t="e">
        <f>$V$59*#REF!/1000000</f>
        <v>#REF!</v>
      </c>
      <c r="Y81" s="13" t="e">
        <f>$V$59*#REF!/1000000</f>
        <v>#REF!</v>
      </c>
      <c r="Z81" s="13" t="e">
        <f>$V$59*#REF!/1000000</f>
        <v>#REF!</v>
      </c>
      <c r="AA81" s="13" t="e">
        <f>$V$59*#REF!/1000000</f>
        <v>#REF!</v>
      </c>
      <c r="AB81" s="13" t="e">
        <f>$V$59*#REF!/1000000</f>
        <v>#REF!</v>
      </c>
      <c r="AC81" s="13" t="e">
        <f>$V$59*#REF!/1000000</f>
        <v>#REF!</v>
      </c>
      <c r="AD81" s="13" t="e">
        <f>$V$59*#REF!/1000000</f>
        <v>#REF!</v>
      </c>
      <c r="AE81" s="13" t="e">
        <f>$V$59*#REF!/1000000</f>
        <v>#REF!</v>
      </c>
      <c r="AF81" s="13" t="e">
        <f>$V$59*#REF!/1000000</f>
        <v>#REF!</v>
      </c>
      <c r="AG81" s="13" t="e">
        <f>$V$59*#REF!/1000000</f>
        <v>#REF!</v>
      </c>
      <c r="AH81" s="13" t="e">
        <f>$V$59*#REF!/1000000</f>
        <v>#REF!</v>
      </c>
      <c r="AI81" s="13" t="e">
        <f>$V$59*#REF!/1000000</f>
        <v>#REF!</v>
      </c>
      <c r="AJ81" s="13" t="e">
        <f>$V$59*#REF!/1000000</f>
        <v>#REF!</v>
      </c>
      <c r="AK81" s="13" t="e">
        <f>$V$59*#REF!/1000000</f>
        <v>#REF!</v>
      </c>
      <c r="AL81" s="13" t="e">
        <f>$V$59*#REF!/1000000</f>
        <v>#REF!</v>
      </c>
      <c r="AM81" s="13" t="e">
        <f>$V$59*#REF!/1000000</f>
        <v>#REF!</v>
      </c>
      <c r="AN81" s="13"/>
      <c r="AO81" s="13"/>
    </row>
    <row r="82" spans="1:56" hidden="1" outlineLevel="1" x14ac:dyDescent="0.25">
      <c r="A82">
        <v>2034</v>
      </c>
      <c r="W82" s="13" t="e">
        <f>$W$59*#REF!/1000000</f>
        <v>#REF!</v>
      </c>
      <c r="X82" s="13" t="e">
        <f>$W$59*#REF!/1000000</f>
        <v>#REF!</v>
      </c>
      <c r="Y82" s="13" t="e">
        <f>$W$59*#REF!/1000000</f>
        <v>#REF!</v>
      </c>
      <c r="Z82" s="13" t="e">
        <f>$W$59*#REF!/1000000</f>
        <v>#REF!</v>
      </c>
      <c r="AA82" s="13" t="e">
        <f>$W$59*#REF!/1000000</f>
        <v>#REF!</v>
      </c>
      <c r="AB82" s="13" t="e">
        <f>$W$59*#REF!/1000000</f>
        <v>#REF!</v>
      </c>
      <c r="AC82" s="13" t="e">
        <f>$W$59*#REF!/1000000</f>
        <v>#REF!</v>
      </c>
      <c r="AD82" s="13" t="e">
        <f>$W$59*#REF!/1000000</f>
        <v>#REF!</v>
      </c>
      <c r="AE82" s="13" t="e">
        <f>$W$59*#REF!/1000000</f>
        <v>#REF!</v>
      </c>
      <c r="AF82" s="13" t="e">
        <f>$W$59*#REF!/1000000</f>
        <v>#REF!</v>
      </c>
      <c r="AG82" s="13" t="e">
        <f>$W$59*#REF!/1000000</f>
        <v>#REF!</v>
      </c>
      <c r="AH82" s="13" t="e">
        <f>$W$59*#REF!/1000000</f>
        <v>#REF!</v>
      </c>
      <c r="AI82" s="13" t="e">
        <f>$W$59*#REF!/1000000</f>
        <v>#REF!</v>
      </c>
      <c r="AJ82" s="13" t="e">
        <f>$W$59*#REF!/1000000</f>
        <v>#REF!</v>
      </c>
      <c r="AK82" s="13" t="e">
        <f>$W$59*#REF!/1000000</f>
        <v>#REF!</v>
      </c>
      <c r="AL82" s="13" t="e">
        <f>$W$59*#REF!/1000000</f>
        <v>#REF!</v>
      </c>
      <c r="AM82" s="13" t="e">
        <f>$W$59*#REF!/1000000</f>
        <v>#REF!</v>
      </c>
      <c r="AN82" s="13"/>
      <c r="AO82" s="13"/>
      <c r="AP82" s="13"/>
    </row>
    <row r="83" spans="1:56" hidden="1" outlineLevel="1" x14ac:dyDescent="0.25">
      <c r="A83">
        <v>2035</v>
      </c>
      <c r="X83" s="13" t="e">
        <f>$X$59*#REF!/1000000</f>
        <v>#REF!</v>
      </c>
      <c r="Y83" s="13" t="e">
        <f>$X$59*#REF!/1000000</f>
        <v>#REF!</v>
      </c>
      <c r="Z83" s="13" t="e">
        <f>$X$59*#REF!/1000000</f>
        <v>#REF!</v>
      </c>
      <c r="AA83" s="13" t="e">
        <f>$X$59*#REF!/1000000</f>
        <v>#REF!</v>
      </c>
      <c r="AB83" s="13" t="e">
        <f>$X$59*#REF!/1000000</f>
        <v>#REF!</v>
      </c>
      <c r="AC83" s="13" t="e">
        <f>$X$59*#REF!/1000000</f>
        <v>#REF!</v>
      </c>
      <c r="AD83" s="13" t="e">
        <f>$X$59*#REF!/1000000</f>
        <v>#REF!</v>
      </c>
      <c r="AE83" s="13" t="e">
        <f>$X$59*#REF!/1000000</f>
        <v>#REF!</v>
      </c>
      <c r="AF83" s="13" t="e">
        <f>$X$59*#REF!/1000000</f>
        <v>#REF!</v>
      </c>
      <c r="AG83" s="13" t="e">
        <f>$X$59*#REF!/1000000</f>
        <v>#REF!</v>
      </c>
      <c r="AH83" s="13" t="e">
        <f>$X$59*#REF!/1000000</f>
        <v>#REF!</v>
      </c>
      <c r="AI83" s="13" t="e">
        <f>$X$59*#REF!/1000000</f>
        <v>#REF!</v>
      </c>
      <c r="AJ83" s="13" t="e">
        <f>$X$59*#REF!/1000000</f>
        <v>#REF!</v>
      </c>
      <c r="AK83" s="13" t="e">
        <f>$X$59*#REF!/1000000</f>
        <v>#REF!</v>
      </c>
      <c r="AL83" s="13" t="e">
        <f>$X$59*#REF!/1000000</f>
        <v>#REF!</v>
      </c>
      <c r="AM83" s="13" t="e">
        <f>$X$59*#REF!/1000000</f>
        <v>#REF!</v>
      </c>
      <c r="AN83" s="13"/>
      <c r="AO83" s="13"/>
      <c r="AP83" s="13"/>
      <c r="AQ83" s="13"/>
    </row>
    <row r="84" spans="1:56" hidden="1" outlineLevel="1" x14ac:dyDescent="0.25">
      <c r="A84">
        <v>2036</v>
      </c>
      <c r="Y84" s="13" t="e">
        <f>$Y$59*#REF!/1000000</f>
        <v>#REF!</v>
      </c>
      <c r="Z84" s="13" t="e">
        <f>$Y$59*#REF!/1000000</f>
        <v>#REF!</v>
      </c>
      <c r="AA84" s="13" t="e">
        <f>$Y$59*#REF!/1000000</f>
        <v>#REF!</v>
      </c>
      <c r="AB84" s="13" t="e">
        <f>$Y$59*#REF!/1000000</f>
        <v>#REF!</v>
      </c>
      <c r="AC84" s="13" t="e">
        <f>$Y$59*#REF!/1000000</f>
        <v>#REF!</v>
      </c>
      <c r="AD84" s="13" t="e">
        <f>$Y$59*#REF!/1000000</f>
        <v>#REF!</v>
      </c>
      <c r="AE84" s="13" t="e">
        <f>$Y$59*#REF!/1000000</f>
        <v>#REF!</v>
      </c>
      <c r="AF84" s="13" t="e">
        <f>$Y$59*#REF!/1000000</f>
        <v>#REF!</v>
      </c>
      <c r="AG84" s="13" t="e">
        <f>$Y$59*#REF!/1000000</f>
        <v>#REF!</v>
      </c>
      <c r="AH84" s="13" t="e">
        <f>$Y$59*#REF!/1000000</f>
        <v>#REF!</v>
      </c>
      <c r="AI84" s="13" t="e">
        <f>$Y$59*#REF!/1000000</f>
        <v>#REF!</v>
      </c>
      <c r="AJ84" s="13" t="e">
        <f>$Y$59*#REF!/1000000</f>
        <v>#REF!</v>
      </c>
      <c r="AK84" s="13" t="e">
        <f>$Y$59*#REF!/1000000</f>
        <v>#REF!</v>
      </c>
      <c r="AL84" s="13" t="e">
        <f>$Y$59*#REF!/1000000</f>
        <v>#REF!</v>
      </c>
      <c r="AM84" s="13" t="e">
        <f>$Y$59*#REF!/1000000</f>
        <v>#REF!</v>
      </c>
      <c r="AN84" s="13"/>
      <c r="AO84" s="13"/>
      <c r="AP84" s="13"/>
      <c r="AQ84" s="13"/>
      <c r="AR84" s="13"/>
    </row>
    <row r="85" spans="1:56" hidden="1" outlineLevel="1" x14ac:dyDescent="0.25">
      <c r="A85">
        <v>2037</v>
      </c>
      <c r="Z85" s="13" t="e">
        <f>$Z$59*#REF!/1000000</f>
        <v>#REF!</v>
      </c>
      <c r="AA85" s="13" t="e">
        <f>$Z$59*#REF!/1000000</f>
        <v>#REF!</v>
      </c>
      <c r="AB85" s="13" t="e">
        <f>$Z$59*#REF!/1000000</f>
        <v>#REF!</v>
      </c>
      <c r="AC85" s="13" t="e">
        <f>$Z$59*#REF!/1000000</f>
        <v>#REF!</v>
      </c>
      <c r="AD85" s="13" t="e">
        <f>$Z$59*#REF!/1000000</f>
        <v>#REF!</v>
      </c>
      <c r="AE85" s="13" t="e">
        <f>$Z$59*#REF!/1000000</f>
        <v>#REF!</v>
      </c>
      <c r="AF85" s="13" t="e">
        <f>$Z$59*#REF!/1000000</f>
        <v>#REF!</v>
      </c>
      <c r="AG85" s="13" t="e">
        <f>$Z$59*#REF!/1000000</f>
        <v>#REF!</v>
      </c>
      <c r="AH85" s="13" t="e">
        <f>$Z$59*#REF!/1000000</f>
        <v>#REF!</v>
      </c>
      <c r="AI85" s="13" t="e">
        <f>$Z$59*#REF!/1000000</f>
        <v>#REF!</v>
      </c>
      <c r="AJ85" s="13" t="e">
        <f>$Z$59*#REF!/1000000</f>
        <v>#REF!</v>
      </c>
      <c r="AK85" s="13" t="e">
        <f>$Z$59*#REF!/1000000</f>
        <v>#REF!</v>
      </c>
      <c r="AL85" s="13" t="e">
        <f>$Z$59*#REF!/1000000</f>
        <v>#REF!</v>
      </c>
      <c r="AM85" s="13" t="e">
        <f>$Z$59*#REF!/1000000</f>
        <v>#REF!</v>
      </c>
      <c r="AN85" s="13"/>
      <c r="AO85" s="13"/>
      <c r="AP85" s="13"/>
      <c r="AQ85" s="13"/>
      <c r="AR85" s="13"/>
      <c r="AS85" s="13"/>
    </row>
    <row r="86" spans="1:56" hidden="1" outlineLevel="1" x14ac:dyDescent="0.25">
      <c r="A86">
        <v>2038</v>
      </c>
      <c r="AA86" s="13" t="e">
        <f>$AA$59*#REF!/1000000</f>
        <v>#REF!</v>
      </c>
      <c r="AB86" s="13" t="e">
        <f>$AA$59*#REF!/1000000</f>
        <v>#REF!</v>
      </c>
      <c r="AC86" s="13" t="e">
        <f>$AA$59*#REF!/1000000</f>
        <v>#REF!</v>
      </c>
      <c r="AD86" s="13" t="e">
        <f>$AA$59*#REF!/1000000</f>
        <v>#REF!</v>
      </c>
      <c r="AE86" s="13" t="e">
        <f>$AA$59*#REF!/1000000</f>
        <v>#REF!</v>
      </c>
      <c r="AF86" s="13" t="e">
        <f>$AA$59*#REF!/1000000</f>
        <v>#REF!</v>
      </c>
      <c r="AG86" s="13" t="e">
        <f>$AA$59*#REF!/1000000</f>
        <v>#REF!</v>
      </c>
      <c r="AH86" s="13" t="e">
        <f>$AA$59*#REF!/1000000</f>
        <v>#REF!</v>
      </c>
      <c r="AI86" s="13" t="e">
        <f>$AA$59*#REF!/1000000</f>
        <v>#REF!</v>
      </c>
      <c r="AJ86" s="13" t="e">
        <f>$AA$59*#REF!/1000000</f>
        <v>#REF!</v>
      </c>
      <c r="AK86" s="13" t="e">
        <f>$AA$59*#REF!/1000000</f>
        <v>#REF!</v>
      </c>
      <c r="AL86" s="13" t="e">
        <f>$AA$59*#REF!/1000000</f>
        <v>#REF!</v>
      </c>
      <c r="AM86" s="13" t="e">
        <f>$AA$59*#REF!/1000000</f>
        <v>#REF!</v>
      </c>
      <c r="AN86" s="13"/>
      <c r="AO86" s="13"/>
      <c r="AP86" s="13"/>
      <c r="AQ86" s="13"/>
      <c r="AR86" s="13"/>
      <c r="AS86" s="13"/>
      <c r="AT86" s="13"/>
    </row>
    <row r="87" spans="1:56" hidden="1" outlineLevel="1" x14ac:dyDescent="0.25">
      <c r="A87">
        <v>2039</v>
      </c>
      <c r="AB87" s="13" t="e">
        <f>$AB$59*#REF!/1000000</f>
        <v>#REF!</v>
      </c>
      <c r="AC87" s="13" t="e">
        <f>$AB$59*#REF!/1000000</f>
        <v>#REF!</v>
      </c>
      <c r="AD87" s="13" t="e">
        <f>$AB$59*#REF!/1000000</f>
        <v>#REF!</v>
      </c>
      <c r="AE87" s="13" t="e">
        <f>$AB$59*#REF!/1000000</f>
        <v>#REF!</v>
      </c>
      <c r="AF87" s="13" t="e">
        <f>$AB$59*#REF!/1000000</f>
        <v>#REF!</v>
      </c>
      <c r="AG87" s="13" t="e">
        <f>$AB$59*#REF!/1000000</f>
        <v>#REF!</v>
      </c>
      <c r="AH87" s="13" t="e">
        <f>$AB$59*#REF!/1000000</f>
        <v>#REF!</v>
      </c>
      <c r="AI87" s="13" t="e">
        <f>$AB$59*#REF!/1000000</f>
        <v>#REF!</v>
      </c>
      <c r="AJ87" s="13" t="e">
        <f>$AB$59*#REF!/1000000</f>
        <v>#REF!</v>
      </c>
      <c r="AK87" s="13" t="e">
        <f>$AB$59*#REF!/1000000</f>
        <v>#REF!</v>
      </c>
      <c r="AL87" s="13" t="e">
        <f>$AB$59*#REF!/1000000</f>
        <v>#REF!</v>
      </c>
      <c r="AM87" s="13" t="e">
        <f>$AB$59*#REF!/1000000</f>
        <v>#REF!</v>
      </c>
      <c r="AN87" s="13"/>
      <c r="AO87" s="13"/>
      <c r="AP87" s="13"/>
      <c r="AQ87" s="13"/>
      <c r="AR87" s="13"/>
      <c r="AS87" s="13"/>
      <c r="AT87" s="13"/>
      <c r="AU87" s="13"/>
    </row>
    <row r="88" spans="1:56" hidden="1" outlineLevel="1" x14ac:dyDescent="0.25">
      <c r="A88">
        <v>2040</v>
      </c>
      <c r="AC88" s="13" t="e">
        <f>$AC$59*#REF!/1000000</f>
        <v>#REF!</v>
      </c>
      <c r="AD88" s="13" t="e">
        <f>$AC$59*#REF!/1000000</f>
        <v>#REF!</v>
      </c>
      <c r="AE88" s="13" t="e">
        <f>$AC$59*#REF!/1000000</f>
        <v>#REF!</v>
      </c>
      <c r="AF88" s="13" t="e">
        <f>$AC$59*#REF!/1000000</f>
        <v>#REF!</v>
      </c>
      <c r="AG88" s="13" t="e">
        <f>$AC$59*#REF!/1000000</f>
        <v>#REF!</v>
      </c>
      <c r="AH88" s="13" t="e">
        <f>$AC$59*#REF!/1000000</f>
        <v>#REF!</v>
      </c>
      <c r="AI88" s="13" t="e">
        <f>$AC$59*#REF!/1000000</f>
        <v>#REF!</v>
      </c>
      <c r="AJ88" s="13" t="e">
        <f>$AC$59*#REF!/1000000</f>
        <v>#REF!</v>
      </c>
      <c r="AK88" s="13" t="e">
        <f>$AC$59*#REF!/1000000</f>
        <v>#REF!</v>
      </c>
      <c r="AL88" s="13" t="e">
        <f>$AC$59*#REF!/1000000</f>
        <v>#REF!</v>
      </c>
      <c r="AM88" s="13" t="e">
        <f>$AC$59*#REF!/1000000</f>
        <v>#REF!</v>
      </c>
      <c r="AN88" s="13"/>
      <c r="AO88" s="13"/>
      <c r="AP88" s="13"/>
      <c r="AQ88" s="13"/>
      <c r="AR88" s="13"/>
      <c r="AS88" s="13"/>
      <c r="AT88" s="13"/>
      <c r="AU88" s="13"/>
      <c r="AV88" s="13"/>
    </row>
    <row r="89" spans="1:56" hidden="1" outlineLevel="1" x14ac:dyDescent="0.25">
      <c r="A89">
        <v>2041</v>
      </c>
      <c r="AD89" s="13" t="e">
        <f>$AD$59*#REF!/1000000</f>
        <v>#REF!</v>
      </c>
      <c r="AE89" s="13" t="e">
        <f>$AD$59*#REF!/1000000</f>
        <v>#REF!</v>
      </c>
      <c r="AF89" s="13" t="e">
        <f>$AD$59*#REF!/1000000</f>
        <v>#REF!</v>
      </c>
      <c r="AG89" s="13" t="e">
        <f>$AD$59*#REF!/1000000</f>
        <v>#REF!</v>
      </c>
      <c r="AH89" s="13" t="e">
        <f>$AD$59*#REF!/1000000</f>
        <v>#REF!</v>
      </c>
      <c r="AI89" s="13" t="e">
        <f>$AD$59*#REF!/1000000</f>
        <v>#REF!</v>
      </c>
      <c r="AJ89" s="13" t="e">
        <f>$AD$59*#REF!/1000000</f>
        <v>#REF!</v>
      </c>
      <c r="AK89" s="13" t="e">
        <f>$AD$59*#REF!/1000000</f>
        <v>#REF!</v>
      </c>
      <c r="AL89" s="13" t="e">
        <f>$AD$59*#REF!/1000000</f>
        <v>#REF!</v>
      </c>
      <c r="AM89" s="13" t="e">
        <f>$AD$59*#REF!/1000000</f>
        <v>#REF!</v>
      </c>
      <c r="AN89" s="13"/>
      <c r="AO89" s="13"/>
      <c r="AP89" s="13"/>
      <c r="AQ89" s="13"/>
      <c r="AR89" s="13"/>
      <c r="AS89" s="13"/>
      <c r="AT89" s="13"/>
      <c r="AU89" s="13"/>
      <c r="AV89" s="13"/>
      <c r="AW89" s="13"/>
    </row>
    <row r="90" spans="1:56" hidden="1" outlineLevel="1" x14ac:dyDescent="0.25">
      <c r="A90">
        <v>2042</v>
      </c>
      <c r="AE90" s="13" t="e">
        <f>$AE$59*#REF!/1000000</f>
        <v>#REF!</v>
      </c>
      <c r="AF90" s="13" t="e">
        <f>$AE$59*#REF!/1000000</f>
        <v>#REF!</v>
      </c>
      <c r="AG90" s="13" t="e">
        <f>$AE$59*#REF!/1000000</f>
        <v>#REF!</v>
      </c>
      <c r="AH90" s="13" t="e">
        <f>$AE$59*#REF!/1000000</f>
        <v>#REF!</v>
      </c>
      <c r="AI90" s="13" t="e">
        <f>$AE$59*#REF!/1000000</f>
        <v>#REF!</v>
      </c>
      <c r="AJ90" s="13" t="e">
        <f>$AE$59*#REF!/1000000</f>
        <v>#REF!</v>
      </c>
      <c r="AK90" s="13" t="e">
        <f>$AE$59*#REF!/1000000</f>
        <v>#REF!</v>
      </c>
      <c r="AL90" s="13" t="e">
        <f>$AE$59*#REF!/1000000</f>
        <v>#REF!</v>
      </c>
      <c r="AM90" s="13" t="e">
        <f>$AE$59*#REF!/1000000</f>
        <v>#REF!</v>
      </c>
      <c r="AN90" s="13"/>
      <c r="AO90" s="13"/>
      <c r="AP90" s="13"/>
      <c r="AQ90" s="13"/>
      <c r="AR90" s="13"/>
      <c r="AS90" s="13"/>
      <c r="AT90" s="13"/>
      <c r="AU90" s="13"/>
      <c r="AV90" s="13"/>
      <c r="AW90" s="13"/>
      <c r="AX90" s="13"/>
    </row>
    <row r="91" spans="1:56" hidden="1" outlineLevel="1" x14ac:dyDescent="0.25">
      <c r="A91">
        <v>2043</v>
      </c>
      <c r="AF91" s="13" t="e">
        <f>$AF$59*#REF!/1000000</f>
        <v>#REF!</v>
      </c>
      <c r="AG91" s="13" t="e">
        <f>$AF$59*#REF!/1000000</f>
        <v>#REF!</v>
      </c>
      <c r="AH91" s="13" t="e">
        <f>$AF$59*#REF!/1000000</f>
        <v>#REF!</v>
      </c>
      <c r="AI91" s="13" t="e">
        <f>$AF$59*#REF!/1000000</f>
        <v>#REF!</v>
      </c>
      <c r="AJ91" s="13" t="e">
        <f>$AF$59*#REF!/1000000</f>
        <v>#REF!</v>
      </c>
      <c r="AK91" s="13" t="e">
        <f>$AF$59*#REF!/1000000</f>
        <v>#REF!</v>
      </c>
      <c r="AL91" s="13" t="e">
        <f>$AF$59*#REF!/1000000</f>
        <v>#REF!</v>
      </c>
      <c r="AM91" s="13" t="e">
        <f>$AF$59*#REF!/1000000</f>
        <v>#REF!</v>
      </c>
      <c r="AN91" s="13"/>
      <c r="AO91" s="13"/>
      <c r="AP91" s="13"/>
      <c r="AQ91" s="13"/>
      <c r="AR91" s="13"/>
      <c r="AS91" s="13"/>
      <c r="AT91" s="13"/>
      <c r="AU91" s="13"/>
      <c r="AV91" s="13"/>
      <c r="AW91" s="13"/>
      <c r="AX91" s="13"/>
      <c r="AY91" s="13"/>
    </row>
    <row r="92" spans="1:56" hidden="1" outlineLevel="1" x14ac:dyDescent="0.25">
      <c r="A92">
        <v>2044</v>
      </c>
      <c r="AG92" s="13" t="e">
        <f>$AG$59*#REF!/1000000</f>
        <v>#REF!</v>
      </c>
      <c r="AH92" s="13" t="e">
        <f>$AG$59*#REF!/1000000</f>
        <v>#REF!</v>
      </c>
      <c r="AI92" s="13" t="e">
        <f>$AG$59*#REF!/1000000</f>
        <v>#REF!</v>
      </c>
      <c r="AJ92" s="13" t="e">
        <f>$AG$59*#REF!/1000000</f>
        <v>#REF!</v>
      </c>
      <c r="AK92" s="13" t="e">
        <f>$AG$59*#REF!/1000000</f>
        <v>#REF!</v>
      </c>
      <c r="AL92" s="13" t="e">
        <f>$AG$59*#REF!/1000000</f>
        <v>#REF!</v>
      </c>
      <c r="AM92" s="13" t="e">
        <f>$AG$59*#REF!/1000000</f>
        <v>#REF!</v>
      </c>
      <c r="AN92" s="13"/>
      <c r="AO92" s="13"/>
      <c r="AP92" s="13"/>
      <c r="AQ92" s="13"/>
      <c r="AR92" s="13"/>
      <c r="AS92" s="13"/>
      <c r="AT92" s="13"/>
      <c r="AU92" s="13"/>
      <c r="AV92" s="13"/>
      <c r="AW92" s="13"/>
      <c r="AX92" s="13"/>
      <c r="AY92" s="13"/>
      <c r="AZ92" s="13"/>
    </row>
    <row r="93" spans="1:56" hidden="1" outlineLevel="1" x14ac:dyDescent="0.25">
      <c r="A93">
        <v>2045</v>
      </c>
      <c r="AH93" s="13" t="e">
        <f>$AH$59*#REF!/1000000</f>
        <v>#REF!</v>
      </c>
      <c r="AI93" s="13" t="e">
        <f>$AH$59*#REF!/1000000</f>
        <v>#REF!</v>
      </c>
      <c r="AJ93" s="13" t="e">
        <f>$AH$59*#REF!/1000000</f>
        <v>#REF!</v>
      </c>
      <c r="AK93" s="13" t="e">
        <f>$AH$59*#REF!/1000000</f>
        <v>#REF!</v>
      </c>
      <c r="AL93" s="13" t="e">
        <f>$AH$59*#REF!/1000000</f>
        <v>#REF!</v>
      </c>
      <c r="AM93" s="13" t="e">
        <f>$AH$59*#REF!/1000000</f>
        <v>#REF!</v>
      </c>
      <c r="AN93" s="13"/>
      <c r="AO93" s="13"/>
      <c r="AP93" s="13"/>
      <c r="AQ93" s="13"/>
      <c r="AR93" s="13"/>
      <c r="AS93" s="13"/>
      <c r="AT93" s="13"/>
      <c r="AU93" s="13"/>
      <c r="AV93" s="13"/>
      <c r="AW93" s="13"/>
      <c r="AX93" s="13"/>
      <c r="AY93" s="13"/>
      <c r="AZ93" s="13"/>
      <c r="BA93" s="13"/>
    </row>
    <row r="94" spans="1:56" hidden="1" outlineLevel="1" x14ac:dyDescent="0.25">
      <c r="A94">
        <v>2046</v>
      </c>
      <c r="AI94" s="13" t="e">
        <f>$AI$59*#REF!/1000000</f>
        <v>#REF!</v>
      </c>
      <c r="AJ94" s="13" t="e">
        <f>$AI$59*#REF!/1000000</f>
        <v>#REF!</v>
      </c>
      <c r="AK94" s="13" t="e">
        <f>$AI$59*#REF!/1000000</f>
        <v>#REF!</v>
      </c>
      <c r="AL94" s="13" t="e">
        <f>$AI$59*#REF!/1000000</f>
        <v>#REF!</v>
      </c>
      <c r="AM94" s="13" t="e">
        <f>$AI$59*#REF!/1000000</f>
        <v>#REF!</v>
      </c>
      <c r="AN94" s="13"/>
      <c r="AO94" s="13"/>
      <c r="AP94" s="13"/>
      <c r="AQ94" s="13"/>
      <c r="AR94" s="13"/>
      <c r="AS94" s="13"/>
      <c r="AT94" s="13"/>
      <c r="AU94" s="13"/>
      <c r="AV94" s="13"/>
      <c r="AW94" s="13"/>
      <c r="AX94" s="13"/>
      <c r="AY94" s="13"/>
      <c r="AZ94" s="13"/>
      <c r="BA94" s="13"/>
      <c r="BB94" s="13"/>
    </row>
    <row r="95" spans="1:56" hidden="1" outlineLevel="1" x14ac:dyDescent="0.25">
      <c r="A95">
        <v>2047</v>
      </c>
      <c r="AJ95" s="13" t="e">
        <f>$AJ$59*#REF!/1000000</f>
        <v>#REF!</v>
      </c>
      <c r="AK95" s="13" t="e">
        <f>$AJ$59*#REF!/1000000</f>
        <v>#REF!</v>
      </c>
      <c r="AL95" s="13" t="e">
        <f>$AJ$59*#REF!/1000000</f>
        <v>#REF!</v>
      </c>
      <c r="AM95" s="13" t="e">
        <f>$AJ$59*#REF!/1000000</f>
        <v>#REF!</v>
      </c>
      <c r="AN95" s="13"/>
      <c r="AO95" s="13"/>
      <c r="AP95" s="13"/>
      <c r="AQ95" s="13"/>
      <c r="AR95" s="13"/>
      <c r="AS95" s="13"/>
      <c r="AT95" s="13"/>
      <c r="AU95" s="13"/>
      <c r="AV95" s="13"/>
      <c r="AW95" s="13"/>
      <c r="AX95" s="13"/>
      <c r="AY95" s="13"/>
      <c r="AZ95" s="13"/>
      <c r="BA95" s="13"/>
      <c r="BB95" s="13"/>
      <c r="BC95" s="13"/>
    </row>
    <row r="96" spans="1:56" hidden="1" outlineLevel="1" x14ac:dyDescent="0.25">
      <c r="A96">
        <v>2048</v>
      </c>
      <c r="AK96" s="13" t="e">
        <f>$AK$59*#REF!/1000000</f>
        <v>#REF!</v>
      </c>
      <c r="AL96" s="13" t="e">
        <f>$AK$59*#REF!/1000000</f>
        <v>#REF!</v>
      </c>
      <c r="AM96" s="13" t="e">
        <f>$AK$59*#REF!/1000000</f>
        <v>#REF!</v>
      </c>
      <c r="AN96" s="13"/>
      <c r="AO96" s="13"/>
      <c r="AP96" s="13"/>
      <c r="AQ96" s="13"/>
      <c r="AR96" s="13"/>
      <c r="AS96" s="13"/>
      <c r="AT96" s="13"/>
      <c r="AU96" s="13"/>
      <c r="AV96" s="13"/>
      <c r="AW96" s="13"/>
      <c r="AX96" s="13"/>
      <c r="AY96" s="13"/>
      <c r="AZ96" s="13"/>
      <c r="BA96" s="13"/>
      <c r="BB96" s="13"/>
      <c r="BC96" s="13"/>
      <c r="BD96" s="13"/>
    </row>
    <row r="97" spans="1:58" hidden="1" outlineLevel="1" x14ac:dyDescent="0.25">
      <c r="A97">
        <v>2049</v>
      </c>
      <c r="AL97" s="13" t="e">
        <f>$AL$59*#REF!/1000000</f>
        <v>#REF!</v>
      </c>
      <c r="AM97" s="13" t="e">
        <f>$AL$59*#REF!/1000000</f>
        <v>#REF!</v>
      </c>
      <c r="AN97" s="13"/>
      <c r="AO97" s="13"/>
      <c r="AP97" s="13"/>
      <c r="AQ97" s="13"/>
      <c r="AR97" s="13"/>
      <c r="AS97" s="13"/>
      <c r="AT97" s="13"/>
      <c r="AU97" s="13"/>
      <c r="AV97" s="13"/>
      <c r="AW97" s="13"/>
      <c r="AX97" s="13"/>
      <c r="AY97" s="13"/>
      <c r="AZ97" s="13"/>
      <c r="BA97" s="13"/>
      <c r="BB97" s="13"/>
      <c r="BC97" s="13"/>
      <c r="BD97" s="13"/>
      <c r="BE97" s="13"/>
    </row>
    <row r="98" spans="1:58" hidden="1" outlineLevel="1" x14ac:dyDescent="0.25">
      <c r="A98">
        <v>2050</v>
      </c>
      <c r="AM98" s="13" t="e">
        <f>$AM$59*#REF!/1000000</f>
        <v>#REF!</v>
      </c>
      <c r="AN98" s="13"/>
      <c r="AO98" s="13"/>
      <c r="AP98" s="13"/>
      <c r="AQ98" s="13"/>
      <c r="AR98" s="13"/>
      <c r="AS98" s="13"/>
      <c r="AT98" s="13"/>
      <c r="AU98" s="13"/>
      <c r="AV98" s="13"/>
      <c r="AW98" s="13"/>
      <c r="AX98" s="13"/>
      <c r="AY98" s="13"/>
      <c r="AZ98" s="13"/>
      <c r="BA98" s="13"/>
      <c r="BB98" s="13"/>
      <c r="BC98" s="13"/>
      <c r="BD98" s="13"/>
      <c r="BE98" s="13"/>
      <c r="BF98" s="13"/>
    </row>
    <row r="99" spans="1:58" collapsed="1" x14ac:dyDescent="0.25">
      <c r="AA99" s="13"/>
      <c r="AB99" s="13"/>
      <c r="AC99" s="13"/>
      <c r="AD99" s="13"/>
      <c r="AE99" s="13"/>
      <c r="AF99" s="13"/>
      <c r="AG99" s="13"/>
      <c r="AH99" s="13"/>
      <c r="AI99" s="13"/>
      <c r="AJ99" s="13"/>
      <c r="AK99" s="13"/>
      <c r="AL99" s="13"/>
      <c r="AM99" s="13"/>
      <c r="AN99" s="13"/>
      <c r="AO99" s="13"/>
      <c r="AP99" s="13"/>
      <c r="AQ99" s="13"/>
      <c r="AR99" s="13"/>
      <c r="AS99" s="13"/>
      <c r="AT99" s="13"/>
    </row>
    <row r="100" spans="1:58" x14ac:dyDescent="0.25">
      <c r="AB100" s="13"/>
      <c r="AC100" s="13"/>
      <c r="AD100" s="13"/>
      <c r="AE100" s="13"/>
      <c r="AF100" s="13"/>
      <c r="AG100" s="13"/>
      <c r="AH100" s="13"/>
      <c r="AI100" s="13"/>
      <c r="AJ100" s="13"/>
      <c r="AK100" s="13"/>
      <c r="AL100" s="13"/>
      <c r="AM100" s="13"/>
      <c r="AN100" s="13"/>
      <c r="AO100" s="13"/>
      <c r="AP100" s="13"/>
      <c r="AQ100" s="13"/>
      <c r="AR100" s="13"/>
      <c r="AS100" s="13"/>
      <c r="AT100" s="13"/>
      <c r="AU100" s="13"/>
    </row>
    <row r="101" spans="1:58" x14ac:dyDescent="0.25">
      <c r="AC101" s="13"/>
      <c r="AD101" s="13"/>
      <c r="AE101" s="13"/>
      <c r="AF101" s="13"/>
      <c r="AG101" s="13"/>
      <c r="AH101" s="13"/>
      <c r="AI101" s="13"/>
      <c r="AJ101" s="13"/>
      <c r="AK101" s="13"/>
      <c r="AL101" s="13"/>
      <c r="AM101" s="13"/>
      <c r="AN101" s="13"/>
      <c r="AO101" s="13"/>
      <c r="AP101" s="13"/>
      <c r="AQ101" s="13"/>
      <c r="AR101" s="13"/>
      <c r="AS101" s="13"/>
      <c r="AT101" s="13"/>
      <c r="AU101" s="13"/>
      <c r="AV101" s="13"/>
    </row>
    <row r="102" spans="1:58" x14ac:dyDescent="0.25">
      <c r="AD102" s="13"/>
      <c r="AE102" s="13"/>
      <c r="AF102" s="13"/>
      <c r="AG102" s="13"/>
      <c r="AH102" s="13"/>
      <c r="AI102" s="13"/>
      <c r="AJ102" s="13"/>
      <c r="AK102" s="13"/>
      <c r="AL102" s="13"/>
      <c r="AM102" s="13"/>
      <c r="AN102" s="13"/>
      <c r="AO102" s="13"/>
      <c r="AP102" s="13"/>
      <c r="AQ102" s="13"/>
      <c r="AR102" s="13"/>
      <c r="AS102" s="13"/>
      <c r="AT102" s="13"/>
      <c r="AU102" s="13"/>
      <c r="AV102" s="13"/>
      <c r="AW102" s="13"/>
    </row>
    <row r="103" spans="1:58" x14ac:dyDescent="0.25">
      <c r="AE103" s="13"/>
      <c r="AF103" s="13"/>
      <c r="AG103" s="13"/>
      <c r="AH103" s="13"/>
      <c r="AI103" s="13"/>
      <c r="AJ103" s="13"/>
      <c r="AK103" s="13"/>
      <c r="AL103" s="13"/>
      <c r="AM103" s="13"/>
      <c r="AN103" s="13"/>
      <c r="AO103" s="13"/>
      <c r="AP103" s="13"/>
      <c r="AQ103" s="13"/>
      <c r="AR103" s="13"/>
      <c r="AS103" s="13"/>
      <c r="AT103" s="13"/>
      <c r="AU103" s="13"/>
      <c r="AV103" s="13"/>
      <c r="AW103" s="13"/>
      <c r="AX103" s="13"/>
    </row>
    <row r="104" spans="1:58" x14ac:dyDescent="0.25">
      <c r="AF104" s="13"/>
      <c r="AG104" s="13"/>
      <c r="AH104" s="13"/>
      <c r="AI104" s="13"/>
      <c r="AJ104" s="13"/>
      <c r="AK104" s="13"/>
      <c r="AL104" s="13"/>
      <c r="AM104" s="13"/>
      <c r="AN104" s="13"/>
      <c r="AO104" s="13"/>
      <c r="AP104" s="13"/>
      <c r="AQ104" s="13"/>
      <c r="AR104" s="13"/>
      <c r="AS104" s="13"/>
      <c r="AT104" s="13"/>
      <c r="AU104" s="13"/>
      <c r="AV104" s="13"/>
      <c r="AW104" s="13"/>
      <c r="AX104" s="13"/>
      <c r="AY104" s="13"/>
    </row>
    <row r="105" spans="1:58" x14ac:dyDescent="0.25">
      <c r="AG105" s="13"/>
      <c r="AH105" s="13"/>
      <c r="AI105" s="13"/>
      <c r="AJ105" s="13"/>
      <c r="AK105" s="13"/>
      <c r="AL105" s="13"/>
      <c r="AM105" s="13"/>
      <c r="AN105" s="13"/>
      <c r="AO105" s="13"/>
      <c r="AP105" s="13"/>
      <c r="AQ105" s="13"/>
      <c r="AR105" s="13"/>
      <c r="AS105" s="13"/>
      <c r="AT105" s="13"/>
      <c r="AU105" s="13"/>
      <c r="AV105" s="13"/>
      <c r="AW105" s="13"/>
      <c r="AX105" s="13"/>
      <c r="AY105" s="13"/>
      <c r="AZ105" s="13"/>
    </row>
    <row r="106" spans="1:58" x14ac:dyDescent="0.25">
      <c r="AH106" s="13"/>
      <c r="AI106" s="13"/>
      <c r="AJ106" s="13"/>
      <c r="AK106" s="13"/>
      <c r="AL106" s="13"/>
      <c r="AM106" s="13"/>
      <c r="AN106" s="13"/>
      <c r="AO106" s="13"/>
      <c r="AP106" s="13"/>
      <c r="AQ106" s="13"/>
      <c r="AR106" s="13"/>
      <c r="AS106" s="13"/>
      <c r="AT106" s="13"/>
      <c r="AU106" s="13"/>
      <c r="AV106" s="13"/>
      <c r="AW106" s="13"/>
      <c r="AX106" s="13"/>
      <c r="AY106" s="13"/>
      <c r="AZ106" s="13"/>
      <c r="BA106" s="13"/>
    </row>
    <row r="107" spans="1:58" x14ac:dyDescent="0.25">
      <c r="AI107" s="13"/>
      <c r="AJ107" s="13"/>
      <c r="AK107" s="13"/>
      <c r="AL107" s="13"/>
      <c r="AM107" s="13"/>
      <c r="AN107" s="13"/>
      <c r="AO107" s="13"/>
      <c r="AP107" s="13"/>
      <c r="AQ107" s="13"/>
      <c r="AR107" s="13"/>
      <c r="AS107" s="13"/>
      <c r="AT107" s="13"/>
      <c r="AU107" s="13"/>
      <c r="AV107" s="13"/>
      <c r="AW107" s="13"/>
      <c r="AX107" s="13"/>
      <c r="AY107" s="13"/>
      <c r="AZ107" s="13"/>
      <c r="BA107" s="13"/>
      <c r="BB107" s="13"/>
    </row>
    <row r="108" spans="1:58" x14ac:dyDescent="0.25">
      <c r="AJ108" s="13"/>
      <c r="AK108" s="13"/>
      <c r="AL108" s="13"/>
      <c r="AM108" s="13"/>
      <c r="AN108" s="13"/>
      <c r="AO108" s="13"/>
      <c r="AP108" s="13"/>
      <c r="AQ108" s="13"/>
      <c r="AR108" s="13"/>
      <c r="AS108" s="13"/>
      <c r="AT108" s="13"/>
      <c r="AU108" s="13"/>
      <c r="AV108" s="13"/>
      <c r="AW108" s="13"/>
      <c r="AX108" s="13"/>
      <c r="AY108" s="13"/>
      <c r="AZ108" s="13"/>
      <c r="BA108" s="13"/>
      <c r="BB108" s="13"/>
      <c r="BC108" s="13"/>
    </row>
    <row r="109" spans="1:58" x14ac:dyDescent="0.25">
      <c r="AK109" s="13"/>
      <c r="AL109" s="13"/>
      <c r="AM109" s="13"/>
      <c r="AN109" s="13"/>
      <c r="AO109" s="13"/>
      <c r="AP109" s="13"/>
      <c r="AQ109" s="13"/>
      <c r="AR109" s="13"/>
      <c r="AS109" s="13"/>
      <c r="AT109" s="13"/>
      <c r="AU109" s="13"/>
      <c r="AV109" s="13"/>
      <c r="AW109" s="13"/>
      <c r="AX109" s="13"/>
      <c r="AY109" s="13"/>
      <c r="AZ109" s="13"/>
      <c r="BA109" s="13"/>
      <c r="BB109" s="13"/>
      <c r="BC109" s="13"/>
      <c r="BD109" s="13"/>
    </row>
    <row r="110" spans="1:58" x14ac:dyDescent="0.25">
      <c r="AL110" s="13"/>
      <c r="AM110" s="13"/>
      <c r="AN110" s="13"/>
      <c r="AO110" s="13"/>
      <c r="AP110" s="13"/>
      <c r="AQ110" s="13"/>
      <c r="AR110" s="13"/>
      <c r="AS110" s="13"/>
      <c r="AT110" s="13"/>
      <c r="AU110" s="13"/>
      <c r="AV110" s="13"/>
      <c r="AW110" s="13"/>
      <c r="AX110" s="13"/>
      <c r="AY110" s="13"/>
      <c r="AZ110" s="13"/>
      <c r="BA110" s="13"/>
      <c r="BB110" s="13"/>
      <c r="BC110" s="13"/>
      <c r="BD110" s="13"/>
      <c r="BE110" s="13"/>
    </row>
    <row r="111" spans="1:58" x14ac:dyDescent="0.25">
      <c r="AM111" s="13"/>
      <c r="AN111" s="13"/>
      <c r="AO111" s="13"/>
      <c r="AP111" s="13"/>
      <c r="AQ111" s="13"/>
      <c r="AR111" s="13"/>
      <c r="AS111" s="13"/>
      <c r="AT111" s="13"/>
      <c r="AU111" s="13"/>
      <c r="AV111" s="13"/>
      <c r="AW111" s="13"/>
      <c r="AX111" s="13"/>
      <c r="AY111" s="13"/>
      <c r="AZ111" s="13"/>
      <c r="BA111" s="13"/>
      <c r="BB111" s="13"/>
      <c r="BC111" s="13"/>
      <c r="BD111" s="13"/>
      <c r="BE111" s="13"/>
      <c r="BF111" s="13"/>
    </row>
  </sheetData>
  <dataConsolidate/>
  <pageMargins left="0.7" right="0.7" top="0.75" bottom="0.75" header="0.3" footer="0.3"/>
  <pageSetup paperSize="9" orientation="portrait" verticalDpi="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39"/>
  <sheetViews>
    <sheetView workbookViewId="0">
      <pane xSplit="4650" topLeftCell="AE1" activePane="topRight"/>
      <selection activeCell="A8" sqref="A8"/>
      <selection pane="topRight" activeCell="AP10" sqref="AP10"/>
    </sheetView>
  </sheetViews>
  <sheetFormatPr baseColWidth="10" defaultColWidth="9.140625" defaultRowHeight="15" outlineLevelRow="1" x14ac:dyDescent="0.25"/>
  <cols>
    <col min="1" max="1" width="35.28515625" bestFit="1" customWidth="1"/>
    <col min="2" max="2" width="11.7109375" bestFit="1" customWidth="1"/>
    <col min="3" max="5" width="11.28515625" customWidth="1"/>
    <col min="6" max="6" width="12.7109375" bestFit="1" customWidth="1"/>
    <col min="7" max="38" width="11.28515625" customWidth="1"/>
    <col min="39" max="39" width="18.7109375" bestFit="1" customWidth="1"/>
    <col min="40" max="41" width="18.7109375" customWidth="1"/>
    <col min="42" max="42" width="18" bestFit="1" customWidth="1"/>
    <col min="43" max="43" width="12.28515625" bestFit="1" customWidth="1"/>
    <col min="44" max="44" width="21" bestFit="1" customWidth="1"/>
    <col min="45" max="45" width="24" bestFit="1" customWidth="1"/>
    <col min="46" max="46" width="17.7109375" bestFit="1" customWidth="1"/>
    <col min="47" max="47" width="27.7109375" bestFit="1" customWidth="1"/>
  </cols>
  <sheetData>
    <row r="1" spans="1:47" x14ac:dyDescent="0.25">
      <c r="A1" s="5" t="s">
        <v>27</v>
      </c>
      <c r="B1" s="6">
        <v>2013</v>
      </c>
      <c r="C1" s="6">
        <v>2014</v>
      </c>
      <c r="D1" s="6">
        <v>2015</v>
      </c>
      <c r="E1" s="6">
        <v>2016</v>
      </c>
      <c r="F1" s="6">
        <v>2017</v>
      </c>
      <c r="G1" s="6">
        <v>2018</v>
      </c>
      <c r="H1" s="6">
        <v>2019</v>
      </c>
      <c r="I1" s="6">
        <v>2020</v>
      </c>
      <c r="J1" s="6">
        <v>2021</v>
      </c>
      <c r="K1" s="6">
        <v>2022</v>
      </c>
      <c r="L1" s="6">
        <v>2023</v>
      </c>
      <c r="M1" s="6">
        <v>2024</v>
      </c>
      <c r="N1" s="6">
        <v>2025</v>
      </c>
      <c r="O1" s="6">
        <v>2026</v>
      </c>
      <c r="P1" s="6">
        <v>2027</v>
      </c>
      <c r="Q1" s="6">
        <v>2028</v>
      </c>
      <c r="R1" s="6">
        <v>2029</v>
      </c>
      <c r="S1" s="6">
        <v>2030</v>
      </c>
      <c r="T1" s="6">
        <v>2031</v>
      </c>
      <c r="U1" s="6">
        <v>2032</v>
      </c>
      <c r="V1" s="6">
        <v>2033</v>
      </c>
      <c r="W1" s="6">
        <v>2034</v>
      </c>
      <c r="X1" s="6">
        <v>2035</v>
      </c>
      <c r="Y1" s="6">
        <v>2036</v>
      </c>
      <c r="Z1" s="6">
        <v>2037</v>
      </c>
      <c r="AA1" s="6">
        <v>2038</v>
      </c>
      <c r="AB1" s="6">
        <v>2039</v>
      </c>
      <c r="AC1" s="6">
        <v>2040</v>
      </c>
      <c r="AD1" s="6">
        <v>2041</v>
      </c>
      <c r="AE1" s="6">
        <v>2042</v>
      </c>
      <c r="AF1" s="6">
        <v>2043</v>
      </c>
      <c r="AG1" s="6">
        <v>2044</v>
      </c>
      <c r="AH1" s="6">
        <v>2045</v>
      </c>
      <c r="AI1" s="6">
        <v>2046</v>
      </c>
      <c r="AJ1" s="6">
        <v>2047</v>
      </c>
      <c r="AK1" s="6">
        <v>2048</v>
      </c>
      <c r="AL1" s="6">
        <v>2049</v>
      </c>
      <c r="AM1" s="6" t="s">
        <v>177</v>
      </c>
      <c r="AN1" s="6" t="s">
        <v>109</v>
      </c>
      <c r="AO1" s="6" t="s">
        <v>89</v>
      </c>
      <c r="AP1" s="6" t="s">
        <v>6</v>
      </c>
      <c r="AQ1" s="6" t="s">
        <v>30</v>
      </c>
      <c r="AR1" s="6" t="s">
        <v>31</v>
      </c>
      <c r="AS1" s="6" t="s">
        <v>7</v>
      </c>
      <c r="AT1" s="6" t="s">
        <v>20</v>
      </c>
      <c r="AU1" s="7" t="s">
        <v>23</v>
      </c>
    </row>
    <row r="2" spans="1:47" ht="15.75" thickBot="1" x14ac:dyDescent="0.3">
      <c r="A2" s="8" t="s">
        <v>180</v>
      </c>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11"/>
      <c r="AN2" s="11"/>
      <c r="AO2" s="11"/>
      <c r="AP2" s="11"/>
      <c r="AQ2" s="11"/>
      <c r="AR2" s="11"/>
      <c r="AS2" s="11"/>
      <c r="AT2" s="11"/>
      <c r="AU2" s="12"/>
    </row>
    <row r="3" spans="1:47" x14ac:dyDescent="0.25">
      <c r="A3" s="4" t="s">
        <v>19</v>
      </c>
      <c r="B3" s="75">
        <v>70</v>
      </c>
      <c r="C3" s="75">
        <v>70</v>
      </c>
      <c r="D3" s="75">
        <v>70</v>
      </c>
      <c r="E3" s="75">
        <v>70</v>
      </c>
      <c r="F3" s="75">
        <v>70</v>
      </c>
      <c r="G3" s="75">
        <v>70</v>
      </c>
      <c r="H3" s="75">
        <v>70</v>
      </c>
      <c r="I3" s="75">
        <v>70</v>
      </c>
      <c r="J3" s="75">
        <v>70</v>
      </c>
      <c r="K3" s="75">
        <v>70</v>
      </c>
      <c r="L3" s="75">
        <v>70</v>
      </c>
      <c r="M3" s="75">
        <v>70</v>
      </c>
      <c r="N3" s="75">
        <v>70</v>
      </c>
      <c r="O3" s="75">
        <v>70</v>
      </c>
      <c r="P3" s="75">
        <v>70</v>
      </c>
      <c r="Q3" s="75">
        <v>70</v>
      </c>
      <c r="R3" s="75">
        <v>70</v>
      </c>
      <c r="S3" s="75">
        <v>70</v>
      </c>
      <c r="T3" s="75">
        <v>70</v>
      </c>
      <c r="U3" s="75">
        <v>70</v>
      </c>
      <c r="V3" s="75">
        <v>70</v>
      </c>
      <c r="W3" s="75">
        <v>70</v>
      </c>
      <c r="X3" s="75">
        <v>70</v>
      </c>
      <c r="Y3" s="75">
        <v>70</v>
      </c>
      <c r="Z3" s="75">
        <v>70</v>
      </c>
      <c r="AA3" s="75">
        <v>70</v>
      </c>
      <c r="AB3" s="75">
        <v>70</v>
      </c>
      <c r="AC3" s="75">
        <v>70</v>
      </c>
      <c r="AD3" s="75">
        <v>70</v>
      </c>
      <c r="AE3" s="75">
        <v>70</v>
      </c>
      <c r="AF3" s="75">
        <v>70</v>
      </c>
      <c r="AG3" s="75">
        <v>70</v>
      </c>
      <c r="AH3" s="75">
        <v>70</v>
      </c>
      <c r="AI3" s="75">
        <v>70</v>
      </c>
      <c r="AJ3" s="75">
        <v>70</v>
      </c>
      <c r="AK3" s="75">
        <v>70</v>
      </c>
      <c r="AL3" s="75">
        <v>70</v>
      </c>
      <c r="AM3" s="88">
        <v>70</v>
      </c>
      <c r="AN3" s="59">
        <f>AO3</f>
        <v>3759</v>
      </c>
      <c r="AO3" s="59">
        <f>AP3</f>
        <v>3759</v>
      </c>
      <c r="AP3" s="59">
        <v>3759</v>
      </c>
      <c r="AQ3" s="9">
        <v>25</v>
      </c>
      <c r="AR3" s="59">
        <f>AP3/AQ3</f>
        <v>150.36000000000001</v>
      </c>
      <c r="AS3" s="59">
        <v>83</v>
      </c>
      <c r="AT3" s="9">
        <v>1.6</v>
      </c>
      <c r="AU3" s="10"/>
    </row>
    <row r="4" spans="1:47" x14ac:dyDescent="0.25">
      <c r="A4" s="4" t="s">
        <v>21</v>
      </c>
      <c r="B4" s="75">
        <v>60</v>
      </c>
      <c r="C4" s="75">
        <v>60</v>
      </c>
      <c r="D4" s="75">
        <v>60</v>
      </c>
      <c r="E4" s="75">
        <v>60</v>
      </c>
      <c r="F4" s="75">
        <v>60</v>
      </c>
      <c r="G4" s="75">
        <v>60</v>
      </c>
      <c r="H4" s="75">
        <v>60</v>
      </c>
      <c r="I4" s="75">
        <v>60</v>
      </c>
      <c r="J4" s="75">
        <v>60</v>
      </c>
      <c r="K4" s="75">
        <v>60</v>
      </c>
      <c r="L4" s="75">
        <v>60</v>
      </c>
      <c r="M4" s="75">
        <v>60</v>
      </c>
      <c r="N4" s="75">
        <v>60</v>
      </c>
      <c r="O4" s="75">
        <v>60</v>
      </c>
      <c r="P4" s="75">
        <v>60</v>
      </c>
      <c r="Q4" s="75">
        <v>60</v>
      </c>
      <c r="R4" s="75">
        <v>60</v>
      </c>
      <c r="S4" s="75">
        <v>60</v>
      </c>
      <c r="T4" s="75">
        <v>60</v>
      </c>
      <c r="U4" s="75">
        <v>60</v>
      </c>
      <c r="V4" s="75">
        <v>60</v>
      </c>
      <c r="W4" s="75">
        <v>60</v>
      </c>
      <c r="X4" s="75">
        <v>60</v>
      </c>
      <c r="Y4" s="75">
        <v>60</v>
      </c>
      <c r="Z4" s="75">
        <v>60</v>
      </c>
      <c r="AA4" s="75">
        <v>60</v>
      </c>
      <c r="AB4" s="75">
        <v>60</v>
      </c>
      <c r="AC4" s="75">
        <v>60</v>
      </c>
      <c r="AD4" s="75">
        <v>60</v>
      </c>
      <c r="AE4" s="75">
        <v>60</v>
      </c>
      <c r="AF4" s="75">
        <v>60</v>
      </c>
      <c r="AG4" s="75">
        <v>60</v>
      </c>
      <c r="AH4" s="75">
        <v>60</v>
      </c>
      <c r="AI4" s="75">
        <v>60</v>
      </c>
      <c r="AJ4" s="75">
        <v>60</v>
      </c>
      <c r="AK4" s="75">
        <v>60</v>
      </c>
      <c r="AL4" s="75">
        <v>60</v>
      </c>
      <c r="AM4" s="88">
        <v>60</v>
      </c>
      <c r="AN4" s="59">
        <f>AO4</f>
        <v>6538</v>
      </c>
      <c r="AO4" s="59">
        <f>AP4</f>
        <v>6538</v>
      </c>
      <c r="AP4" s="59">
        <v>6538</v>
      </c>
      <c r="AQ4" s="9">
        <v>25</v>
      </c>
      <c r="AR4" s="59">
        <f>AP4/AQ4</f>
        <v>261.52</v>
      </c>
      <c r="AS4" s="59">
        <v>98</v>
      </c>
      <c r="AT4" s="9"/>
      <c r="AU4" s="10"/>
    </row>
    <row r="5" spans="1:47" x14ac:dyDescent="0.25">
      <c r="A5" s="4" t="s">
        <v>22</v>
      </c>
      <c r="B5" s="87">
        <v>150</v>
      </c>
      <c r="C5" s="89">
        <f t="shared" ref="C5:C19" si="0">B5+($S5-$B5)/(2030-2013)</f>
        <v>147.05882352941177</v>
      </c>
      <c r="D5" s="89">
        <f t="shared" ref="D5:R5" si="1">C5+($S5-$B5)/(2030-2013)</f>
        <v>144.11764705882354</v>
      </c>
      <c r="E5" s="89">
        <f t="shared" si="1"/>
        <v>141.1764705882353</v>
      </c>
      <c r="F5" s="89">
        <f t="shared" si="1"/>
        <v>138.23529411764707</v>
      </c>
      <c r="G5" s="89">
        <f t="shared" si="1"/>
        <v>135.29411764705884</v>
      </c>
      <c r="H5" s="89">
        <f t="shared" si="1"/>
        <v>132.35294117647061</v>
      </c>
      <c r="I5" s="89">
        <f t="shared" si="1"/>
        <v>129.41176470588238</v>
      </c>
      <c r="J5" s="89">
        <f t="shared" si="1"/>
        <v>126.47058823529414</v>
      </c>
      <c r="K5" s="89">
        <f t="shared" si="1"/>
        <v>123.52941176470591</v>
      </c>
      <c r="L5" s="89">
        <f t="shared" si="1"/>
        <v>120.58823529411768</v>
      </c>
      <c r="M5" s="89">
        <f t="shared" si="1"/>
        <v>117.64705882352945</v>
      </c>
      <c r="N5" s="89">
        <f t="shared" si="1"/>
        <v>114.70588235294122</v>
      </c>
      <c r="O5" s="89">
        <f t="shared" si="1"/>
        <v>111.76470588235298</v>
      </c>
      <c r="P5" s="89">
        <f t="shared" si="1"/>
        <v>108.82352941176475</v>
      </c>
      <c r="Q5" s="89">
        <f t="shared" si="1"/>
        <v>105.88235294117652</v>
      </c>
      <c r="R5" s="89">
        <f t="shared" si="1"/>
        <v>102.94117647058829</v>
      </c>
      <c r="S5" s="87">
        <v>100</v>
      </c>
      <c r="T5" s="89">
        <f t="shared" ref="T5:T19" si="2">S5+($AM5-$S5)/(2050-2030)</f>
        <v>97.5</v>
      </c>
      <c r="U5" s="89">
        <f t="shared" ref="U5:AL5" si="3">T5+($AM5-$S5)/(2050-2030)</f>
        <v>95</v>
      </c>
      <c r="V5" s="89">
        <f t="shared" si="3"/>
        <v>92.5</v>
      </c>
      <c r="W5" s="89">
        <f t="shared" si="3"/>
        <v>90</v>
      </c>
      <c r="X5" s="89">
        <f t="shared" si="3"/>
        <v>87.5</v>
      </c>
      <c r="Y5" s="89">
        <f t="shared" si="3"/>
        <v>85</v>
      </c>
      <c r="Z5" s="89">
        <f t="shared" si="3"/>
        <v>82.5</v>
      </c>
      <c r="AA5" s="89">
        <f t="shared" si="3"/>
        <v>80</v>
      </c>
      <c r="AB5" s="89">
        <f t="shared" si="3"/>
        <v>77.5</v>
      </c>
      <c r="AC5" s="89">
        <f t="shared" si="3"/>
        <v>75</v>
      </c>
      <c r="AD5" s="89">
        <f t="shared" si="3"/>
        <v>72.5</v>
      </c>
      <c r="AE5" s="89">
        <f t="shared" si="3"/>
        <v>70</v>
      </c>
      <c r="AF5" s="89">
        <f t="shared" si="3"/>
        <v>67.5</v>
      </c>
      <c r="AG5" s="89">
        <f t="shared" si="3"/>
        <v>65</v>
      </c>
      <c r="AH5" s="89">
        <f t="shared" si="3"/>
        <v>62.5</v>
      </c>
      <c r="AI5" s="89">
        <f t="shared" si="3"/>
        <v>60</v>
      </c>
      <c r="AJ5" s="89">
        <f t="shared" si="3"/>
        <v>57.5</v>
      </c>
      <c r="AK5" s="89">
        <f t="shared" si="3"/>
        <v>55</v>
      </c>
      <c r="AL5" s="89">
        <f t="shared" si="3"/>
        <v>52.5</v>
      </c>
      <c r="AM5" s="88">
        <v>50</v>
      </c>
      <c r="AN5" s="59">
        <f>AP5*15/AM5</f>
        <v>863.7</v>
      </c>
      <c r="AO5" s="59">
        <f>AP5*10/AM5</f>
        <v>575.79999999999995</v>
      </c>
      <c r="AP5" s="59">
        <v>2879</v>
      </c>
      <c r="AQ5" s="9">
        <v>20</v>
      </c>
      <c r="AR5" s="59">
        <f>AP5/AQ5</f>
        <v>143.94999999999999</v>
      </c>
      <c r="AS5" s="59">
        <v>181</v>
      </c>
      <c r="AT5" s="9"/>
      <c r="AU5" s="10"/>
    </row>
    <row r="6" spans="1:47" outlineLevel="1" x14ac:dyDescent="0.25">
      <c r="A6" s="4" t="s">
        <v>8</v>
      </c>
      <c r="B6" s="87">
        <v>80</v>
      </c>
      <c r="C6" s="89">
        <f t="shared" si="0"/>
        <v>79.411764705882348</v>
      </c>
      <c r="D6" s="89">
        <f t="shared" ref="D6:D7" si="4">C6+($S6-$B6)/(2030-2013)</f>
        <v>78.823529411764696</v>
      </c>
      <c r="E6" s="89">
        <f t="shared" ref="E6:E7" si="5">D6+($S6-$B6)/(2030-2013)</f>
        <v>78.235294117647044</v>
      </c>
      <c r="F6" s="89">
        <f t="shared" ref="F6:F7" si="6">E6+($S6-$B6)/(2030-2013)</f>
        <v>77.647058823529392</v>
      </c>
      <c r="G6" s="89">
        <f t="shared" ref="G6:G7" si="7">F6+($S6-$B6)/(2030-2013)</f>
        <v>77.05882352941174</v>
      </c>
      <c r="H6" s="89">
        <f t="shared" ref="H6:H7" si="8">G6+($S6-$B6)/(2030-2013)</f>
        <v>76.470588235294088</v>
      </c>
      <c r="I6" s="89">
        <f t="shared" ref="I6:I7" si="9">H6+($S6-$B6)/(2030-2013)</f>
        <v>75.882352941176435</v>
      </c>
      <c r="J6" s="89">
        <f t="shared" ref="J6:J7" si="10">I6+($S6-$B6)/(2030-2013)</f>
        <v>75.294117647058783</v>
      </c>
      <c r="K6" s="89">
        <f t="shared" ref="K6:K7" si="11">J6+($S6-$B6)/(2030-2013)</f>
        <v>74.705882352941131</v>
      </c>
      <c r="L6" s="89">
        <f t="shared" ref="L6:L7" si="12">K6+($S6-$B6)/(2030-2013)</f>
        <v>74.117647058823479</v>
      </c>
      <c r="M6" s="89">
        <f t="shared" ref="M6:M7" si="13">L6+($S6-$B6)/(2030-2013)</f>
        <v>73.529411764705827</v>
      </c>
      <c r="N6" s="89">
        <f t="shared" ref="N6:N7" si="14">M6+($S6-$B6)/(2030-2013)</f>
        <v>72.941176470588175</v>
      </c>
      <c r="O6" s="89">
        <f t="shared" ref="O6:O7" si="15">N6+($S6-$B6)/(2030-2013)</f>
        <v>72.352941176470523</v>
      </c>
      <c r="P6" s="89">
        <f t="shared" ref="P6:P7" si="16">O6+($S6-$B6)/(2030-2013)</f>
        <v>71.764705882352871</v>
      </c>
      <c r="Q6" s="89">
        <f t="shared" ref="Q6:Q7" si="17">P6+($S6-$B6)/(2030-2013)</f>
        <v>71.176470588235219</v>
      </c>
      <c r="R6" s="89">
        <f t="shared" ref="R6:R7" si="18">Q6+($S6-$B6)/(2030-2013)</f>
        <v>70.588235294117567</v>
      </c>
      <c r="S6" s="87">
        <v>70</v>
      </c>
      <c r="T6" s="89">
        <f t="shared" si="2"/>
        <v>69.75</v>
      </c>
      <c r="U6" s="89">
        <f t="shared" ref="U6:U7" si="19">T6+($AM6-$S6)/(2050-2030)</f>
        <v>69.5</v>
      </c>
      <c r="V6" s="89">
        <f t="shared" ref="V6:V7" si="20">U6+($AM6-$S6)/(2050-2030)</f>
        <v>69.25</v>
      </c>
      <c r="W6" s="89">
        <f t="shared" ref="W6:W7" si="21">V6+($AM6-$S6)/(2050-2030)</f>
        <v>69</v>
      </c>
      <c r="X6" s="89">
        <f t="shared" ref="X6:X7" si="22">W6+($AM6-$S6)/(2050-2030)</f>
        <v>68.75</v>
      </c>
      <c r="Y6" s="89">
        <f t="shared" ref="Y6:Y7" si="23">X6+($AM6-$S6)/(2050-2030)</f>
        <v>68.5</v>
      </c>
      <c r="Z6" s="89">
        <f t="shared" ref="Z6:Z7" si="24">Y6+($AM6-$S6)/(2050-2030)</f>
        <v>68.25</v>
      </c>
      <c r="AA6" s="89">
        <f t="shared" ref="AA6:AA7" si="25">Z6+($AM6-$S6)/(2050-2030)</f>
        <v>68</v>
      </c>
      <c r="AB6" s="89">
        <f t="shared" ref="AB6:AB7" si="26">AA6+($AM6-$S6)/(2050-2030)</f>
        <v>67.75</v>
      </c>
      <c r="AC6" s="89">
        <f t="shared" ref="AC6:AC7" si="27">AB6+($AM6-$S6)/(2050-2030)</f>
        <v>67.5</v>
      </c>
      <c r="AD6" s="89">
        <f t="shared" ref="AD6:AD7" si="28">AC6+($AM6-$S6)/(2050-2030)</f>
        <v>67.25</v>
      </c>
      <c r="AE6" s="89">
        <f t="shared" ref="AE6:AE7" si="29">AD6+($AM6-$S6)/(2050-2030)</f>
        <v>67</v>
      </c>
      <c r="AF6" s="89">
        <f t="shared" ref="AF6:AF7" si="30">AE6+($AM6-$S6)/(2050-2030)</f>
        <v>66.75</v>
      </c>
      <c r="AG6" s="89">
        <f t="shared" ref="AG6:AG7" si="31">AF6+($AM6-$S6)/(2050-2030)</f>
        <v>66.5</v>
      </c>
      <c r="AH6" s="89">
        <f t="shared" ref="AH6:AH7" si="32">AG6+($AM6-$S6)/(2050-2030)</f>
        <v>66.25</v>
      </c>
      <c r="AI6" s="89">
        <f t="shared" ref="AI6:AI7" si="33">AH6+($AM6-$S6)/(2050-2030)</f>
        <v>66</v>
      </c>
      <c r="AJ6" s="89">
        <f t="shared" ref="AJ6:AJ7" si="34">AI6+($AM6-$S6)/(2050-2030)</f>
        <v>65.75</v>
      </c>
      <c r="AK6" s="89">
        <f t="shared" ref="AK6:AK7" si="35">AJ6+($AM6-$S6)/(2050-2030)</f>
        <v>65.5</v>
      </c>
      <c r="AL6" s="89">
        <f t="shared" ref="AL6:AL7" si="36">AK6+($AM6-$S6)/(2050-2030)</f>
        <v>65.25</v>
      </c>
      <c r="AM6" s="88">
        <v>65</v>
      </c>
      <c r="AN6" s="59">
        <f>AP6*8/6.5</f>
        <v>1457.2307692307693</v>
      </c>
      <c r="AO6" s="59">
        <f>AP6*7/6.5</f>
        <v>1275.0769230769231</v>
      </c>
      <c r="AP6" s="59">
        <v>1184</v>
      </c>
      <c r="AQ6" s="9">
        <v>20</v>
      </c>
      <c r="AR6" s="59">
        <f>AP6/AQ6</f>
        <v>59.2</v>
      </c>
      <c r="AS6" s="59">
        <v>47</v>
      </c>
      <c r="AT6" s="9"/>
      <c r="AU6" s="10">
        <v>208292640.72203231</v>
      </c>
    </row>
    <row r="7" spans="1:47" outlineLevel="1" x14ac:dyDescent="0.25">
      <c r="A7" s="4" t="s">
        <v>9</v>
      </c>
      <c r="B7" s="87">
        <v>80</v>
      </c>
      <c r="C7" s="89">
        <f t="shared" si="0"/>
        <v>79.411764705882348</v>
      </c>
      <c r="D7" s="89">
        <f t="shared" si="4"/>
        <v>78.823529411764696</v>
      </c>
      <c r="E7" s="89">
        <f t="shared" si="5"/>
        <v>78.235294117647044</v>
      </c>
      <c r="F7" s="89">
        <f t="shared" si="6"/>
        <v>77.647058823529392</v>
      </c>
      <c r="G7" s="89">
        <f t="shared" si="7"/>
        <v>77.05882352941174</v>
      </c>
      <c r="H7" s="89">
        <f t="shared" si="8"/>
        <v>76.470588235294088</v>
      </c>
      <c r="I7" s="89">
        <f t="shared" si="9"/>
        <v>75.882352941176435</v>
      </c>
      <c r="J7" s="89">
        <f t="shared" si="10"/>
        <v>75.294117647058783</v>
      </c>
      <c r="K7" s="89">
        <f t="shared" si="11"/>
        <v>74.705882352941131</v>
      </c>
      <c r="L7" s="89">
        <f t="shared" si="12"/>
        <v>74.117647058823479</v>
      </c>
      <c r="M7" s="89">
        <f t="shared" si="13"/>
        <v>73.529411764705827</v>
      </c>
      <c r="N7" s="89">
        <f t="shared" si="14"/>
        <v>72.941176470588175</v>
      </c>
      <c r="O7" s="89">
        <f t="shared" si="15"/>
        <v>72.352941176470523</v>
      </c>
      <c r="P7" s="89">
        <f t="shared" si="16"/>
        <v>71.764705882352871</v>
      </c>
      <c r="Q7" s="89">
        <f t="shared" si="17"/>
        <v>71.176470588235219</v>
      </c>
      <c r="R7" s="89">
        <f t="shared" si="18"/>
        <v>70.588235294117567</v>
      </c>
      <c r="S7" s="87">
        <v>70</v>
      </c>
      <c r="T7" s="89">
        <f t="shared" si="2"/>
        <v>69.75</v>
      </c>
      <c r="U7" s="89">
        <f t="shared" si="19"/>
        <v>69.5</v>
      </c>
      <c r="V7" s="89">
        <f t="shared" si="20"/>
        <v>69.25</v>
      </c>
      <c r="W7" s="89">
        <f t="shared" si="21"/>
        <v>69</v>
      </c>
      <c r="X7" s="89">
        <f t="shared" si="22"/>
        <v>68.75</v>
      </c>
      <c r="Y7" s="89">
        <f t="shared" si="23"/>
        <v>68.5</v>
      </c>
      <c r="Z7" s="89">
        <f t="shared" si="24"/>
        <v>68.25</v>
      </c>
      <c r="AA7" s="89">
        <f t="shared" si="25"/>
        <v>68</v>
      </c>
      <c r="AB7" s="89">
        <f t="shared" si="26"/>
        <v>67.75</v>
      </c>
      <c r="AC7" s="89">
        <f t="shared" si="27"/>
        <v>67.5</v>
      </c>
      <c r="AD7" s="89">
        <f t="shared" si="28"/>
        <v>67.25</v>
      </c>
      <c r="AE7" s="89">
        <f t="shared" si="29"/>
        <v>67</v>
      </c>
      <c r="AF7" s="89">
        <f t="shared" si="30"/>
        <v>66.75</v>
      </c>
      <c r="AG7" s="89">
        <f t="shared" si="31"/>
        <v>66.5</v>
      </c>
      <c r="AH7" s="89">
        <f t="shared" si="32"/>
        <v>66.25</v>
      </c>
      <c r="AI7" s="89">
        <f t="shared" si="33"/>
        <v>66</v>
      </c>
      <c r="AJ7" s="89">
        <f t="shared" si="34"/>
        <v>65.75</v>
      </c>
      <c r="AK7" s="89">
        <f t="shared" si="35"/>
        <v>65.5</v>
      </c>
      <c r="AL7" s="89">
        <f t="shared" si="36"/>
        <v>65.25</v>
      </c>
      <c r="AM7" s="88">
        <v>65</v>
      </c>
      <c r="AN7" s="59">
        <f>AP7*8/6.5</f>
        <v>1879.3846153846155</v>
      </c>
      <c r="AO7" s="59">
        <f>AP7*7/6.5</f>
        <v>1644.4615384615386</v>
      </c>
      <c r="AP7" s="59">
        <v>1527</v>
      </c>
      <c r="AQ7" s="9">
        <v>20</v>
      </c>
      <c r="AR7" s="59">
        <f>AP7/AQ7</f>
        <v>76.349999999999994</v>
      </c>
      <c r="AS7" s="59">
        <v>61.1</v>
      </c>
      <c r="AT7" s="9"/>
      <c r="AU7" s="10">
        <v>52921510.708347961</v>
      </c>
    </row>
    <row r="8" spans="1:47" x14ac:dyDescent="0.25">
      <c r="A8" s="4" t="s">
        <v>176</v>
      </c>
      <c r="B8" s="87">
        <f>S8*SUM(B6:B7)/SUM(S6:S7)</f>
        <v>80</v>
      </c>
      <c r="C8" s="89">
        <f t="shared" si="0"/>
        <v>79.411764705882348</v>
      </c>
      <c r="D8" s="89">
        <f t="shared" ref="D8:R14" si="37">C8+($S8-$B8)/(2030-2013)</f>
        <v>78.823529411764696</v>
      </c>
      <c r="E8" s="89">
        <f t="shared" si="37"/>
        <v>78.235294117647044</v>
      </c>
      <c r="F8" s="89">
        <f t="shared" si="37"/>
        <v>77.647058823529392</v>
      </c>
      <c r="G8" s="89">
        <f t="shared" si="37"/>
        <v>77.05882352941174</v>
      </c>
      <c r="H8" s="89">
        <f t="shared" si="37"/>
        <v>76.470588235294088</v>
      </c>
      <c r="I8" s="89">
        <f t="shared" si="37"/>
        <v>75.882352941176435</v>
      </c>
      <c r="J8" s="89">
        <f t="shared" si="37"/>
        <v>75.294117647058783</v>
      </c>
      <c r="K8" s="89">
        <f t="shared" si="37"/>
        <v>74.705882352941131</v>
      </c>
      <c r="L8" s="89">
        <f t="shared" si="37"/>
        <v>74.117647058823479</v>
      </c>
      <c r="M8" s="89">
        <f t="shared" si="37"/>
        <v>73.529411764705827</v>
      </c>
      <c r="N8" s="89">
        <f t="shared" si="37"/>
        <v>72.941176470588175</v>
      </c>
      <c r="O8" s="89">
        <f t="shared" si="37"/>
        <v>72.352941176470523</v>
      </c>
      <c r="P8" s="89">
        <f t="shared" si="37"/>
        <v>71.764705882352871</v>
      </c>
      <c r="Q8" s="89">
        <f t="shared" si="37"/>
        <v>71.176470588235219</v>
      </c>
      <c r="R8" s="89">
        <f t="shared" si="37"/>
        <v>70.588235294117567</v>
      </c>
      <c r="S8" s="87">
        <f>AM8*SUM(S6:S7)/SUM(AM6:AM7)</f>
        <v>70</v>
      </c>
      <c r="T8" s="89">
        <f t="shared" si="2"/>
        <v>69.75</v>
      </c>
      <c r="U8" s="89">
        <f t="shared" ref="U8:AL14" si="38">T8+($AM8-$S8)/(2050-2030)</f>
        <v>69.5</v>
      </c>
      <c r="V8" s="89">
        <f t="shared" si="38"/>
        <v>69.25</v>
      </c>
      <c r="W8" s="89">
        <f t="shared" si="38"/>
        <v>69</v>
      </c>
      <c r="X8" s="89">
        <f t="shared" si="38"/>
        <v>68.75</v>
      </c>
      <c r="Y8" s="89">
        <f t="shared" si="38"/>
        <v>68.5</v>
      </c>
      <c r="Z8" s="89">
        <f t="shared" si="38"/>
        <v>68.25</v>
      </c>
      <c r="AA8" s="89">
        <f t="shared" si="38"/>
        <v>68</v>
      </c>
      <c r="AB8" s="89">
        <f t="shared" si="38"/>
        <v>67.75</v>
      </c>
      <c r="AC8" s="89">
        <f t="shared" si="38"/>
        <v>67.5</v>
      </c>
      <c r="AD8" s="89">
        <f t="shared" si="38"/>
        <v>67.25</v>
      </c>
      <c r="AE8" s="89">
        <f t="shared" si="38"/>
        <v>67</v>
      </c>
      <c r="AF8" s="89">
        <f t="shared" si="38"/>
        <v>66.75</v>
      </c>
      <c r="AG8" s="89">
        <f t="shared" si="38"/>
        <v>66.5</v>
      </c>
      <c r="AH8" s="89">
        <f t="shared" si="38"/>
        <v>66.25</v>
      </c>
      <c r="AI8" s="89">
        <f t="shared" si="38"/>
        <v>66</v>
      </c>
      <c r="AJ8" s="89">
        <f t="shared" si="38"/>
        <v>65.75</v>
      </c>
      <c r="AK8" s="89">
        <f t="shared" si="38"/>
        <v>65.5</v>
      </c>
      <c r="AL8" s="89">
        <f t="shared" si="38"/>
        <v>65.25</v>
      </c>
      <c r="AM8" s="88">
        <f>(Production!C9+Production!C10)/(Production!B9+Production!B10)*1000000</f>
        <v>65</v>
      </c>
      <c r="AN8" s="59"/>
      <c r="AO8" s="59"/>
      <c r="AP8" s="59"/>
      <c r="AQ8" s="9">
        <v>20</v>
      </c>
      <c r="AR8" s="59"/>
      <c r="AS8" s="59">
        <f>(AS6*1000*'Capacités installées'!B9+AS7*1000*'Capacités installées'!B10)/('Capacités installées'!B9*1000+'Capacités installées'!B10*1000)</f>
        <v>52.393080685713684</v>
      </c>
      <c r="AT8" s="9"/>
      <c r="AU8" s="10"/>
    </row>
    <row r="9" spans="1:47" outlineLevel="1" x14ac:dyDescent="0.25">
      <c r="A9" s="4" t="s">
        <v>10</v>
      </c>
      <c r="B9" s="87">
        <v>150</v>
      </c>
      <c r="C9" s="89">
        <f t="shared" si="0"/>
        <v>146.76470588235293</v>
      </c>
      <c r="D9" s="89">
        <f t="shared" si="37"/>
        <v>143.52941176470586</v>
      </c>
      <c r="E9" s="89">
        <f t="shared" si="37"/>
        <v>140.29411764705878</v>
      </c>
      <c r="F9" s="89">
        <f t="shared" si="37"/>
        <v>137.05882352941171</v>
      </c>
      <c r="G9" s="89">
        <f t="shared" si="37"/>
        <v>133.82352941176464</v>
      </c>
      <c r="H9" s="89">
        <f t="shared" si="37"/>
        <v>130.58823529411757</v>
      </c>
      <c r="I9" s="89">
        <f t="shared" si="37"/>
        <v>127.35294117647051</v>
      </c>
      <c r="J9" s="89">
        <f t="shared" si="37"/>
        <v>124.11764705882345</v>
      </c>
      <c r="K9" s="89">
        <f t="shared" si="37"/>
        <v>120.88235294117639</v>
      </c>
      <c r="L9" s="89">
        <f t="shared" si="37"/>
        <v>117.64705882352933</v>
      </c>
      <c r="M9" s="89">
        <f t="shared" si="37"/>
        <v>114.41176470588228</v>
      </c>
      <c r="N9" s="89">
        <f t="shared" si="37"/>
        <v>111.17647058823522</v>
      </c>
      <c r="O9" s="89">
        <f t="shared" si="37"/>
        <v>107.94117647058816</v>
      </c>
      <c r="P9" s="89">
        <f t="shared" si="37"/>
        <v>104.7058823529411</v>
      </c>
      <c r="Q9" s="89">
        <f t="shared" si="37"/>
        <v>101.47058823529404</v>
      </c>
      <c r="R9" s="89">
        <f t="shared" si="37"/>
        <v>98.235294117646987</v>
      </c>
      <c r="S9" s="87">
        <v>95</v>
      </c>
      <c r="T9" s="89">
        <f t="shared" si="2"/>
        <v>94.25</v>
      </c>
      <c r="U9" s="89">
        <f t="shared" si="38"/>
        <v>93.5</v>
      </c>
      <c r="V9" s="89">
        <f t="shared" si="38"/>
        <v>92.75</v>
      </c>
      <c r="W9" s="89">
        <f t="shared" si="38"/>
        <v>92</v>
      </c>
      <c r="X9" s="89">
        <f t="shared" si="38"/>
        <v>91.25</v>
      </c>
      <c r="Y9" s="89">
        <f t="shared" si="38"/>
        <v>90.5</v>
      </c>
      <c r="Z9" s="89">
        <f t="shared" si="38"/>
        <v>89.75</v>
      </c>
      <c r="AA9" s="89">
        <f t="shared" si="38"/>
        <v>89</v>
      </c>
      <c r="AB9" s="89">
        <f t="shared" si="38"/>
        <v>88.25</v>
      </c>
      <c r="AC9" s="89">
        <f t="shared" si="38"/>
        <v>87.5</v>
      </c>
      <c r="AD9" s="89">
        <f t="shared" si="38"/>
        <v>86.75</v>
      </c>
      <c r="AE9" s="89">
        <f t="shared" si="38"/>
        <v>86</v>
      </c>
      <c r="AF9" s="89">
        <f t="shared" si="38"/>
        <v>85.25</v>
      </c>
      <c r="AG9" s="89">
        <f t="shared" si="38"/>
        <v>84.5</v>
      </c>
      <c r="AH9" s="89">
        <f t="shared" si="38"/>
        <v>83.75</v>
      </c>
      <c r="AI9" s="89">
        <f t="shared" si="38"/>
        <v>83</v>
      </c>
      <c r="AJ9" s="89">
        <f t="shared" si="38"/>
        <v>82.25</v>
      </c>
      <c r="AK9" s="89">
        <f t="shared" si="38"/>
        <v>81.5</v>
      </c>
      <c r="AL9" s="89">
        <f t="shared" si="38"/>
        <v>80.75</v>
      </c>
      <c r="AM9" s="88">
        <v>80</v>
      </c>
      <c r="AN9" s="59">
        <f>AP9*15/8</f>
        <v>4479.375</v>
      </c>
      <c r="AO9" s="59">
        <f>AP9*9.5/8</f>
        <v>2836.9375</v>
      </c>
      <c r="AP9" s="59">
        <v>2389</v>
      </c>
      <c r="AQ9" s="9">
        <v>20</v>
      </c>
      <c r="AR9" s="59">
        <f>AP9/AQ9</f>
        <v>119.45</v>
      </c>
      <c r="AS9" s="59">
        <v>143</v>
      </c>
      <c r="AT9" s="9"/>
      <c r="AU9" s="10">
        <v>41876556.038815998</v>
      </c>
    </row>
    <row r="10" spans="1:47" outlineLevel="1" x14ac:dyDescent="0.25">
      <c r="A10" s="4" t="s">
        <v>11</v>
      </c>
      <c r="B10" s="87">
        <v>450</v>
      </c>
      <c r="C10" s="89">
        <f t="shared" si="0"/>
        <v>434.70588235294116</v>
      </c>
      <c r="D10" s="89">
        <f t="shared" si="37"/>
        <v>419.41176470588232</v>
      </c>
      <c r="E10" s="89">
        <f t="shared" si="37"/>
        <v>404.11764705882348</v>
      </c>
      <c r="F10" s="89">
        <f t="shared" si="37"/>
        <v>388.82352941176464</v>
      </c>
      <c r="G10" s="89">
        <f t="shared" si="37"/>
        <v>373.5294117647058</v>
      </c>
      <c r="H10" s="89">
        <f t="shared" si="37"/>
        <v>358.23529411764696</v>
      </c>
      <c r="I10" s="89">
        <f t="shared" si="37"/>
        <v>342.94117647058812</v>
      </c>
      <c r="J10" s="89">
        <f t="shared" si="37"/>
        <v>327.64705882352928</v>
      </c>
      <c r="K10" s="89">
        <f t="shared" si="37"/>
        <v>312.35294117647044</v>
      </c>
      <c r="L10" s="89">
        <f t="shared" si="37"/>
        <v>297.0588235294116</v>
      </c>
      <c r="M10" s="89">
        <f t="shared" si="37"/>
        <v>281.76470588235276</v>
      </c>
      <c r="N10" s="89">
        <f t="shared" si="37"/>
        <v>266.47058823529392</v>
      </c>
      <c r="O10" s="89">
        <f t="shared" si="37"/>
        <v>251.17647058823511</v>
      </c>
      <c r="P10" s="89">
        <f t="shared" si="37"/>
        <v>235.88235294117629</v>
      </c>
      <c r="Q10" s="89">
        <f t="shared" si="37"/>
        <v>220.58823529411748</v>
      </c>
      <c r="R10" s="89">
        <f t="shared" si="37"/>
        <v>205.29411764705867</v>
      </c>
      <c r="S10" s="87">
        <v>190</v>
      </c>
      <c r="T10" s="89">
        <f t="shared" si="2"/>
        <v>186</v>
      </c>
      <c r="U10" s="89">
        <f t="shared" si="38"/>
        <v>182</v>
      </c>
      <c r="V10" s="89">
        <f t="shared" si="38"/>
        <v>178</v>
      </c>
      <c r="W10" s="89">
        <f t="shared" si="38"/>
        <v>174</v>
      </c>
      <c r="X10" s="89">
        <f t="shared" si="38"/>
        <v>170</v>
      </c>
      <c r="Y10" s="89">
        <f t="shared" si="38"/>
        <v>166</v>
      </c>
      <c r="Z10" s="89">
        <f t="shared" si="38"/>
        <v>162</v>
      </c>
      <c r="AA10" s="89">
        <f t="shared" si="38"/>
        <v>158</v>
      </c>
      <c r="AB10" s="89">
        <f t="shared" si="38"/>
        <v>154</v>
      </c>
      <c r="AC10" s="89">
        <f t="shared" si="38"/>
        <v>150</v>
      </c>
      <c r="AD10" s="89">
        <f t="shared" si="38"/>
        <v>146</v>
      </c>
      <c r="AE10" s="89">
        <f t="shared" si="38"/>
        <v>142</v>
      </c>
      <c r="AF10" s="89">
        <f t="shared" si="38"/>
        <v>138</v>
      </c>
      <c r="AG10" s="89">
        <f t="shared" si="38"/>
        <v>134</v>
      </c>
      <c r="AH10" s="89">
        <f t="shared" si="38"/>
        <v>130</v>
      </c>
      <c r="AI10" s="89">
        <f t="shared" si="38"/>
        <v>126</v>
      </c>
      <c r="AJ10" s="89">
        <f t="shared" si="38"/>
        <v>122</v>
      </c>
      <c r="AK10" s="89">
        <f t="shared" si="38"/>
        <v>118</v>
      </c>
      <c r="AL10" s="89">
        <f t="shared" si="38"/>
        <v>114</v>
      </c>
      <c r="AM10" s="88">
        <v>110</v>
      </c>
      <c r="AN10" s="59">
        <f>AP10*45/AM10</f>
        <v>1111.090909090909</v>
      </c>
      <c r="AO10" s="59">
        <f>AP10*19/AM10</f>
        <v>469.12727272727273</v>
      </c>
      <c r="AP10" s="59">
        <v>2716</v>
      </c>
      <c r="AQ10" s="9">
        <v>20</v>
      </c>
      <c r="AR10" s="59">
        <f>AP10/AQ10</f>
        <v>135.80000000000001</v>
      </c>
      <c r="AS10" s="59">
        <v>272</v>
      </c>
      <c r="AT10" s="9"/>
      <c r="AU10" s="10">
        <v>0</v>
      </c>
    </row>
    <row r="11" spans="1:47" x14ac:dyDescent="0.25">
      <c r="A11" s="4" t="s">
        <v>178</v>
      </c>
      <c r="B11" s="87">
        <f>S11*(B9+B10*0)/(S9+S10*0)</f>
        <v>172.0735623748258</v>
      </c>
      <c r="C11" s="89">
        <f t="shared" si="0"/>
        <v>168.36217181380013</v>
      </c>
      <c r="D11" s="89">
        <f t="shared" si="37"/>
        <v>164.65078125277446</v>
      </c>
      <c r="E11" s="89">
        <f t="shared" si="37"/>
        <v>160.9393906917488</v>
      </c>
      <c r="F11" s="89">
        <f t="shared" si="37"/>
        <v>157.22800013072313</v>
      </c>
      <c r="G11" s="89">
        <f t="shared" si="37"/>
        <v>153.51660956969747</v>
      </c>
      <c r="H11" s="89">
        <f t="shared" si="37"/>
        <v>149.8052190086718</v>
      </c>
      <c r="I11" s="89">
        <f t="shared" si="37"/>
        <v>146.09382844764613</v>
      </c>
      <c r="J11" s="89">
        <f t="shared" si="37"/>
        <v>142.38243788662047</v>
      </c>
      <c r="K11" s="89">
        <f t="shared" si="37"/>
        <v>138.6710473255948</v>
      </c>
      <c r="L11" s="89">
        <f t="shared" si="37"/>
        <v>134.95965676456913</v>
      </c>
      <c r="M11" s="89">
        <f t="shared" si="37"/>
        <v>131.24826620354347</v>
      </c>
      <c r="N11" s="89">
        <f t="shared" si="37"/>
        <v>127.53687564251781</v>
      </c>
      <c r="O11" s="89">
        <f t="shared" si="37"/>
        <v>123.82548508149216</v>
      </c>
      <c r="P11" s="89">
        <f t="shared" si="37"/>
        <v>120.11409452046651</v>
      </c>
      <c r="Q11" s="89">
        <f t="shared" si="37"/>
        <v>116.40270395944086</v>
      </c>
      <c r="R11" s="89">
        <f t="shared" si="37"/>
        <v>112.6913133984152</v>
      </c>
      <c r="S11" s="87">
        <f>AM11*(S9+S10*0)/(AM9+AM10*0)</f>
        <v>108.97992283738968</v>
      </c>
      <c r="T11" s="89">
        <f t="shared" si="2"/>
        <v>108.11955502551555</v>
      </c>
      <c r="U11" s="89">
        <f t="shared" si="38"/>
        <v>107.25918721364143</v>
      </c>
      <c r="V11" s="89">
        <f t="shared" si="38"/>
        <v>106.3988194017673</v>
      </c>
      <c r="W11" s="89">
        <f t="shared" si="38"/>
        <v>105.53845158989317</v>
      </c>
      <c r="X11" s="89">
        <f t="shared" si="38"/>
        <v>104.67808377801904</v>
      </c>
      <c r="Y11" s="89">
        <f t="shared" si="38"/>
        <v>103.81771596614492</v>
      </c>
      <c r="Z11" s="89">
        <f t="shared" si="38"/>
        <v>102.95734815427079</v>
      </c>
      <c r="AA11" s="89">
        <f t="shared" si="38"/>
        <v>102.09698034239666</v>
      </c>
      <c r="AB11" s="89">
        <f t="shared" si="38"/>
        <v>101.23661253052254</v>
      </c>
      <c r="AC11" s="89">
        <f t="shared" si="38"/>
        <v>100.37624471864841</v>
      </c>
      <c r="AD11" s="89">
        <f t="shared" si="38"/>
        <v>99.515876906774281</v>
      </c>
      <c r="AE11" s="89">
        <f t="shared" si="38"/>
        <v>98.655509094900154</v>
      </c>
      <c r="AF11" s="89">
        <f t="shared" si="38"/>
        <v>97.795141283026027</v>
      </c>
      <c r="AG11" s="89">
        <f t="shared" si="38"/>
        <v>96.9347734711519</v>
      </c>
      <c r="AH11" s="89">
        <f t="shared" si="38"/>
        <v>96.074405659277772</v>
      </c>
      <c r="AI11" s="89">
        <f t="shared" si="38"/>
        <v>95.214037847403645</v>
      </c>
      <c r="AJ11" s="89">
        <f t="shared" si="38"/>
        <v>94.353670035529518</v>
      </c>
      <c r="AK11" s="89">
        <f t="shared" si="38"/>
        <v>93.493302223655391</v>
      </c>
      <c r="AL11" s="89">
        <f t="shared" si="38"/>
        <v>92.632934411781264</v>
      </c>
      <c r="AM11" s="88">
        <f>(Production!C11+Production!C20)/(Production!B11+Production!B20)*1000000</f>
        <v>91.772566599907094</v>
      </c>
      <c r="AN11" s="59"/>
      <c r="AO11" s="59"/>
      <c r="AP11" s="59"/>
      <c r="AQ11" s="9">
        <v>20</v>
      </c>
      <c r="AR11" s="59"/>
      <c r="AS11" s="59">
        <f>(AS9*'Capacités installées'!B11+'Capacités installées'!B20*LCOE!AS10)/('Capacités installées'!B11+'Capacités installées'!B20)</f>
        <v>191.92861907072543</v>
      </c>
      <c r="AT11" s="9"/>
      <c r="AU11" s="10"/>
    </row>
    <row r="12" spans="1:47" ht="15" customHeight="1" outlineLevel="1" x14ac:dyDescent="0.25">
      <c r="A12" s="4" t="s">
        <v>12</v>
      </c>
      <c r="B12" s="87">
        <v>160</v>
      </c>
      <c r="C12" s="89">
        <f t="shared" si="0"/>
        <v>156.47058823529412</v>
      </c>
      <c r="D12" s="89">
        <f t="shared" si="37"/>
        <v>152.94117647058823</v>
      </c>
      <c r="E12" s="89">
        <f t="shared" si="37"/>
        <v>149.41176470588235</v>
      </c>
      <c r="F12" s="89">
        <f t="shared" si="37"/>
        <v>145.88235294117646</v>
      </c>
      <c r="G12" s="89">
        <f t="shared" si="37"/>
        <v>142.35294117647058</v>
      </c>
      <c r="H12" s="89">
        <f t="shared" si="37"/>
        <v>138.8235294117647</v>
      </c>
      <c r="I12" s="89">
        <f t="shared" si="37"/>
        <v>135.29411764705881</v>
      </c>
      <c r="J12" s="89">
        <f t="shared" si="37"/>
        <v>131.76470588235293</v>
      </c>
      <c r="K12" s="89">
        <f t="shared" si="37"/>
        <v>128.23529411764704</v>
      </c>
      <c r="L12" s="89">
        <f t="shared" si="37"/>
        <v>124.70588235294116</v>
      </c>
      <c r="M12" s="89">
        <f t="shared" si="37"/>
        <v>121.17647058823528</v>
      </c>
      <c r="N12" s="89">
        <f t="shared" si="37"/>
        <v>117.64705882352939</v>
      </c>
      <c r="O12" s="89">
        <f t="shared" si="37"/>
        <v>114.11764705882351</v>
      </c>
      <c r="P12" s="89">
        <f t="shared" si="37"/>
        <v>110.58823529411762</v>
      </c>
      <c r="Q12" s="89">
        <f t="shared" si="37"/>
        <v>107.05882352941174</v>
      </c>
      <c r="R12" s="89">
        <f t="shared" si="37"/>
        <v>103.52941176470586</v>
      </c>
      <c r="S12" s="87">
        <v>100</v>
      </c>
      <c r="T12" s="89">
        <f t="shared" si="2"/>
        <v>98</v>
      </c>
      <c r="U12" s="89">
        <f t="shared" si="38"/>
        <v>96</v>
      </c>
      <c r="V12" s="89">
        <f t="shared" si="38"/>
        <v>94</v>
      </c>
      <c r="W12" s="89">
        <f t="shared" si="38"/>
        <v>92</v>
      </c>
      <c r="X12" s="89">
        <f t="shared" si="38"/>
        <v>90</v>
      </c>
      <c r="Y12" s="89">
        <f t="shared" si="38"/>
        <v>88</v>
      </c>
      <c r="Z12" s="89">
        <f t="shared" si="38"/>
        <v>86</v>
      </c>
      <c r="AA12" s="89">
        <f t="shared" si="38"/>
        <v>84</v>
      </c>
      <c r="AB12" s="89">
        <f t="shared" si="38"/>
        <v>82</v>
      </c>
      <c r="AC12" s="89">
        <f t="shared" si="38"/>
        <v>80</v>
      </c>
      <c r="AD12" s="89">
        <f t="shared" si="38"/>
        <v>78</v>
      </c>
      <c r="AE12" s="89">
        <f t="shared" si="38"/>
        <v>76</v>
      </c>
      <c r="AF12" s="89">
        <f t="shared" si="38"/>
        <v>74</v>
      </c>
      <c r="AG12" s="89">
        <f t="shared" si="38"/>
        <v>72</v>
      </c>
      <c r="AH12" s="89">
        <f t="shared" si="38"/>
        <v>70</v>
      </c>
      <c r="AI12" s="89">
        <f t="shared" si="38"/>
        <v>68</v>
      </c>
      <c r="AJ12" s="89">
        <f t="shared" si="38"/>
        <v>66</v>
      </c>
      <c r="AK12" s="89">
        <f t="shared" si="38"/>
        <v>64</v>
      </c>
      <c r="AL12" s="89">
        <f t="shared" si="38"/>
        <v>62</v>
      </c>
      <c r="AM12" s="88">
        <v>60</v>
      </c>
      <c r="AN12" s="59">
        <f>AP12*14/AM12</f>
        <v>238</v>
      </c>
      <c r="AO12" s="59">
        <f>AP12*10/AM12</f>
        <v>170</v>
      </c>
      <c r="AP12" s="59">
        <v>1020</v>
      </c>
      <c r="AQ12" s="9">
        <v>25</v>
      </c>
      <c r="AR12" s="59">
        <f>AP12/AQ12</f>
        <v>40.799999999999997</v>
      </c>
      <c r="AS12" s="59">
        <v>24</v>
      </c>
      <c r="AT12" s="9"/>
      <c r="AU12" s="10">
        <v>51437469.83673761</v>
      </c>
    </row>
    <row r="13" spans="1:47" ht="15" customHeight="1" outlineLevel="1" x14ac:dyDescent="0.25">
      <c r="A13" s="4" t="s">
        <v>13</v>
      </c>
      <c r="B13" s="87">
        <v>220</v>
      </c>
      <c r="C13" s="89">
        <f t="shared" si="0"/>
        <v>215.58823529411765</v>
      </c>
      <c r="D13" s="89">
        <f t="shared" si="37"/>
        <v>211.1764705882353</v>
      </c>
      <c r="E13" s="89">
        <f t="shared" si="37"/>
        <v>206.76470588235296</v>
      </c>
      <c r="F13" s="89">
        <f t="shared" si="37"/>
        <v>202.35294117647061</v>
      </c>
      <c r="G13" s="89">
        <f t="shared" si="37"/>
        <v>197.94117647058826</v>
      </c>
      <c r="H13" s="89">
        <f t="shared" si="37"/>
        <v>193.52941176470591</v>
      </c>
      <c r="I13" s="89">
        <f t="shared" si="37"/>
        <v>189.11764705882356</v>
      </c>
      <c r="J13" s="89">
        <f t="shared" si="37"/>
        <v>184.70588235294122</v>
      </c>
      <c r="K13" s="89">
        <f t="shared" si="37"/>
        <v>180.29411764705887</v>
      </c>
      <c r="L13" s="89">
        <f t="shared" si="37"/>
        <v>175.88235294117652</v>
      </c>
      <c r="M13" s="89">
        <f t="shared" si="37"/>
        <v>171.47058823529417</v>
      </c>
      <c r="N13" s="89">
        <f t="shared" si="37"/>
        <v>167.05882352941182</v>
      </c>
      <c r="O13" s="89">
        <f t="shared" si="37"/>
        <v>162.64705882352948</v>
      </c>
      <c r="P13" s="89">
        <f t="shared" si="37"/>
        <v>158.23529411764713</v>
      </c>
      <c r="Q13" s="89">
        <f t="shared" si="37"/>
        <v>153.82352941176478</v>
      </c>
      <c r="R13" s="89">
        <f t="shared" si="37"/>
        <v>149.41176470588243</v>
      </c>
      <c r="S13" s="87">
        <v>145</v>
      </c>
      <c r="T13" s="89">
        <f t="shared" si="2"/>
        <v>142</v>
      </c>
      <c r="U13" s="89">
        <f t="shared" si="38"/>
        <v>139</v>
      </c>
      <c r="V13" s="89">
        <f t="shared" si="38"/>
        <v>136</v>
      </c>
      <c r="W13" s="89">
        <f t="shared" si="38"/>
        <v>133</v>
      </c>
      <c r="X13" s="89">
        <f t="shared" si="38"/>
        <v>130</v>
      </c>
      <c r="Y13" s="89">
        <f t="shared" si="38"/>
        <v>127</v>
      </c>
      <c r="Z13" s="89">
        <f t="shared" si="38"/>
        <v>124</v>
      </c>
      <c r="AA13" s="89">
        <f t="shared" si="38"/>
        <v>121</v>
      </c>
      <c r="AB13" s="89">
        <f t="shared" si="38"/>
        <v>118</v>
      </c>
      <c r="AC13" s="89">
        <f t="shared" si="38"/>
        <v>115</v>
      </c>
      <c r="AD13" s="89">
        <f t="shared" si="38"/>
        <v>112</v>
      </c>
      <c r="AE13" s="89">
        <f t="shared" si="38"/>
        <v>109</v>
      </c>
      <c r="AF13" s="89">
        <f t="shared" si="38"/>
        <v>106</v>
      </c>
      <c r="AG13" s="89">
        <f t="shared" si="38"/>
        <v>103</v>
      </c>
      <c r="AH13" s="89">
        <f t="shared" si="38"/>
        <v>100</v>
      </c>
      <c r="AI13" s="89">
        <f t="shared" si="38"/>
        <v>97</v>
      </c>
      <c r="AJ13" s="89">
        <f t="shared" si="38"/>
        <v>94</v>
      </c>
      <c r="AK13" s="89">
        <f t="shared" si="38"/>
        <v>91</v>
      </c>
      <c r="AL13" s="89">
        <f t="shared" si="38"/>
        <v>88</v>
      </c>
      <c r="AM13" s="88">
        <v>85</v>
      </c>
      <c r="AN13" s="59">
        <f>AP13*18/AM13</f>
        <v>257.08235294117645</v>
      </c>
      <c r="AO13" s="59">
        <f>AP13*14/AM13</f>
        <v>199.95294117647057</v>
      </c>
      <c r="AP13" s="59">
        <v>1214</v>
      </c>
      <c r="AQ13" s="9">
        <v>25</v>
      </c>
      <c r="AR13" s="59">
        <f>AP13/AQ13</f>
        <v>48.56</v>
      </c>
      <c r="AS13" s="59">
        <v>12</v>
      </c>
      <c r="AT13" s="9"/>
      <c r="AU13" s="10">
        <v>30150719.921033908</v>
      </c>
    </row>
    <row r="14" spans="1:47" ht="15" customHeight="1" outlineLevel="1" x14ac:dyDescent="0.25">
      <c r="A14" s="4" t="s">
        <v>14</v>
      </c>
      <c r="B14" s="87">
        <v>500</v>
      </c>
      <c r="C14" s="89">
        <f t="shared" si="0"/>
        <v>491.1764705882353</v>
      </c>
      <c r="D14" s="89">
        <f t="shared" si="37"/>
        <v>482.35294117647061</v>
      </c>
      <c r="E14" s="89">
        <f t="shared" si="37"/>
        <v>473.52941176470591</v>
      </c>
      <c r="F14" s="89">
        <f t="shared" si="37"/>
        <v>464.70588235294122</v>
      </c>
      <c r="G14" s="89">
        <f t="shared" si="37"/>
        <v>455.88235294117652</v>
      </c>
      <c r="H14" s="89">
        <f t="shared" si="37"/>
        <v>447.05882352941182</v>
      </c>
      <c r="I14" s="89">
        <f t="shared" si="37"/>
        <v>438.23529411764713</v>
      </c>
      <c r="J14" s="89">
        <f t="shared" si="37"/>
        <v>429.41176470588243</v>
      </c>
      <c r="K14" s="89">
        <f t="shared" si="37"/>
        <v>420.58823529411774</v>
      </c>
      <c r="L14" s="89">
        <f t="shared" si="37"/>
        <v>411.76470588235304</v>
      </c>
      <c r="M14" s="89">
        <f t="shared" si="37"/>
        <v>402.94117647058835</v>
      </c>
      <c r="N14" s="89">
        <f t="shared" si="37"/>
        <v>394.11764705882365</v>
      </c>
      <c r="O14" s="89">
        <f t="shared" si="37"/>
        <v>385.29411764705895</v>
      </c>
      <c r="P14" s="89">
        <f t="shared" si="37"/>
        <v>376.47058823529426</v>
      </c>
      <c r="Q14" s="89">
        <f t="shared" si="37"/>
        <v>367.64705882352956</v>
      </c>
      <c r="R14" s="89">
        <f t="shared" si="37"/>
        <v>358.82352941176487</v>
      </c>
      <c r="S14" s="87">
        <v>350</v>
      </c>
      <c r="T14" s="89">
        <f t="shared" si="2"/>
        <v>347.5</v>
      </c>
      <c r="U14" s="89">
        <f t="shared" si="38"/>
        <v>345</v>
      </c>
      <c r="V14" s="89">
        <f t="shared" si="38"/>
        <v>342.5</v>
      </c>
      <c r="W14" s="89">
        <f t="shared" si="38"/>
        <v>340</v>
      </c>
      <c r="X14" s="89">
        <f t="shared" si="38"/>
        <v>337.5</v>
      </c>
      <c r="Y14" s="89">
        <f t="shared" si="38"/>
        <v>335</v>
      </c>
      <c r="Z14" s="89">
        <f t="shared" si="38"/>
        <v>332.5</v>
      </c>
      <c r="AA14" s="89">
        <f t="shared" si="38"/>
        <v>330</v>
      </c>
      <c r="AB14" s="89">
        <f t="shared" si="38"/>
        <v>327.5</v>
      </c>
      <c r="AC14" s="89">
        <f t="shared" si="38"/>
        <v>325</v>
      </c>
      <c r="AD14" s="89">
        <f t="shared" si="38"/>
        <v>322.5</v>
      </c>
      <c r="AE14" s="89">
        <f t="shared" si="38"/>
        <v>320</v>
      </c>
      <c r="AF14" s="89">
        <f t="shared" si="38"/>
        <v>317.5</v>
      </c>
      <c r="AG14" s="89">
        <f t="shared" si="38"/>
        <v>315</v>
      </c>
      <c r="AH14" s="89">
        <f t="shared" si="38"/>
        <v>312.5</v>
      </c>
      <c r="AI14" s="89">
        <f t="shared" si="38"/>
        <v>310</v>
      </c>
      <c r="AJ14" s="89">
        <f t="shared" si="38"/>
        <v>307.5</v>
      </c>
      <c r="AK14" s="89">
        <f t="shared" si="38"/>
        <v>305</v>
      </c>
      <c r="AL14" s="89">
        <f t="shared" si="38"/>
        <v>302.5</v>
      </c>
      <c r="AM14" s="88">
        <v>300</v>
      </c>
      <c r="AN14" s="59">
        <v>4800</v>
      </c>
      <c r="AO14" s="59">
        <v>3400</v>
      </c>
      <c r="AP14" s="59">
        <v>3131</v>
      </c>
      <c r="AQ14" s="9">
        <v>30</v>
      </c>
      <c r="AR14" s="59">
        <f>AP14/AQ14</f>
        <v>104.36666666666666</v>
      </c>
      <c r="AS14" s="59">
        <v>161</v>
      </c>
      <c r="AT14" s="9"/>
      <c r="AU14" s="10">
        <v>496821.65887754317</v>
      </c>
    </row>
    <row r="15" spans="1:47" x14ac:dyDescent="0.25">
      <c r="A15" s="4" t="s">
        <v>24</v>
      </c>
      <c r="B15" s="90">
        <f>B12*C36+B13*C37</f>
        <v>179.46998377501353</v>
      </c>
      <c r="C15" s="89">
        <f t="shared" si="0"/>
        <v>176.21624830472572</v>
      </c>
      <c r="D15" s="89">
        <f t="shared" ref="D15:R19" si="39">C15+($S15-$B15)/(2030-2013)</f>
        <v>172.96251283443792</v>
      </c>
      <c r="E15" s="89">
        <f t="shared" si="39"/>
        <v>169.70877736415011</v>
      </c>
      <c r="F15" s="89">
        <f t="shared" si="39"/>
        <v>166.4550418938623</v>
      </c>
      <c r="G15" s="89">
        <f t="shared" si="39"/>
        <v>163.20130642357449</v>
      </c>
      <c r="H15" s="89">
        <f t="shared" si="39"/>
        <v>159.94757095328669</v>
      </c>
      <c r="I15" s="89">
        <f t="shared" si="39"/>
        <v>156.69383548299888</v>
      </c>
      <c r="J15" s="89">
        <f t="shared" si="39"/>
        <v>153.44010001271107</v>
      </c>
      <c r="K15" s="89">
        <f t="shared" si="39"/>
        <v>150.18636454242326</v>
      </c>
      <c r="L15" s="89">
        <f t="shared" si="39"/>
        <v>146.93262907213546</v>
      </c>
      <c r="M15" s="89">
        <f t="shared" si="39"/>
        <v>143.67889360184765</v>
      </c>
      <c r="N15" s="89">
        <f t="shared" si="39"/>
        <v>140.42515813155984</v>
      </c>
      <c r="O15" s="89">
        <f t="shared" si="39"/>
        <v>137.17142266127203</v>
      </c>
      <c r="P15" s="89">
        <f t="shared" si="39"/>
        <v>133.91768719098422</v>
      </c>
      <c r="Q15" s="89">
        <f t="shared" si="39"/>
        <v>130.66395172069642</v>
      </c>
      <c r="R15" s="89">
        <f t="shared" si="39"/>
        <v>127.41021625040862</v>
      </c>
      <c r="S15" s="90">
        <f>S14*E38+S13*E37+S12*E36</f>
        <v>124.15648078012097</v>
      </c>
      <c r="T15" s="89">
        <f t="shared" si="2"/>
        <v>121.90584978838135</v>
      </c>
      <c r="U15" s="89">
        <f t="shared" ref="U15:AL19" si="40">T15+($AM15-$S15)/(2050-2030)</f>
        <v>119.65521879664172</v>
      </c>
      <c r="V15" s="89">
        <f t="shared" si="40"/>
        <v>117.40458780490209</v>
      </c>
      <c r="W15" s="89">
        <f t="shared" si="40"/>
        <v>115.15395681316247</v>
      </c>
      <c r="X15" s="89">
        <f t="shared" si="40"/>
        <v>112.90332582142284</v>
      </c>
      <c r="Y15" s="89">
        <f t="shared" si="40"/>
        <v>110.65269482968321</v>
      </c>
      <c r="Z15" s="89">
        <f t="shared" si="40"/>
        <v>108.40206383794359</v>
      </c>
      <c r="AA15" s="89">
        <f t="shared" si="40"/>
        <v>106.15143284620396</v>
      </c>
      <c r="AB15" s="89">
        <f t="shared" si="40"/>
        <v>103.90080185446433</v>
      </c>
      <c r="AC15" s="89">
        <f t="shared" si="40"/>
        <v>101.65017086272471</v>
      </c>
      <c r="AD15" s="89">
        <f t="shared" si="40"/>
        <v>99.39953987098508</v>
      </c>
      <c r="AE15" s="89">
        <f t="shared" si="40"/>
        <v>97.148908879245454</v>
      </c>
      <c r="AF15" s="89">
        <f t="shared" si="40"/>
        <v>94.898277887505827</v>
      </c>
      <c r="AG15" s="89">
        <f t="shared" si="40"/>
        <v>92.647646895766201</v>
      </c>
      <c r="AH15" s="89">
        <f t="shared" si="40"/>
        <v>90.397015904026574</v>
      </c>
      <c r="AI15" s="89">
        <f t="shared" si="40"/>
        <v>88.146384912286948</v>
      </c>
      <c r="AJ15" s="89">
        <f t="shared" si="40"/>
        <v>85.895753920547321</v>
      </c>
      <c r="AK15" s="89">
        <f t="shared" si="40"/>
        <v>83.645122928807695</v>
      </c>
      <c r="AL15" s="89">
        <f t="shared" si="40"/>
        <v>81.394491937068068</v>
      </c>
      <c r="AM15" s="88">
        <f>SUM(Production!C7:C8,Production!C21)/SUM(Production!B7:B8,Production!B21)*1000000</f>
        <v>79.143860945328399</v>
      </c>
      <c r="AN15" s="59"/>
      <c r="AO15" s="59"/>
      <c r="AP15" s="59"/>
      <c r="AQ15" s="9">
        <v>25</v>
      </c>
      <c r="AR15" s="59"/>
      <c r="AS15" s="59">
        <f>AS12*G36+G37*AS13+AS14*G38</f>
        <v>15.848120594000953</v>
      </c>
      <c r="AT15" s="9"/>
      <c r="AU15" s="10">
        <f>SUM(AU12:AU14)</f>
        <v>82085011.416649058</v>
      </c>
    </row>
    <row r="16" spans="1:47" x14ac:dyDescent="0.25">
      <c r="A16" s="4" t="s">
        <v>15</v>
      </c>
      <c r="B16" s="90">
        <f>160*4038/3211</f>
        <v>201.20834630956088</v>
      </c>
      <c r="C16" s="89">
        <f t="shared" si="0"/>
        <v>198.78432593841023</v>
      </c>
      <c r="D16" s="89">
        <f t="shared" si="39"/>
        <v>196.36030556725959</v>
      </c>
      <c r="E16" s="89">
        <f t="shared" si="39"/>
        <v>193.93628519610894</v>
      </c>
      <c r="F16" s="89">
        <f t="shared" si="39"/>
        <v>191.51226482495829</v>
      </c>
      <c r="G16" s="89">
        <f t="shared" si="39"/>
        <v>189.08824445380765</v>
      </c>
      <c r="H16" s="89">
        <f t="shared" si="39"/>
        <v>186.664224082657</v>
      </c>
      <c r="I16" s="89">
        <f t="shared" si="39"/>
        <v>184.24020371150635</v>
      </c>
      <c r="J16" s="89">
        <f t="shared" si="39"/>
        <v>181.81618334035571</v>
      </c>
      <c r="K16" s="89">
        <f t="shared" si="39"/>
        <v>179.39216296920506</v>
      </c>
      <c r="L16" s="89">
        <f t="shared" si="39"/>
        <v>176.96814259805441</v>
      </c>
      <c r="M16" s="89">
        <f t="shared" si="39"/>
        <v>174.54412222690377</v>
      </c>
      <c r="N16" s="89">
        <f t="shared" si="39"/>
        <v>172.12010185575312</v>
      </c>
      <c r="O16" s="89">
        <f t="shared" si="39"/>
        <v>169.69608148460247</v>
      </c>
      <c r="P16" s="89">
        <f t="shared" si="39"/>
        <v>167.27206111345183</v>
      </c>
      <c r="Q16" s="89">
        <f t="shared" si="39"/>
        <v>164.84804074230118</v>
      </c>
      <c r="R16" s="89">
        <f t="shared" si="39"/>
        <v>162.42402037115053</v>
      </c>
      <c r="S16" s="87">
        <v>160</v>
      </c>
      <c r="T16" s="89">
        <f t="shared" si="2"/>
        <v>160</v>
      </c>
      <c r="U16" s="89">
        <f t="shared" si="40"/>
        <v>160</v>
      </c>
      <c r="V16" s="89">
        <f t="shared" si="40"/>
        <v>160</v>
      </c>
      <c r="W16" s="89">
        <f t="shared" si="40"/>
        <v>160</v>
      </c>
      <c r="X16" s="89">
        <f t="shared" si="40"/>
        <v>160</v>
      </c>
      <c r="Y16" s="89">
        <f t="shared" si="40"/>
        <v>160</v>
      </c>
      <c r="Z16" s="89">
        <f t="shared" si="40"/>
        <v>160</v>
      </c>
      <c r="AA16" s="89">
        <f t="shared" si="40"/>
        <v>160</v>
      </c>
      <c r="AB16" s="89">
        <f t="shared" si="40"/>
        <v>160</v>
      </c>
      <c r="AC16" s="89">
        <f t="shared" si="40"/>
        <v>160</v>
      </c>
      <c r="AD16" s="89">
        <f t="shared" si="40"/>
        <v>160</v>
      </c>
      <c r="AE16" s="89">
        <f t="shared" si="40"/>
        <v>160</v>
      </c>
      <c r="AF16" s="89">
        <f t="shared" si="40"/>
        <v>160</v>
      </c>
      <c r="AG16" s="89">
        <f t="shared" si="40"/>
        <v>160</v>
      </c>
      <c r="AH16" s="89">
        <f t="shared" si="40"/>
        <v>160</v>
      </c>
      <c r="AI16" s="89">
        <f t="shared" si="40"/>
        <v>160</v>
      </c>
      <c r="AJ16" s="89">
        <f t="shared" si="40"/>
        <v>160</v>
      </c>
      <c r="AK16" s="89">
        <f t="shared" si="40"/>
        <v>160</v>
      </c>
      <c r="AL16" s="89">
        <f t="shared" si="40"/>
        <v>160</v>
      </c>
      <c r="AM16" s="88">
        <v>160</v>
      </c>
      <c r="AN16" s="59">
        <v>4238</v>
      </c>
      <c r="AO16" s="59">
        <f>AP16*16/AM16</f>
        <v>343.1</v>
      </c>
      <c r="AP16" s="59">
        <v>3431</v>
      </c>
      <c r="AQ16" s="9">
        <v>30</v>
      </c>
      <c r="AR16" s="59">
        <f>AP16/AQ16</f>
        <v>114.36666666666666</v>
      </c>
      <c r="AS16" s="59">
        <v>130</v>
      </c>
      <c r="AT16" s="9"/>
      <c r="AU16" s="10">
        <v>483899.25542237441</v>
      </c>
    </row>
    <row r="17" spans="1:47" x14ac:dyDescent="0.25">
      <c r="A17" s="4" t="s">
        <v>248</v>
      </c>
      <c r="B17" s="90">
        <v>300</v>
      </c>
      <c r="C17" s="89">
        <f t="shared" si="0"/>
        <v>294.11764705882354</v>
      </c>
      <c r="D17" s="89">
        <f t="shared" si="39"/>
        <v>288.23529411764707</v>
      </c>
      <c r="E17" s="89">
        <f t="shared" si="39"/>
        <v>282.35294117647061</v>
      </c>
      <c r="F17" s="89">
        <f t="shared" si="39"/>
        <v>276.47058823529414</v>
      </c>
      <c r="G17" s="89">
        <f t="shared" si="39"/>
        <v>270.58823529411768</v>
      </c>
      <c r="H17" s="89">
        <f t="shared" si="39"/>
        <v>264.70588235294122</v>
      </c>
      <c r="I17" s="89">
        <f t="shared" si="39"/>
        <v>258.82352941176475</v>
      </c>
      <c r="J17" s="89">
        <f t="shared" si="39"/>
        <v>252.94117647058829</v>
      </c>
      <c r="K17" s="89">
        <f t="shared" si="39"/>
        <v>247.05882352941182</v>
      </c>
      <c r="L17" s="89">
        <f t="shared" si="39"/>
        <v>241.17647058823536</v>
      </c>
      <c r="M17" s="89">
        <f t="shared" si="39"/>
        <v>235.2941176470589</v>
      </c>
      <c r="N17" s="89">
        <f t="shared" si="39"/>
        <v>229.41176470588243</v>
      </c>
      <c r="O17" s="89">
        <f t="shared" si="39"/>
        <v>223.52941176470597</v>
      </c>
      <c r="P17" s="89">
        <f t="shared" si="39"/>
        <v>217.64705882352951</v>
      </c>
      <c r="Q17" s="89">
        <f t="shared" si="39"/>
        <v>211.76470588235304</v>
      </c>
      <c r="R17" s="89">
        <f t="shared" si="39"/>
        <v>205.88235294117658</v>
      </c>
      <c r="S17" s="87">
        <v>200</v>
      </c>
      <c r="T17" s="89">
        <f t="shared" si="2"/>
        <v>195.5</v>
      </c>
      <c r="U17" s="89">
        <f t="shared" si="40"/>
        <v>191</v>
      </c>
      <c r="V17" s="89">
        <f t="shared" si="40"/>
        <v>186.5</v>
      </c>
      <c r="W17" s="89">
        <f t="shared" si="40"/>
        <v>182</v>
      </c>
      <c r="X17" s="89">
        <f t="shared" si="40"/>
        <v>177.5</v>
      </c>
      <c r="Y17" s="89">
        <f t="shared" si="40"/>
        <v>173</v>
      </c>
      <c r="Z17" s="89">
        <f t="shared" si="40"/>
        <v>168.5</v>
      </c>
      <c r="AA17" s="89">
        <f t="shared" si="40"/>
        <v>164</v>
      </c>
      <c r="AB17" s="89">
        <f t="shared" si="40"/>
        <v>159.5</v>
      </c>
      <c r="AC17" s="89">
        <f t="shared" si="40"/>
        <v>155</v>
      </c>
      <c r="AD17" s="89">
        <f t="shared" si="40"/>
        <v>150.5</v>
      </c>
      <c r="AE17" s="89">
        <f t="shared" si="40"/>
        <v>146</v>
      </c>
      <c r="AF17" s="89">
        <f t="shared" si="40"/>
        <v>141.5</v>
      </c>
      <c r="AG17" s="89">
        <f t="shared" si="40"/>
        <v>137</v>
      </c>
      <c r="AH17" s="89">
        <f t="shared" si="40"/>
        <v>132.5</v>
      </c>
      <c r="AI17" s="89">
        <f t="shared" si="40"/>
        <v>128</v>
      </c>
      <c r="AJ17" s="89">
        <f t="shared" si="40"/>
        <v>123.5</v>
      </c>
      <c r="AK17" s="89">
        <f t="shared" si="40"/>
        <v>119</v>
      </c>
      <c r="AL17" s="89">
        <f t="shared" si="40"/>
        <v>114.5</v>
      </c>
      <c r="AM17" s="88">
        <v>110</v>
      </c>
      <c r="AN17" s="59"/>
      <c r="AO17" s="59"/>
      <c r="AP17" s="59">
        <v>4911</v>
      </c>
      <c r="AQ17" s="9">
        <v>25</v>
      </c>
      <c r="AR17" s="59">
        <f>AP17/AQ17</f>
        <v>196.44</v>
      </c>
      <c r="AS17" s="59">
        <v>142</v>
      </c>
      <c r="AT17" s="9"/>
      <c r="AU17" s="10"/>
    </row>
    <row r="18" spans="1:47" s="2" customFormat="1" x14ac:dyDescent="0.25">
      <c r="A18" s="4" t="s">
        <v>18</v>
      </c>
      <c r="B18" s="87">
        <v>58</v>
      </c>
      <c r="C18" s="89">
        <f t="shared" si="0"/>
        <v>58</v>
      </c>
      <c r="D18" s="89">
        <f t="shared" si="39"/>
        <v>58</v>
      </c>
      <c r="E18" s="89">
        <f t="shared" si="39"/>
        <v>58</v>
      </c>
      <c r="F18" s="89">
        <f t="shared" si="39"/>
        <v>58</v>
      </c>
      <c r="G18" s="89">
        <f t="shared" si="39"/>
        <v>58</v>
      </c>
      <c r="H18" s="89">
        <f t="shared" si="39"/>
        <v>58</v>
      </c>
      <c r="I18" s="89">
        <f t="shared" si="39"/>
        <v>58</v>
      </c>
      <c r="J18" s="89">
        <f t="shared" si="39"/>
        <v>58</v>
      </c>
      <c r="K18" s="89">
        <f t="shared" si="39"/>
        <v>58</v>
      </c>
      <c r="L18" s="89">
        <f t="shared" si="39"/>
        <v>58</v>
      </c>
      <c r="M18" s="89">
        <f t="shared" si="39"/>
        <v>58</v>
      </c>
      <c r="N18" s="89">
        <f t="shared" si="39"/>
        <v>58</v>
      </c>
      <c r="O18" s="89">
        <f t="shared" si="39"/>
        <v>58</v>
      </c>
      <c r="P18" s="89">
        <f t="shared" si="39"/>
        <v>58</v>
      </c>
      <c r="Q18" s="89">
        <f t="shared" si="39"/>
        <v>58</v>
      </c>
      <c r="R18" s="89">
        <f t="shared" si="39"/>
        <v>58</v>
      </c>
      <c r="S18" s="87">
        <v>58</v>
      </c>
      <c r="T18" s="89">
        <f t="shared" si="2"/>
        <v>58</v>
      </c>
      <c r="U18" s="89">
        <f t="shared" si="40"/>
        <v>58</v>
      </c>
      <c r="V18" s="89">
        <f t="shared" si="40"/>
        <v>58</v>
      </c>
      <c r="W18" s="89">
        <f t="shared" si="40"/>
        <v>58</v>
      </c>
      <c r="X18" s="89">
        <f t="shared" si="40"/>
        <v>58</v>
      </c>
      <c r="Y18" s="89">
        <f t="shared" si="40"/>
        <v>58</v>
      </c>
      <c r="Z18" s="89">
        <f t="shared" si="40"/>
        <v>58</v>
      </c>
      <c r="AA18" s="89">
        <f t="shared" si="40"/>
        <v>58</v>
      </c>
      <c r="AB18" s="89">
        <f t="shared" si="40"/>
        <v>58</v>
      </c>
      <c r="AC18" s="89">
        <f t="shared" si="40"/>
        <v>58</v>
      </c>
      <c r="AD18" s="89">
        <f t="shared" si="40"/>
        <v>58</v>
      </c>
      <c r="AE18" s="89">
        <f t="shared" si="40"/>
        <v>58</v>
      </c>
      <c r="AF18" s="89">
        <f t="shared" si="40"/>
        <v>58</v>
      </c>
      <c r="AG18" s="89">
        <f t="shared" si="40"/>
        <v>58</v>
      </c>
      <c r="AH18" s="89">
        <f t="shared" si="40"/>
        <v>58</v>
      </c>
      <c r="AI18" s="89">
        <f t="shared" si="40"/>
        <v>58</v>
      </c>
      <c r="AJ18" s="89">
        <f t="shared" si="40"/>
        <v>58</v>
      </c>
      <c r="AK18" s="89">
        <f t="shared" si="40"/>
        <v>58</v>
      </c>
      <c r="AL18" s="89">
        <f t="shared" si="40"/>
        <v>58</v>
      </c>
      <c r="AM18" s="88">
        <v>58</v>
      </c>
      <c r="AN18" s="59">
        <f>AO18</f>
        <v>3550</v>
      </c>
      <c r="AO18" s="59">
        <f>AP18</f>
        <v>3550</v>
      </c>
      <c r="AP18" s="59">
        <v>3550</v>
      </c>
      <c r="AQ18" s="9">
        <v>20</v>
      </c>
      <c r="AR18" s="59">
        <f>AP18/AQ18</f>
        <v>177.5</v>
      </c>
      <c r="AS18" s="59">
        <v>124</v>
      </c>
      <c r="AT18" s="9"/>
      <c r="AU18" s="10"/>
    </row>
    <row r="19" spans="1:47" x14ac:dyDescent="0.25">
      <c r="A19" s="4" t="s">
        <v>156</v>
      </c>
      <c r="B19" s="91">
        <f>S19*3177/2869</f>
        <v>75.410840013942135</v>
      </c>
      <c r="C19" s="89">
        <f t="shared" si="0"/>
        <v>74.980790601357299</v>
      </c>
      <c r="D19" s="89">
        <f t="shared" si="39"/>
        <v>74.550741188772463</v>
      </c>
      <c r="E19" s="89">
        <f t="shared" si="39"/>
        <v>74.120691776187627</v>
      </c>
      <c r="F19" s="89">
        <f t="shared" si="39"/>
        <v>73.690642363602791</v>
      </c>
      <c r="G19" s="89">
        <f t="shared" si="39"/>
        <v>73.260592951017955</v>
      </c>
      <c r="H19" s="89">
        <f t="shared" si="39"/>
        <v>72.830543538433119</v>
      </c>
      <c r="I19" s="89">
        <f t="shared" si="39"/>
        <v>72.400494125848283</v>
      </c>
      <c r="J19" s="89">
        <f t="shared" si="39"/>
        <v>71.970444713263447</v>
      </c>
      <c r="K19" s="89">
        <f t="shared" si="39"/>
        <v>71.540395300678611</v>
      </c>
      <c r="L19" s="89">
        <f t="shared" si="39"/>
        <v>71.110345888093775</v>
      </c>
      <c r="M19" s="89">
        <f t="shared" si="39"/>
        <v>70.680296475508939</v>
      </c>
      <c r="N19" s="89">
        <f t="shared" si="39"/>
        <v>70.250247062924103</v>
      </c>
      <c r="O19" s="89">
        <f t="shared" si="39"/>
        <v>69.820197650339267</v>
      </c>
      <c r="P19" s="89">
        <f t="shared" si="39"/>
        <v>69.390148237754431</v>
      </c>
      <c r="Q19" s="89">
        <f t="shared" si="39"/>
        <v>68.960098825169595</v>
      </c>
      <c r="R19" s="89">
        <f t="shared" si="39"/>
        <v>68.530049412584759</v>
      </c>
      <c r="S19" s="88">
        <f>AM19</f>
        <v>68.099999999999994</v>
      </c>
      <c r="T19" s="89">
        <f t="shared" si="2"/>
        <v>68.099999999999994</v>
      </c>
      <c r="U19" s="89">
        <f t="shared" si="40"/>
        <v>68.099999999999994</v>
      </c>
      <c r="V19" s="89">
        <f t="shared" si="40"/>
        <v>68.099999999999994</v>
      </c>
      <c r="W19" s="89">
        <f t="shared" si="40"/>
        <v>68.099999999999994</v>
      </c>
      <c r="X19" s="89">
        <f t="shared" si="40"/>
        <v>68.099999999999994</v>
      </c>
      <c r="Y19" s="89">
        <f t="shared" si="40"/>
        <v>68.099999999999994</v>
      </c>
      <c r="Z19" s="89">
        <f t="shared" si="40"/>
        <v>68.099999999999994</v>
      </c>
      <c r="AA19" s="89">
        <f t="shared" si="40"/>
        <v>68.099999999999994</v>
      </c>
      <c r="AB19" s="89">
        <f t="shared" si="40"/>
        <v>68.099999999999994</v>
      </c>
      <c r="AC19" s="89">
        <f t="shared" si="40"/>
        <v>68.099999999999994</v>
      </c>
      <c r="AD19" s="89">
        <f t="shared" si="40"/>
        <v>68.099999999999994</v>
      </c>
      <c r="AE19" s="89">
        <f t="shared" si="40"/>
        <v>68.099999999999994</v>
      </c>
      <c r="AF19" s="89">
        <f t="shared" si="40"/>
        <v>68.099999999999994</v>
      </c>
      <c r="AG19" s="89">
        <f t="shared" si="40"/>
        <v>68.099999999999994</v>
      </c>
      <c r="AH19" s="89">
        <f t="shared" si="40"/>
        <v>68.099999999999994</v>
      </c>
      <c r="AI19" s="89">
        <f t="shared" si="40"/>
        <v>68.099999999999994</v>
      </c>
      <c r="AJ19" s="89">
        <f t="shared" si="40"/>
        <v>68.099999999999994</v>
      </c>
      <c r="AK19" s="89">
        <f t="shared" si="40"/>
        <v>68.099999999999994</v>
      </c>
      <c r="AL19" s="89">
        <f t="shared" si="40"/>
        <v>68.099999999999994</v>
      </c>
      <c r="AM19" s="88">
        <v>68.099999999999994</v>
      </c>
      <c r="AN19" s="59">
        <v>3177</v>
      </c>
      <c r="AO19" s="59">
        <v>2869</v>
      </c>
      <c r="AP19" s="59">
        <v>2869</v>
      </c>
      <c r="AQ19" s="9">
        <v>30</v>
      </c>
      <c r="AR19" s="59">
        <f>AP19/AQ19</f>
        <v>95.63333333333334</v>
      </c>
      <c r="AS19" s="59">
        <f>AP19*0.015</f>
        <v>43.034999999999997</v>
      </c>
      <c r="AT19" s="9"/>
      <c r="AU19" s="10"/>
    </row>
    <row r="20" spans="1:47" x14ac:dyDescent="0.25">
      <c r="A20" s="4"/>
      <c r="B20" s="91"/>
      <c r="C20" s="89"/>
      <c r="D20" s="89"/>
      <c r="E20" s="89"/>
      <c r="F20" s="89"/>
      <c r="G20" s="89"/>
      <c r="H20" s="89"/>
      <c r="I20" s="89"/>
      <c r="J20" s="89"/>
      <c r="K20" s="89"/>
      <c r="L20" s="89"/>
      <c r="M20" s="89"/>
      <c r="N20" s="89"/>
      <c r="O20" s="89"/>
      <c r="P20" s="89"/>
      <c r="Q20" s="89"/>
      <c r="R20" s="89"/>
      <c r="S20" s="88"/>
      <c r="T20" s="89"/>
      <c r="U20" s="89"/>
      <c r="V20" s="89"/>
      <c r="W20" s="89"/>
      <c r="X20" s="89"/>
      <c r="Y20" s="89"/>
      <c r="Z20" s="89"/>
      <c r="AA20" s="89"/>
      <c r="AB20" s="89"/>
      <c r="AC20" s="89"/>
      <c r="AD20" s="89"/>
      <c r="AE20" s="89"/>
      <c r="AF20" s="89"/>
      <c r="AG20" s="89"/>
      <c r="AH20" s="89"/>
      <c r="AI20" s="89"/>
      <c r="AJ20" s="89"/>
      <c r="AK20" s="89"/>
      <c r="AL20" s="89"/>
      <c r="AM20" s="88"/>
      <c r="AN20" s="59"/>
      <c r="AO20" s="59"/>
      <c r="AP20" s="59"/>
      <c r="AQ20" s="9"/>
      <c r="AR20" s="59"/>
      <c r="AS20" s="59"/>
      <c r="AT20" s="9"/>
      <c r="AU20" s="10"/>
    </row>
    <row r="21" spans="1:47" ht="15.75" thickBot="1" x14ac:dyDescent="0.3">
      <c r="A21" s="8" t="s">
        <v>179</v>
      </c>
      <c r="B21" s="85"/>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11"/>
      <c r="AN21" s="11"/>
      <c r="AO21" s="11"/>
      <c r="AP21" s="11"/>
      <c r="AQ21" s="11"/>
      <c r="AR21" s="11"/>
      <c r="AS21" s="11"/>
      <c r="AT21" s="11"/>
      <c r="AU21" s="12"/>
    </row>
    <row r="22" spans="1:47" x14ac:dyDescent="0.25">
      <c r="A22" s="4" t="s">
        <v>75</v>
      </c>
      <c r="B22" s="90">
        <f>120*850/700</f>
        <v>145.71428571428572</v>
      </c>
      <c r="C22" s="89">
        <f>B22+($S22-$B22)/(2030-2013)</f>
        <v>144.20168067226891</v>
      </c>
      <c r="D22" s="89">
        <f t="shared" ref="D22:R23" si="41">C22+($S22-$B22)/(2030-2013)</f>
        <v>142.68907563025209</v>
      </c>
      <c r="E22" s="89">
        <f t="shared" si="41"/>
        <v>141.17647058823528</v>
      </c>
      <c r="F22" s="89">
        <f t="shared" si="41"/>
        <v>139.66386554621846</v>
      </c>
      <c r="G22" s="89">
        <f t="shared" si="41"/>
        <v>138.15126050420164</v>
      </c>
      <c r="H22" s="89">
        <f t="shared" si="41"/>
        <v>136.63865546218483</v>
      </c>
      <c r="I22" s="89">
        <f t="shared" si="41"/>
        <v>135.12605042016801</v>
      </c>
      <c r="J22" s="89">
        <f t="shared" si="41"/>
        <v>133.6134453781512</v>
      </c>
      <c r="K22" s="89">
        <f t="shared" si="41"/>
        <v>132.10084033613438</v>
      </c>
      <c r="L22" s="89">
        <f t="shared" si="41"/>
        <v>130.58823529411757</v>
      </c>
      <c r="M22" s="89">
        <f t="shared" si="41"/>
        <v>129.07563025210075</v>
      </c>
      <c r="N22" s="89">
        <f t="shared" si="41"/>
        <v>127.56302521008395</v>
      </c>
      <c r="O22" s="89">
        <f t="shared" si="41"/>
        <v>126.05042016806715</v>
      </c>
      <c r="P22" s="89">
        <f t="shared" si="41"/>
        <v>124.53781512605035</v>
      </c>
      <c r="Q22" s="89">
        <f t="shared" si="41"/>
        <v>123.02521008403355</v>
      </c>
      <c r="R22" s="89">
        <f t="shared" si="41"/>
        <v>121.51260504201674</v>
      </c>
      <c r="S22" s="87">
        <v>120</v>
      </c>
      <c r="T22" s="89">
        <f>S22+($AM22-$S22)/(2050-2030)</f>
        <v>120</v>
      </c>
      <c r="U22" s="89">
        <f t="shared" ref="U22:AL23" si="42">T22+($AM22-$S22)/(2050-2030)</f>
        <v>120</v>
      </c>
      <c r="V22" s="89">
        <f t="shared" si="42"/>
        <v>120</v>
      </c>
      <c r="W22" s="89">
        <f t="shared" si="42"/>
        <v>120</v>
      </c>
      <c r="X22" s="89">
        <f t="shared" si="42"/>
        <v>120</v>
      </c>
      <c r="Y22" s="89">
        <f t="shared" si="42"/>
        <v>120</v>
      </c>
      <c r="Z22" s="89">
        <f t="shared" si="42"/>
        <v>120</v>
      </c>
      <c r="AA22" s="89">
        <f t="shared" si="42"/>
        <v>120</v>
      </c>
      <c r="AB22" s="89">
        <f t="shared" si="42"/>
        <v>120</v>
      </c>
      <c r="AC22" s="89">
        <f t="shared" si="42"/>
        <v>120</v>
      </c>
      <c r="AD22" s="89">
        <f t="shared" si="42"/>
        <v>120</v>
      </c>
      <c r="AE22" s="89">
        <f t="shared" si="42"/>
        <v>120</v>
      </c>
      <c r="AF22" s="89">
        <f t="shared" si="42"/>
        <v>120</v>
      </c>
      <c r="AG22" s="89">
        <f t="shared" si="42"/>
        <v>120</v>
      </c>
      <c r="AH22" s="89">
        <f t="shared" si="42"/>
        <v>120</v>
      </c>
      <c r="AI22" s="89">
        <f t="shared" si="42"/>
        <v>120</v>
      </c>
      <c r="AJ22" s="89">
        <f t="shared" si="42"/>
        <v>120</v>
      </c>
      <c r="AK22" s="89">
        <f t="shared" si="42"/>
        <v>120</v>
      </c>
      <c r="AL22" s="89">
        <f t="shared" si="42"/>
        <v>120</v>
      </c>
      <c r="AM22" s="88">
        <v>120</v>
      </c>
      <c r="AN22" s="59"/>
      <c r="AO22" s="59"/>
      <c r="AP22" s="59">
        <v>692</v>
      </c>
      <c r="AQ22" s="9">
        <v>30</v>
      </c>
      <c r="AR22" s="59">
        <f>AP22/AQ22</f>
        <v>23.066666666666666</v>
      </c>
      <c r="AS22" s="59">
        <v>24</v>
      </c>
      <c r="AT22" s="9">
        <v>10</v>
      </c>
      <c r="AU22" s="10"/>
    </row>
    <row r="23" spans="1:47" x14ac:dyDescent="0.25">
      <c r="A23" s="4" t="s">
        <v>71</v>
      </c>
      <c r="B23" s="90">
        <f>180*700/610</f>
        <v>206.55737704918033</v>
      </c>
      <c r="C23" s="89">
        <f>B23+($S23-$B23)/(2030-2013)</f>
        <v>204.99517839922854</v>
      </c>
      <c r="D23" s="89">
        <f t="shared" si="41"/>
        <v>203.43297974927674</v>
      </c>
      <c r="E23" s="89">
        <f t="shared" si="41"/>
        <v>201.87078109932494</v>
      </c>
      <c r="F23" s="89">
        <f t="shared" si="41"/>
        <v>200.30858244937315</v>
      </c>
      <c r="G23" s="89">
        <f t="shared" si="41"/>
        <v>198.74638379942135</v>
      </c>
      <c r="H23" s="89">
        <f t="shared" si="41"/>
        <v>197.18418514946956</v>
      </c>
      <c r="I23" s="89">
        <f t="shared" si="41"/>
        <v>195.62198649951776</v>
      </c>
      <c r="J23" s="89">
        <f t="shared" si="41"/>
        <v>194.05978784956596</v>
      </c>
      <c r="K23" s="89">
        <f t="shared" si="41"/>
        <v>192.49758919961417</v>
      </c>
      <c r="L23" s="89">
        <f t="shared" si="41"/>
        <v>190.93539054966237</v>
      </c>
      <c r="M23" s="89">
        <f t="shared" si="41"/>
        <v>189.37319189971058</v>
      </c>
      <c r="N23" s="89">
        <f t="shared" si="41"/>
        <v>187.81099324975878</v>
      </c>
      <c r="O23" s="89">
        <f t="shared" si="41"/>
        <v>186.24879459980698</v>
      </c>
      <c r="P23" s="89">
        <f t="shared" si="41"/>
        <v>184.68659594985519</v>
      </c>
      <c r="Q23" s="89">
        <f t="shared" si="41"/>
        <v>183.12439729990339</v>
      </c>
      <c r="R23" s="89">
        <f t="shared" si="41"/>
        <v>181.5621986499516</v>
      </c>
      <c r="S23" s="87">
        <v>180</v>
      </c>
      <c r="T23" s="89">
        <f>S23+($AM23-$S23)/(2050-2030)</f>
        <v>180</v>
      </c>
      <c r="U23" s="89">
        <f t="shared" si="42"/>
        <v>180</v>
      </c>
      <c r="V23" s="89">
        <f t="shared" si="42"/>
        <v>180</v>
      </c>
      <c r="W23" s="89">
        <f t="shared" si="42"/>
        <v>180</v>
      </c>
      <c r="X23" s="89">
        <f t="shared" si="42"/>
        <v>180</v>
      </c>
      <c r="Y23" s="89">
        <f t="shared" si="42"/>
        <v>180</v>
      </c>
      <c r="Z23" s="89">
        <f t="shared" si="42"/>
        <v>180</v>
      </c>
      <c r="AA23" s="89">
        <f t="shared" si="42"/>
        <v>180</v>
      </c>
      <c r="AB23" s="89">
        <f t="shared" si="42"/>
        <v>180</v>
      </c>
      <c r="AC23" s="89">
        <f t="shared" si="42"/>
        <v>180</v>
      </c>
      <c r="AD23" s="89">
        <f t="shared" si="42"/>
        <v>180</v>
      </c>
      <c r="AE23" s="89">
        <f t="shared" si="42"/>
        <v>180</v>
      </c>
      <c r="AF23" s="89">
        <f t="shared" si="42"/>
        <v>180</v>
      </c>
      <c r="AG23" s="89">
        <f t="shared" si="42"/>
        <v>180</v>
      </c>
      <c r="AH23" s="89">
        <f t="shared" si="42"/>
        <v>180</v>
      </c>
      <c r="AI23" s="89">
        <f t="shared" si="42"/>
        <v>180</v>
      </c>
      <c r="AJ23" s="89">
        <f t="shared" si="42"/>
        <v>180</v>
      </c>
      <c r="AK23" s="89">
        <f t="shared" si="42"/>
        <v>180</v>
      </c>
      <c r="AL23" s="89">
        <f t="shared" si="42"/>
        <v>180</v>
      </c>
      <c r="AM23" s="88">
        <v>180</v>
      </c>
      <c r="AN23" s="59"/>
      <c r="AO23" s="59"/>
      <c r="AP23" s="59">
        <v>615</v>
      </c>
      <c r="AQ23" s="9">
        <v>30</v>
      </c>
      <c r="AR23" s="59">
        <f>AP23/AQ23</f>
        <v>20.5</v>
      </c>
      <c r="AS23" s="59">
        <v>22</v>
      </c>
      <c r="AT23" s="9">
        <v>15</v>
      </c>
      <c r="AU23" s="10"/>
    </row>
    <row r="24" spans="1:47" x14ac:dyDescent="0.25">
      <c r="A24" s="4"/>
      <c r="B24" s="90"/>
      <c r="C24" s="89"/>
      <c r="D24" s="89"/>
      <c r="E24" s="89"/>
      <c r="F24" s="89"/>
      <c r="G24" s="89"/>
      <c r="H24" s="89"/>
      <c r="I24" s="89"/>
      <c r="J24" s="89"/>
      <c r="K24" s="89"/>
      <c r="L24" s="89"/>
      <c r="M24" s="89"/>
      <c r="N24" s="89"/>
      <c r="O24" s="89"/>
      <c r="P24" s="89"/>
      <c r="Q24" s="89"/>
      <c r="R24" s="89"/>
      <c r="S24" s="87"/>
      <c r="T24" s="89"/>
      <c r="U24" s="89"/>
      <c r="V24" s="89"/>
      <c r="W24" s="89"/>
      <c r="X24" s="89"/>
      <c r="Y24" s="89"/>
      <c r="Z24" s="89"/>
      <c r="AA24" s="89"/>
      <c r="AB24" s="89"/>
      <c r="AC24" s="89"/>
      <c r="AD24" s="89"/>
      <c r="AE24" s="89"/>
      <c r="AF24" s="89"/>
      <c r="AG24" s="89"/>
      <c r="AH24" s="89"/>
      <c r="AI24" s="89"/>
      <c r="AJ24" s="89"/>
      <c r="AK24" s="89"/>
      <c r="AL24" s="89"/>
      <c r="AM24" s="88"/>
      <c r="AN24" s="59"/>
      <c r="AO24" s="59"/>
      <c r="AP24" s="59"/>
      <c r="AQ24" s="9"/>
      <c r="AR24" s="59"/>
      <c r="AS24" s="59"/>
      <c r="AT24" s="9"/>
      <c r="AU24" s="10"/>
    </row>
    <row r="25" spans="1:47" ht="15.75" thickBot="1" x14ac:dyDescent="0.3">
      <c r="A25" s="8" t="s">
        <v>126</v>
      </c>
      <c r="B25" s="85"/>
      <c r="C25" s="85"/>
      <c r="D25" s="85"/>
      <c r="E25" s="85"/>
      <c r="F25" s="85"/>
      <c r="G25" s="85"/>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11"/>
      <c r="AN25" s="11"/>
      <c r="AO25" s="11"/>
      <c r="AP25" s="11"/>
      <c r="AQ25" s="11"/>
      <c r="AR25" s="11"/>
      <c r="AS25" s="11"/>
      <c r="AT25" s="11"/>
      <c r="AU25" s="12"/>
    </row>
    <row r="26" spans="1:47" x14ac:dyDescent="0.25">
      <c r="A26" s="4" t="s">
        <v>16</v>
      </c>
      <c r="B26" s="87"/>
      <c r="C26" s="86"/>
      <c r="D26" s="86"/>
      <c r="E26" s="86"/>
      <c r="F26" s="86"/>
      <c r="G26" s="86"/>
      <c r="H26" s="86"/>
      <c r="I26" s="86"/>
      <c r="J26" s="86"/>
      <c r="K26" s="86"/>
      <c r="L26" s="86"/>
      <c r="M26" s="86"/>
      <c r="N26" s="86"/>
      <c r="O26" s="86"/>
      <c r="P26" s="86"/>
      <c r="Q26" s="86"/>
      <c r="R26" s="86"/>
      <c r="S26" s="87"/>
      <c r="T26" s="86"/>
      <c r="U26" s="86"/>
      <c r="V26" s="86"/>
      <c r="W26" s="86"/>
      <c r="X26" s="86"/>
      <c r="Y26" s="86"/>
      <c r="Z26" s="86"/>
      <c r="AA26" s="86"/>
      <c r="AB26" s="86"/>
      <c r="AC26" s="86"/>
      <c r="AD26" s="86"/>
      <c r="AE26" s="86"/>
      <c r="AF26" s="86"/>
      <c r="AG26" s="86"/>
      <c r="AH26" s="86"/>
      <c r="AI26" s="86"/>
      <c r="AJ26" s="86"/>
      <c r="AK26" s="86"/>
      <c r="AL26" s="86"/>
      <c r="AM26" s="88"/>
      <c r="AN26" s="59">
        <f>3077-((3077-2769)/10*3)</f>
        <v>2984.6</v>
      </c>
      <c r="AO26" s="59">
        <f>AP26</f>
        <v>1140</v>
      </c>
      <c r="AP26" s="59">
        <v>1140</v>
      </c>
      <c r="AQ26" s="9">
        <v>40</v>
      </c>
      <c r="AR26" s="59">
        <f>AP26/AQ26</f>
        <v>28.5</v>
      </c>
      <c r="AS26" s="59">
        <v>14.8</v>
      </c>
      <c r="AT26" s="9"/>
      <c r="AU26" s="10"/>
    </row>
    <row r="27" spans="1:47" x14ac:dyDescent="0.25">
      <c r="A27" s="4" t="s">
        <v>17</v>
      </c>
      <c r="B27" s="87"/>
      <c r="C27" s="86"/>
      <c r="D27" s="86"/>
      <c r="E27" s="86"/>
      <c r="F27" s="86"/>
      <c r="G27" s="86"/>
      <c r="H27" s="86"/>
      <c r="I27" s="86"/>
      <c r="J27" s="86"/>
      <c r="K27" s="86"/>
      <c r="L27" s="86"/>
      <c r="M27" s="86"/>
      <c r="N27" s="86"/>
      <c r="O27" s="86"/>
      <c r="P27" s="86"/>
      <c r="Q27" s="86"/>
      <c r="R27" s="86"/>
      <c r="S27" s="87"/>
      <c r="T27" s="86"/>
      <c r="U27" s="86"/>
      <c r="V27" s="86"/>
      <c r="W27" s="86"/>
      <c r="X27" s="86"/>
      <c r="Y27" s="86"/>
      <c r="Z27" s="86"/>
      <c r="AA27" s="86"/>
      <c r="AB27" s="86"/>
      <c r="AC27" s="86"/>
      <c r="AD27" s="86"/>
      <c r="AE27" s="86"/>
      <c r="AF27" s="86"/>
      <c r="AG27" s="86"/>
      <c r="AH27" s="86"/>
      <c r="AI27" s="86"/>
      <c r="AJ27" s="86"/>
      <c r="AK27" s="86"/>
      <c r="AL27" s="86"/>
      <c r="AM27" s="88"/>
      <c r="AN27" s="59"/>
      <c r="AO27" s="59">
        <f>AP27</f>
        <v>2080</v>
      </c>
      <c r="AP27" s="59">
        <v>2080</v>
      </c>
      <c r="AQ27" s="9">
        <v>40</v>
      </c>
      <c r="AR27" s="59">
        <f>AP27/AQ27</f>
        <v>52</v>
      </c>
      <c r="AS27" s="59">
        <v>14.8</v>
      </c>
      <c r="AT27" s="9"/>
      <c r="AU27" s="10"/>
    </row>
    <row r="28" spans="1:47" x14ac:dyDescent="0.25">
      <c r="A28" s="4" t="s">
        <v>28</v>
      </c>
      <c r="B28" s="87"/>
      <c r="C28" s="86"/>
      <c r="D28" s="86"/>
      <c r="E28" s="86"/>
      <c r="F28" s="86"/>
      <c r="G28" s="86"/>
      <c r="H28" s="86"/>
      <c r="I28" s="86"/>
      <c r="J28" s="86"/>
      <c r="K28" s="86"/>
      <c r="L28" s="86"/>
      <c r="M28" s="86"/>
      <c r="N28" s="86"/>
      <c r="O28" s="86"/>
      <c r="P28" s="86"/>
      <c r="Q28" s="86"/>
      <c r="R28" s="86"/>
      <c r="S28" s="87"/>
      <c r="T28" s="86"/>
      <c r="U28" s="86"/>
      <c r="V28" s="86"/>
      <c r="W28" s="86"/>
      <c r="X28" s="86"/>
      <c r="Y28" s="86"/>
      <c r="Z28" s="86"/>
      <c r="AA28" s="86"/>
      <c r="AB28" s="86"/>
      <c r="AC28" s="86"/>
      <c r="AD28" s="86"/>
      <c r="AE28" s="86"/>
      <c r="AF28" s="86"/>
      <c r="AG28" s="86"/>
      <c r="AH28" s="86"/>
      <c r="AI28" s="86"/>
      <c r="AJ28" s="86"/>
      <c r="AK28" s="86"/>
      <c r="AL28" s="86"/>
      <c r="AM28" s="88"/>
      <c r="AN28" s="59">
        <v>900</v>
      </c>
      <c r="AO28" s="59">
        <v>805</v>
      </c>
      <c r="AP28" s="59">
        <v>753</v>
      </c>
      <c r="AQ28" s="9">
        <v>20</v>
      </c>
      <c r="AR28" s="59">
        <v>48</v>
      </c>
      <c r="AS28" s="59">
        <v>14</v>
      </c>
      <c r="AT28" s="9"/>
      <c r="AU28" s="10"/>
    </row>
    <row r="29" spans="1:47" x14ac:dyDescent="0.25">
      <c r="A29" s="4" t="s">
        <v>29</v>
      </c>
      <c r="B29" s="87"/>
      <c r="C29" s="86"/>
      <c r="D29" s="86"/>
      <c r="E29" s="86"/>
      <c r="F29" s="86"/>
      <c r="G29" s="86"/>
      <c r="H29" s="86"/>
      <c r="I29" s="86"/>
      <c r="J29" s="86"/>
      <c r="K29" s="86"/>
      <c r="L29" s="86"/>
      <c r="M29" s="86"/>
      <c r="N29" s="86"/>
      <c r="O29" s="86"/>
      <c r="P29" s="86"/>
      <c r="Q29" s="86"/>
      <c r="R29" s="86"/>
      <c r="S29" s="87"/>
      <c r="T29" s="86"/>
      <c r="U29" s="86"/>
      <c r="V29" s="86"/>
      <c r="W29" s="86"/>
      <c r="X29" s="86"/>
      <c r="Y29" s="86"/>
      <c r="Z29" s="86"/>
      <c r="AA29" s="86"/>
      <c r="AB29" s="86"/>
      <c r="AC29" s="86"/>
      <c r="AD29" s="86"/>
      <c r="AE29" s="86"/>
      <c r="AF29" s="86"/>
      <c r="AG29" s="86"/>
      <c r="AH29" s="86"/>
      <c r="AI29" s="86"/>
      <c r="AJ29" s="86"/>
      <c r="AK29" s="86"/>
      <c r="AL29" s="86"/>
      <c r="AM29" s="88"/>
      <c r="AN29" s="59">
        <f>AN28*AO29/AO28</f>
        <v>836.65338645418331</v>
      </c>
      <c r="AO29" s="59">
        <f>AO28*AP29/AP28</f>
        <v>748.33997343957503</v>
      </c>
      <c r="AP29" s="59">
        <v>700</v>
      </c>
      <c r="AQ29" s="9">
        <v>35</v>
      </c>
      <c r="AR29" s="59">
        <v>42</v>
      </c>
      <c r="AS29" s="59">
        <v>52</v>
      </c>
      <c r="AT29" s="9"/>
      <c r="AU29" s="10"/>
    </row>
    <row r="30" spans="1:47" ht="15.75" thickBot="1" x14ac:dyDescent="0.3">
      <c r="A30" s="8" t="s">
        <v>154</v>
      </c>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11"/>
      <c r="AN30" s="11"/>
      <c r="AO30" s="11"/>
      <c r="AP30" s="11"/>
      <c r="AQ30" s="11"/>
      <c r="AR30" s="11"/>
      <c r="AS30" s="11"/>
      <c r="AT30" s="11"/>
      <c r="AU30" s="12"/>
    </row>
    <row r="31" spans="1:47" x14ac:dyDescent="0.25">
      <c r="A31" s="4" t="s">
        <v>147</v>
      </c>
      <c r="B31" s="87"/>
      <c r="C31" s="86"/>
      <c r="D31" s="86"/>
      <c r="E31" s="86"/>
      <c r="F31" s="86"/>
      <c r="G31" s="86"/>
      <c r="H31" s="86"/>
      <c r="I31" s="86"/>
      <c r="J31" s="86"/>
      <c r="K31" s="86"/>
      <c r="L31" s="86"/>
      <c r="M31" s="86"/>
      <c r="N31" s="86"/>
      <c r="O31" s="86"/>
      <c r="P31" s="86"/>
      <c r="Q31" s="86"/>
      <c r="R31" s="86"/>
      <c r="S31" s="87"/>
      <c r="T31" s="86"/>
      <c r="U31" s="86"/>
      <c r="V31" s="86"/>
      <c r="W31" s="86"/>
      <c r="X31" s="86"/>
      <c r="Y31" s="86"/>
      <c r="Z31" s="86"/>
      <c r="AA31" s="86"/>
      <c r="AB31" s="86"/>
      <c r="AC31" s="86"/>
      <c r="AD31" s="86"/>
      <c r="AE31" s="86"/>
      <c r="AF31" s="86"/>
      <c r="AG31" s="86"/>
      <c r="AH31" s="86"/>
      <c r="AI31" s="86"/>
      <c r="AJ31" s="86"/>
      <c r="AK31" s="86"/>
      <c r="AL31" s="86"/>
      <c r="AM31" s="88"/>
      <c r="AN31" s="59"/>
      <c r="AO31" s="59"/>
      <c r="AP31" s="59">
        <v>1336</v>
      </c>
      <c r="AQ31" s="9">
        <v>16</v>
      </c>
      <c r="AR31" s="59">
        <v>119</v>
      </c>
      <c r="AS31" s="59">
        <v>15</v>
      </c>
      <c r="AT31" s="9"/>
      <c r="AU31" s="10"/>
    </row>
    <row r="34" spans="1:7" x14ac:dyDescent="0.25">
      <c r="A34" t="s">
        <v>181</v>
      </c>
      <c r="B34" s="143">
        <v>2013</v>
      </c>
      <c r="C34" s="143"/>
      <c r="D34" s="143">
        <v>2030</v>
      </c>
      <c r="E34" s="143"/>
      <c r="F34" s="143">
        <v>2050</v>
      </c>
      <c r="G34" s="143"/>
    </row>
    <row r="35" spans="1:7" x14ac:dyDescent="0.25">
      <c r="B35" s="74" t="s">
        <v>182</v>
      </c>
      <c r="C35" s="74" t="s">
        <v>183</v>
      </c>
      <c r="D35" s="74" t="s">
        <v>182</v>
      </c>
      <c r="E35" s="74" t="s">
        <v>183</v>
      </c>
      <c r="F35" s="74" t="s">
        <v>182</v>
      </c>
      <c r="G35" s="74" t="s">
        <v>183</v>
      </c>
    </row>
    <row r="36" spans="1:7" x14ac:dyDescent="0.25">
      <c r="A36" t="s">
        <v>62</v>
      </c>
      <c r="B36" s="68">
        <v>6245000</v>
      </c>
      <c r="C36" s="69">
        <f>B36/B$39</f>
        <v>0.67550027041644134</v>
      </c>
      <c r="D36" s="68"/>
      <c r="E36" s="69">
        <f>(C36+G36)/2</f>
        <v>0.47255668928088324</v>
      </c>
      <c r="F36" s="68">
        <f>Production!B8</f>
        <v>32567916.511</v>
      </c>
      <c r="G36" s="69">
        <f>F36/F$39</f>
        <v>0.26961310814532513</v>
      </c>
    </row>
    <row r="37" spans="1:7" x14ac:dyDescent="0.25">
      <c r="A37" t="s">
        <v>61</v>
      </c>
      <c r="B37" s="68">
        <v>3000000</v>
      </c>
      <c r="C37" s="69">
        <f>B37/B$39</f>
        <v>0.32449972958355866</v>
      </c>
      <c r="D37" s="68"/>
      <c r="E37" s="69">
        <f>(C37+G37)/2</f>
        <v>0.52538705804711316</v>
      </c>
      <c r="F37" s="68">
        <f>Production!B7</f>
        <v>87730317.515599996</v>
      </c>
      <c r="G37" s="69">
        <f>F37/F$39</f>
        <v>0.72627438651066778</v>
      </c>
    </row>
    <row r="38" spans="1:7" x14ac:dyDescent="0.25">
      <c r="A38" t="s">
        <v>74</v>
      </c>
      <c r="B38" s="68">
        <v>0</v>
      </c>
      <c r="C38" s="69">
        <f>B38/B$39</f>
        <v>0</v>
      </c>
      <c r="D38" s="68"/>
      <c r="E38" s="69">
        <f>(C38+G38)/2</f>
        <v>2.0562526720035328E-3</v>
      </c>
      <c r="F38" s="68">
        <f>Production!B21</f>
        <v>496770.099999998</v>
      </c>
      <c r="G38" s="69">
        <f>F38/F$39</f>
        <v>4.1125053440070657E-3</v>
      </c>
    </row>
    <row r="39" spans="1:7" x14ac:dyDescent="0.25">
      <c r="A39" t="s">
        <v>184</v>
      </c>
      <c r="B39" s="68">
        <f>SUM(B36:B38)</f>
        <v>9245000</v>
      </c>
      <c r="D39" s="68">
        <f>SUM(D36:D38)</f>
        <v>0</v>
      </c>
      <c r="F39" s="68">
        <f>SUM(F36:F38)</f>
        <v>120795004.1266</v>
      </c>
    </row>
  </sheetData>
  <mergeCells count="3">
    <mergeCell ref="B34:C34"/>
    <mergeCell ref="D34:E34"/>
    <mergeCell ref="F34:G34"/>
  </mergeCells>
  <pageMargins left="0.7" right="0.7" top="0.75" bottom="0.75" header="0.3" footer="0.3"/>
  <pageSetup paperSize="9" orientation="portrait"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42"/>
  <sheetViews>
    <sheetView workbookViewId="0">
      <selection activeCell="H22" sqref="H22"/>
    </sheetView>
  </sheetViews>
  <sheetFormatPr baseColWidth="10" defaultColWidth="9.140625" defaultRowHeight="15" x14ac:dyDescent="0.25"/>
  <cols>
    <col min="1" max="1" width="58" bestFit="1" customWidth="1"/>
    <col min="2" max="2" width="15.85546875" bestFit="1" customWidth="1"/>
    <col min="3" max="3" width="18.5703125" bestFit="1" customWidth="1"/>
    <col min="4" max="4" width="17.140625" customWidth="1"/>
    <col min="5" max="5" width="18.5703125" bestFit="1" customWidth="1"/>
    <col min="6" max="6" width="17.140625" customWidth="1"/>
    <col min="7" max="7" width="18.5703125" bestFit="1" customWidth="1"/>
    <col min="8" max="8" width="17.140625" customWidth="1"/>
    <col min="9" max="9" width="18.5703125" bestFit="1" customWidth="1"/>
  </cols>
  <sheetData>
    <row r="1" spans="1:8" x14ac:dyDescent="0.25">
      <c r="A1" t="s">
        <v>118</v>
      </c>
      <c r="B1" s="32" t="s">
        <v>207</v>
      </c>
      <c r="C1" s="32" t="s">
        <v>145</v>
      </c>
      <c r="F1" t="s">
        <v>192</v>
      </c>
      <c r="G1" t="s">
        <v>193</v>
      </c>
      <c r="H1" t="s">
        <v>194</v>
      </c>
    </row>
    <row r="2" spans="1:8" x14ac:dyDescent="0.25">
      <c r="A2" s="63" t="s">
        <v>57</v>
      </c>
      <c r="B2" s="110">
        <v>3000</v>
      </c>
      <c r="C2" s="73">
        <f>B2*(LCOE!$AR$3+LCOE!$AS$3)/1000000</f>
        <v>0.70008000000000004</v>
      </c>
      <c r="D2" s="76">
        <f>C2*1000</f>
        <v>700.08</v>
      </c>
      <c r="F2" s="110">
        <v>3000</v>
      </c>
      <c r="G2" s="110">
        <v>3000</v>
      </c>
      <c r="H2" s="110">
        <v>3000</v>
      </c>
    </row>
    <row r="3" spans="1:8" x14ac:dyDescent="0.25">
      <c r="A3" s="63" t="s">
        <v>58</v>
      </c>
      <c r="B3" s="110">
        <v>13444.6642529905</v>
      </c>
      <c r="C3" s="73">
        <f>B3*(LCOE!$AR$23+LCOE!$AS$23)/1000000</f>
        <v>0.57139823075209628</v>
      </c>
      <c r="D3" s="76">
        <f t="shared" ref="D3:D25" si="0">C3*1000</f>
        <v>571.39823075209631</v>
      </c>
      <c r="F3" s="110">
        <v>8849.2313018426594</v>
      </c>
      <c r="G3" s="110">
        <v>1.0081246999999599E-3</v>
      </c>
      <c r="H3" s="110">
        <v>1.5049210999999901E-3</v>
      </c>
    </row>
    <row r="4" spans="1:8" x14ac:dyDescent="0.25">
      <c r="A4" s="63" t="s">
        <v>21</v>
      </c>
      <c r="B4" s="110">
        <v>429</v>
      </c>
      <c r="C4" s="73">
        <f>B4*(LCOE!$AR$4+LCOE!$AS$4)/1000000</f>
        <v>0.15423408</v>
      </c>
      <c r="D4" s="76">
        <f t="shared" si="0"/>
        <v>154.23408000000001</v>
      </c>
      <c r="F4" s="110">
        <v>429</v>
      </c>
      <c r="G4" s="110">
        <v>429</v>
      </c>
      <c r="H4" s="110">
        <v>429</v>
      </c>
    </row>
    <row r="5" spans="1:8" x14ac:dyDescent="0.25">
      <c r="A5" s="63" t="s">
        <v>59</v>
      </c>
      <c r="B5" s="110">
        <v>7000</v>
      </c>
      <c r="C5" s="73">
        <f>7000*(LCOE!$AR$26+LCOE!$AS$26)/1000000+('Capacités installées'!B5-7000)*(LCOE!$AR$27+LCOE!$AS$27)/1000000</f>
        <v>0.30309999999999998</v>
      </c>
      <c r="D5" s="76">
        <f t="shared" si="0"/>
        <v>303.09999999999997</v>
      </c>
      <c r="F5" s="110">
        <v>7000.0001000000002</v>
      </c>
      <c r="G5" s="110">
        <v>7000</v>
      </c>
      <c r="H5" s="110">
        <v>7000</v>
      </c>
    </row>
    <row r="6" spans="1:8" x14ac:dyDescent="0.25">
      <c r="A6" s="63" t="s">
        <v>60</v>
      </c>
      <c r="B6" s="110">
        <v>3.19840730000007E-4</v>
      </c>
      <c r="C6" s="73">
        <f>B6*(LCOE!$AR$31+LCOE!$AS$31)/1000000</f>
        <v>4.2858657820000936E-8</v>
      </c>
      <c r="D6" s="76">
        <f t="shared" si="0"/>
        <v>4.2858657820000933E-5</v>
      </c>
      <c r="F6" s="110">
        <v>122.764120162702</v>
      </c>
      <c r="G6" s="110">
        <v>82.643518525497498</v>
      </c>
      <c r="H6" s="110">
        <v>204.95725567660099</v>
      </c>
    </row>
    <row r="7" spans="1:8" x14ac:dyDescent="0.25">
      <c r="A7" s="63" t="s">
        <v>61</v>
      </c>
      <c r="B7" s="110">
        <v>68309.5</v>
      </c>
      <c r="C7" s="73">
        <f>B7*(LCOE!$AR$13+LCOE!$AS$13)/1000000</f>
        <v>4.1368233200000004</v>
      </c>
      <c r="D7" s="76">
        <f t="shared" si="0"/>
        <v>4136.8233200000004</v>
      </c>
      <c r="F7" s="110">
        <v>22438.450000000401</v>
      </c>
      <c r="G7" s="110">
        <v>18688.449999999699</v>
      </c>
      <c r="H7" s="110">
        <v>18215</v>
      </c>
    </row>
    <row r="8" spans="1:8" x14ac:dyDescent="0.25">
      <c r="A8" s="63" t="s">
        <v>62</v>
      </c>
      <c r="B8" s="110">
        <v>24350.5</v>
      </c>
      <c r="C8" s="73">
        <f>B8*(LCOE!$AR$12+LCOE!$AS$12)/1000000</f>
        <v>1.5779124</v>
      </c>
      <c r="D8" s="76">
        <f t="shared" si="0"/>
        <v>1577.9123999999999</v>
      </c>
      <c r="F8" s="110">
        <v>35235.947999999597</v>
      </c>
      <c r="G8" s="110">
        <v>22552.5449999999</v>
      </c>
      <c r="H8" s="110">
        <v>2360</v>
      </c>
    </row>
    <row r="9" spans="1:8" x14ac:dyDescent="0.25">
      <c r="A9" s="63" t="s">
        <v>63</v>
      </c>
      <c r="B9" s="110">
        <v>29477.000700174602</v>
      </c>
      <c r="C9" s="73">
        <f>B9*(LCOE!$AR$6+LCOE!$AS$6)/1000000</f>
        <v>3.1304574743585429</v>
      </c>
      <c r="D9" s="76">
        <f t="shared" si="0"/>
        <v>3130.4574743585431</v>
      </c>
      <c r="F9" s="110">
        <v>63553.297000903403</v>
      </c>
      <c r="G9" s="110">
        <v>45685.655000177401</v>
      </c>
      <c r="H9" s="110">
        <v>7250.5380003357805</v>
      </c>
    </row>
    <row r="10" spans="1:8" x14ac:dyDescent="0.25">
      <c r="A10" s="63" t="s">
        <v>64</v>
      </c>
      <c r="B10" s="110">
        <v>18258.104550026001</v>
      </c>
      <c r="C10" s="73">
        <f>B10*(LCOE!$AR$7+LCOE!$AS$7)/1000000</f>
        <v>2.5095764704010737</v>
      </c>
      <c r="D10" s="76">
        <f t="shared" si="0"/>
        <v>2509.5764704010735</v>
      </c>
      <c r="F10" s="110">
        <v>21028.3553165823</v>
      </c>
      <c r="G10" s="110">
        <v>21000.000010841399</v>
      </c>
      <c r="H10" s="110">
        <v>7167.73000844135</v>
      </c>
    </row>
    <row r="11" spans="1:8" x14ac:dyDescent="0.25">
      <c r="A11" s="63" t="s">
        <v>65</v>
      </c>
      <c r="B11" s="110">
        <v>15355.3030004908</v>
      </c>
      <c r="C11" s="73">
        <f>B11*(LCOE!$AR$9+LCOE!$AS$9)/1000000</f>
        <v>4.0299992724788103</v>
      </c>
      <c r="D11" s="76">
        <f t="shared" si="0"/>
        <v>4029.9992724788103</v>
      </c>
      <c r="F11" s="110">
        <v>7841.8650031098396</v>
      </c>
      <c r="G11" s="110">
        <v>3720.0000001032799</v>
      </c>
      <c r="H11" s="110">
        <v>2820.0000001314402</v>
      </c>
    </row>
    <row r="12" spans="1:8" x14ac:dyDescent="0.25">
      <c r="A12" s="63" t="s">
        <v>15</v>
      </c>
      <c r="B12" s="110">
        <v>240</v>
      </c>
      <c r="C12" s="73">
        <f>B12*(LCOE!$AR$16+LCOE!$AS$16)/1000000</f>
        <v>5.8647999999999999E-2</v>
      </c>
      <c r="D12" s="76">
        <f t="shared" si="0"/>
        <v>58.647999999999996</v>
      </c>
      <c r="F12" s="110">
        <v>240</v>
      </c>
      <c r="G12" s="110">
        <v>240</v>
      </c>
      <c r="H12" s="110">
        <v>240</v>
      </c>
    </row>
    <row r="13" spans="1:8" x14ac:dyDescent="0.25">
      <c r="A13" s="63" t="s">
        <v>66</v>
      </c>
      <c r="B13" s="110">
        <v>5114.8500006739496</v>
      </c>
      <c r="C13" s="73" t="e">
        <f>B13*(LCOE!#REF!+LCOE!#REF!)/1000000</f>
        <v>#REF!</v>
      </c>
      <c r="D13" s="76" t="e">
        <f t="shared" si="0"/>
        <v>#REF!</v>
      </c>
      <c r="F13" s="110">
        <v>7.8711799999994702E-6</v>
      </c>
      <c r="G13" s="110">
        <v>1.79947499999999E-7</v>
      </c>
      <c r="H13" s="110">
        <v>1.5565920000000099E-7</v>
      </c>
    </row>
    <row r="14" spans="1:8" x14ac:dyDescent="0.25">
      <c r="A14" s="23" t="s">
        <v>67</v>
      </c>
      <c r="B14" s="110">
        <v>0</v>
      </c>
      <c r="C14" s="73"/>
      <c r="D14" s="76">
        <f t="shared" si="0"/>
        <v>0</v>
      </c>
      <c r="F14" s="110">
        <v>1.91153499999999E-3</v>
      </c>
      <c r="G14" s="110">
        <v>7144.7567738158796</v>
      </c>
      <c r="H14" s="110">
        <v>36499.420382710297</v>
      </c>
    </row>
    <row r="15" spans="1:8" x14ac:dyDescent="0.25">
      <c r="A15" s="63" t="s">
        <v>68</v>
      </c>
      <c r="B15" s="110">
        <v>249.71000034865699</v>
      </c>
      <c r="C15" s="73" t="e">
        <f>B15*(LCOE!#REF!+LCOE!#REF!)/1000000</f>
        <v>#REF!</v>
      </c>
      <c r="D15" s="76" t="e">
        <f t="shared" si="0"/>
        <v>#REF!</v>
      </c>
      <c r="F15" s="110">
        <v>2.2880199999999802E-6</v>
      </c>
      <c r="G15" s="110">
        <v>5.1735999999995997E-8</v>
      </c>
      <c r="H15" s="110">
        <v>2.4674659999997301E-7</v>
      </c>
    </row>
    <row r="16" spans="1:8" x14ac:dyDescent="0.25">
      <c r="A16" t="s">
        <v>69</v>
      </c>
      <c r="B16" s="110">
        <v>13208</v>
      </c>
      <c r="C16" s="73">
        <f>B16*(LCOE!$AR$19+LCOE!$AS$19)/1000000</f>
        <v>1.8315313466666669</v>
      </c>
      <c r="D16" s="76">
        <f t="shared" si="0"/>
        <v>1831.5313466666669</v>
      </c>
      <c r="F16" s="110">
        <v>13208</v>
      </c>
      <c r="G16" s="110">
        <v>13208</v>
      </c>
      <c r="H16" s="110">
        <v>13208</v>
      </c>
    </row>
    <row r="17" spans="1:8" x14ac:dyDescent="0.25">
      <c r="A17" t="s">
        <v>70</v>
      </c>
      <c r="B17" s="110">
        <v>7628</v>
      </c>
      <c r="C17" s="73" t="e">
        <f>B17*(LCOE!#REF!+LCOE!#REF!)/1000000</f>
        <v>#REF!</v>
      </c>
      <c r="D17" s="76" t="e">
        <f t="shared" si="0"/>
        <v>#REF!</v>
      </c>
      <c r="F17" s="110">
        <v>7628</v>
      </c>
      <c r="G17" s="110">
        <v>7628</v>
      </c>
      <c r="H17" s="110">
        <v>7628</v>
      </c>
    </row>
    <row r="18" spans="1:8" x14ac:dyDescent="0.25">
      <c r="A18" s="63" t="s">
        <v>18</v>
      </c>
      <c r="B18" s="110">
        <v>135</v>
      </c>
      <c r="C18" s="73">
        <f>B18*(LCOE!$AR$18+LCOE!$AS$18)/1000000</f>
        <v>4.0702500000000003E-2</v>
      </c>
      <c r="D18" s="76">
        <f t="shared" si="0"/>
        <v>40.702500000000001</v>
      </c>
      <c r="F18" s="110">
        <v>135</v>
      </c>
      <c r="G18" s="110">
        <v>135</v>
      </c>
      <c r="H18" s="110">
        <v>135</v>
      </c>
    </row>
    <row r="19" spans="1:8" x14ac:dyDescent="0.25">
      <c r="A19" s="63" t="s">
        <v>71</v>
      </c>
      <c r="B19" s="110">
        <v>0</v>
      </c>
      <c r="C19" s="73">
        <f>B19*(LCOE!$AR$23+LCOE!$AS$23)/1000000</f>
        <v>0</v>
      </c>
      <c r="D19" s="76">
        <f t="shared" si="0"/>
        <v>0</v>
      </c>
      <c r="F19" s="110">
        <v>6.5839890000001997E-3</v>
      </c>
      <c r="G19" s="110">
        <v>7.9098850000001596E-4</v>
      </c>
      <c r="H19" s="110">
        <v>1869.8842267923801</v>
      </c>
    </row>
    <row r="20" spans="1:8" x14ac:dyDescent="0.25">
      <c r="A20" s="63" t="s">
        <v>72</v>
      </c>
      <c r="B20" s="110">
        <v>9383.0500049724706</v>
      </c>
      <c r="C20" s="73">
        <f>B20*(LCOE!$AR$10+LCOE!$AS$10)/1000000</f>
        <v>3.8264077920277737</v>
      </c>
      <c r="D20" s="76">
        <f t="shared" si="0"/>
        <v>3826.4077920277737</v>
      </c>
      <c r="F20" s="110">
        <v>3.7756164779997897E-5</v>
      </c>
      <c r="G20" s="110">
        <v>5.5992889999997495E-7</v>
      </c>
      <c r="H20" s="110">
        <v>1.1873422999999301E-6</v>
      </c>
    </row>
    <row r="21" spans="1:8" x14ac:dyDescent="0.25">
      <c r="A21" s="63" t="s">
        <v>73</v>
      </c>
      <c r="B21" s="110">
        <v>13586.524149755</v>
      </c>
      <c r="C21" s="73">
        <f>B21*(LCOE!$AR$29+LCOE!$AS$29)/1000000</f>
        <v>1.27713327007697</v>
      </c>
      <c r="D21" s="76">
        <f t="shared" si="0"/>
        <v>1277.1332700769699</v>
      </c>
      <c r="F21" s="110">
        <v>7952.0178018598199</v>
      </c>
      <c r="G21" s="110">
        <v>112.005783547704</v>
      </c>
      <c r="H21" s="110">
        <v>0</v>
      </c>
    </row>
    <row r="22" spans="1:8" x14ac:dyDescent="0.25">
      <c r="A22" s="63" t="s">
        <v>74</v>
      </c>
      <c r="B22" s="110">
        <v>416</v>
      </c>
      <c r="C22" s="73">
        <f>B22*(LCOE!$AR$14+LCOE!$AS$14)/1000000</f>
        <v>0.11039253333333333</v>
      </c>
      <c r="D22" s="76">
        <f t="shared" si="0"/>
        <v>110.39253333333333</v>
      </c>
      <c r="F22" s="110">
        <v>416</v>
      </c>
      <c r="G22" s="110">
        <v>416</v>
      </c>
      <c r="H22" s="110">
        <v>416</v>
      </c>
    </row>
    <row r="23" spans="1:8" x14ac:dyDescent="0.25">
      <c r="A23" t="s">
        <v>75</v>
      </c>
      <c r="B23" s="110">
        <v>0</v>
      </c>
      <c r="C23" s="73">
        <f>B23*(LCOE!$AR$22+LCOE!$AS$22)/1000000</f>
        <v>0</v>
      </c>
      <c r="D23" s="76">
        <f t="shared" si="0"/>
        <v>0</v>
      </c>
      <c r="F23" s="110">
        <v>12761.054787695801</v>
      </c>
      <c r="G23" s="110">
        <v>23318.956555237699</v>
      </c>
      <c r="H23" s="110">
        <v>14039.1991799311</v>
      </c>
    </row>
    <row r="24" spans="1:8" x14ac:dyDescent="0.25">
      <c r="A24" s="63" t="s">
        <v>76</v>
      </c>
      <c r="B24" s="110">
        <v>20452.4046197881</v>
      </c>
      <c r="C24" s="73">
        <f>B24*(LCOE!$AR$28+LCOE!$AS$28)/1000000</f>
        <v>1.2680490864268623</v>
      </c>
      <c r="D24" s="76">
        <f t="shared" si="0"/>
        <v>1268.0490864268622</v>
      </c>
      <c r="F24" s="110">
        <v>10877.2256773109</v>
      </c>
      <c r="G24" s="110">
        <v>8001.2754479640398</v>
      </c>
      <c r="H24" s="110">
        <v>2166.7207457263298</v>
      </c>
    </row>
    <row r="25" spans="1:8" x14ac:dyDescent="0.25">
      <c r="A25" s="63" t="s">
        <v>77</v>
      </c>
      <c r="B25" s="110">
        <v>916.64470000001802</v>
      </c>
      <c r="C25" s="73">
        <f>B25*(LCOE!$AR$5+LCOE!$AS$5)/1000000</f>
        <v>0.29786369526500589</v>
      </c>
      <c r="D25" s="76">
        <f t="shared" si="0"/>
        <v>297.8636952650059</v>
      </c>
      <c r="F25" s="110">
        <v>916.64480000000799</v>
      </c>
      <c r="G25" s="110">
        <v>916.64470000001802</v>
      </c>
      <c r="H25" s="110">
        <v>916.64470000001802</v>
      </c>
    </row>
    <row r="27" spans="1:8" x14ac:dyDescent="0.25">
      <c r="B27" s="72" t="s">
        <v>56</v>
      </c>
      <c r="C27" s="72" t="s">
        <v>153</v>
      </c>
    </row>
    <row r="28" spans="1:8" x14ac:dyDescent="0.25">
      <c r="A28" s="77" t="s">
        <v>132</v>
      </c>
      <c r="B28" s="78">
        <v>32292.045552836724</v>
      </c>
      <c r="C28" s="42" t="e">
        <f>(C2+C4+C7+C8+C9+C10+C11+C12+C13+C15+C16+C17+C18+C20+C21+C23+C25)*1000</f>
        <v>#REF!</v>
      </c>
    </row>
    <row r="29" spans="1:8" x14ac:dyDescent="0.25">
      <c r="A29" s="79" t="s">
        <v>133</v>
      </c>
      <c r="B29" s="80">
        <v>360.68590377119841</v>
      </c>
      <c r="C29" s="76">
        <f>'Coûts annuel génération élec'!AP26</f>
        <v>372.85539501920005</v>
      </c>
    </row>
    <row r="30" spans="1:8" x14ac:dyDescent="0.25">
      <c r="A30" s="77" t="s">
        <v>134</v>
      </c>
      <c r="B30" s="80">
        <v>28.099482605991597</v>
      </c>
      <c r="C30" s="76">
        <f>D6</f>
        <v>4.2858657820000933E-5</v>
      </c>
    </row>
    <row r="31" spans="1:8" x14ac:dyDescent="0.25">
      <c r="A31" s="77" t="s">
        <v>148</v>
      </c>
      <c r="B31" s="78">
        <v>53.312821728000003</v>
      </c>
    </row>
    <row r="32" spans="1:8" x14ac:dyDescent="0.25">
      <c r="A32" s="77" t="s">
        <v>135</v>
      </c>
      <c r="B32" s="80">
        <v>2241.2852778656193</v>
      </c>
      <c r="C32" s="76">
        <f>'Coûts annuels réseaux et stocka'!AP15</f>
        <v>2646.9168504344711</v>
      </c>
    </row>
    <row r="33" spans="1:3" x14ac:dyDescent="0.25">
      <c r="A33" s="77" t="s">
        <v>136</v>
      </c>
      <c r="B33" s="80">
        <v>11117.5</v>
      </c>
      <c r="C33" s="76">
        <f>'Coûts annuels réseaux et stocka'!AP10</f>
        <v>11117.5</v>
      </c>
    </row>
    <row r="34" spans="1:3" x14ac:dyDescent="0.25">
      <c r="A34" s="77" t="s">
        <v>137</v>
      </c>
      <c r="B34" s="78">
        <v>2645.4776418603101</v>
      </c>
      <c r="C34" s="76">
        <f>(C21+C3)*1000</f>
        <v>1848.5315008290661</v>
      </c>
    </row>
    <row r="35" spans="1:3" x14ac:dyDescent="0.25">
      <c r="A35" s="77" t="s">
        <v>138</v>
      </c>
      <c r="B35" s="78">
        <v>578.040751</v>
      </c>
      <c r="C35" s="76">
        <f>C5*1000</f>
        <v>303.09999999999997</v>
      </c>
    </row>
    <row r="36" spans="1:3" x14ac:dyDescent="0.25">
      <c r="A36" s="77" t="s">
        <v>139</v>
      </c>
      <c r="B36" s="78">
        <v>746.58371097599593</v>
      </c>
      <c r="C36" s="76">
        <f>C24*1000</f>
        <v>1268.0490864268622</v>
      </c>
    </row>
    <row r="37" spans="1:3" x14ac:dyDescent="0.25">
      <c r="A37" s="77" t="s">
        <v>140</v>
      </c>
      <c r="B37" s="78">
        <v>0</v>
      </c>
      <c r="C37" s="76">
        <f>(C14+C19+C23)*1000</f>
        <v>0</v>
      </c>
    </row>
    <row r="38" spans="1:3" x14ac:dyDescent="0.25">
      <c r="A38" s="77" t="s">
        <v>149</v>
      </c>
      <c r="B38" s="78">
        <v>0</v>
      </c>
      <c r="C38" s="76"/>
    </row>
    <row r="39" spans="1:3" x14ac:dyDescent="0.25">
      <c r="A39" s="77" t="s">
        <v>150</v>
      </c>
      <c r="B39" s="78">
        <v>0</v>
      </c>
      <c r="C39" s="76"/>
    </row>
    <row r="40" spans="1:3" x14ac:dyDescent="0.25">
      <c r="A40" s="77" t="s">
        <v>141</v>
      </c>
      <c r="B40" s="80">
        <v>450</v>
      </c>
      <c r="C40" s="76">
        <f>'Coûts annuels réseaux et stocka'!AP20</f>
        <v>453.5</v>
      </c>
    </row>
    <row r="41" spans="1:3" x14ac:dyDescent="0.25">
      <c r="A41" s="81" t="s">
        <v>151</v>
      </c>
      <c r="B41" s="82">
        <v>50406.405499187837</v>
      </c>
    </row>
    <row r="42" spans="1:3" x14ac:dyDescent="0.25">
      <c r="A42" s="79" t="s">
        <v>152</v>
      </c>
      <c r="B42" s="78"/>
    </row>
  </sheetData>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C35"/>
  <sheetViews>
    <sheetView zoomScaleNormal="100" workbookViewId="0">
      <pane xSplit="1" ySplit="2" topLeftCell="B6" activePane="bottomRight" state="frozen"/>
      <selection pane="topRight" activeCell="B1" sqref="B1"/>
      <selection pane="bottomLeft" activeCell="A3" sqref="A3"/>
      <selection pane="bottomRight" activeCell="D20" sqref="D20"/>
    </sheetView>
  </sheetViews>
  <sheetFormatPr baseColWidth="10" defaultRowHeight="15" x14ac:dyDescent="0.25"/>
  <cols>
    <col min="1" max="1" width="26.7109375" bestFit="1" customWidth="1"/>
    <col min="2" max="2" width="16.42578125" bestFit="1" customWidth="1"/>
    <col min="3" max="3" width="21.5703125" customWidth="1"/>
  </cols>
  <sheetData>
    <row r="1" spans="1:3" x14ac:dyDescent="0.25">
      <c r="B1" s="143"/>
      <c r="C1" s="143"/>
    </row>
    <row r="2" spans="1:3" s="66" customFormat="1" ht="44.45" customHeight="1" x14ac:dyDescent="0.25">
      <c r="B2" s="67" t="s">
        <v>196</v>
      </c>
      <c r="C2" s="67" t="s">
        <v>157</v>
      </c>
    </row>
    <row r="3" spans="1:3" x14ac:dyDescent="0.25">
      <c r="A3" t="s">
        <v>57</v>
      </c>
      <c r="B3" s="92">
        <v>23303462.188700002</v>
      </c>
      <c r="C3" s="83">
        <f>(B3*LCOE!AM3/1000000)-'Capacités installées'!C29</f>
        <v>1258.3869581898002</v>
      </c>
    </row>
    <row r="4" spans="1:3" x14ac:dyDescent="0.25">
      <c r="A4" t="s">
        <v>58</v>
      </c>
      <c r="B4" s="92">
        <v>16118594.429300001</v>
      </c>
      <c r="C4" s="83"/>
    </row>
    <row r="5" spans="1:3" x14ac:dyDescent="0.25">
      <c r="A5" t="s">
        <v>21</v>
      </c>
      <c r="B5" s="92">
        <v>3758040</v>
      </c>
      <c r="C5" s="83">
        <f>B5*LCOE!AM4/1000000</f>
        <v>225.48240000000001</v>
      </c>
    </row>
    <row r="6" spans="1:3" x14ac:dyDescent="0.25">
      <c r="A6" t="s">
        <v>59</v>
      </c>
      <c r="B6" s="92">
        <v>12134739.4727</v>
      </c>
      <c r="C6" s="84"/>
    </row>
    <row r="7" spans="1:3" x14ac:dyDescent="0.25">
      <c r="A7" t="s">
        <v>61</v>
      </c>
      <c r="B7" s="92">
        <v>87730317.515599996</v>
      </c>
      <c r="C7" s="83">
        <f>B7*LCOE!AM13/1000000</f>
        <v>7457.0769888259993</v>
      </c>
    </row>
    <row r="8" spans="1:3" x14ac:dyDescent="0.25">
      <c r="A8" t="s">
        <v>62</v>
      </c>
      <c r="B8" s="92">
        <v>32567916.511</v>
      </c>
      <c r="C8" s="83">
        <f>B8*LCOE!AM12/1000000</f>
        <v>1954.0749906600001</v>
      </c>
    </row>
    <row r="9" spans="1:3" x14ac:dyDescent="0.25">
      <c r="A9" t="s">
        <v>63</v>
      </c>
      <c r="B9" s="92">
        <v>82481641.619299993</v>
      </c>
      <c r="C9" s="83">
        <f>B9*LCOE!AM6/1000000</f>
        <v>5361.3067052544993</v>
      </c>
    </row>
    <row r="10" spans="1:3" x14ac:dyDescent="0.25">
      <c r="A10" t="s">
        <v>64</v>
      </c>
      <c r="B10" s="92">
        <v>44441011.1824999</v>
      </c>
      <c r="C10" s="83">
        <f>B10*LCOE!AM7/1000000</f>
        <v>2888.6657268624936</v>
      </c>
    </row>
    <row r="11" spans="1:3" x14ac:dyDescent="0.25">
      <c r="A11" t="s">
        <v>65</v>
      </c>
      <c r="B11" s="92">
        <v>63505048.441100799</v>
      </c>
      <c r="C11" s="83">
        <f>B11*LCOE!AM9/1000000</f>
        <v>5080.4038752880642</v>
      </c>
    </row>
    <row r="12" spans="1:3" x14ac:dyDescent="0.25">
      <c r="A12" t="s">
        <v>15</v>
      </c>
      <c r="B12" s="92">
        <v>483876.24</v>
      </c>
      <c r="C12" s="83">
        <f>B12*LCOE!AM16/1000000</f>
        <v>77.420198400000004</v>
      </c>
    </row>
    <row r="13" spans="1:3" x14ac:dyDescent="0.25">
      <c r="A13" t="s">
        <v>66</v>
      </c>
      <c r="B13" s="92">
        <v>22581658.988799602</v>
      </c>
      <c r="C13" s="83">
        <f>B13*LCOE!$AM$17/1000000</f>
        <v>2483.9824887679561</v>
      </c>
    </row>
    <row r="14" spans="1:3" s="65" customFormat="1" x14ac:dyDescent="0.25">
      <c r="A14" t="s">
        <v>67</v>
      </c>
      <c r="B14" s="92">
        <v>0</v>
      </c>
      <c r="C14" s="83"/>
    </row>
    <row r="15" spans="1:3" x14ac:dyDescent="0.25">
      <c r="A15" t="s">
        <v>68</v>
      </c>
      <c r="B15" s="92">
        <v>1094161.3043</v>
      </c>
      <c r="C15" s="83">
        <f>B15*LCOE!$AM$17/1000000</f>
        <v>120.35774347299999</v>
      </c>
    </row>
    <row r="16" spans="1:3" x14ac:dyDescent="0.25">
      <c r="A16" t="s">
        <v>69</v>
      </c>
      <c r="B16" s="92">
        <v>27388980.115400899</v>
      </c>
      <c r="C16" s="83"/>
    </row>
    <row r="17" spans="1:3" x14ac:dyDescent="0.25">
      <c r="A17" t="s">
        <v>70</v>
      </c>
      <c r="B17" s="92">
        <v>33875129.009800799</v>
      </c>
      <c r="C17" s="83"/>
    </row>
    <row r="18" spans="1:3" x14ac:dyDescent="0.25">
      <c r="A18" t="s">
        <v>18</v>
      </c>
      <c r="B18" s="92">
        <v>1182600</v>
      </c>
      <c r="C18" s="83">
        <f>B18*LCOE!AM18/1000000</f>
        <v>68.590800000000002</v>
      </c>
    </row>
    <row r="19" spans="1:3" s="65" customFormat="1" x14ac:dyDescent="0.25">
      <c r="A19" t="s">
        <v>71</v>
      </c>
      <c r="B19" s="92">
        <v>0</v>
      </c>
      <c r="C19" s="83"/>
    </row>
    <row r="20" spans="1:3" x14ac:dyDescent="0.25">
      <c r="A20" t="s">
        <v>72</v>
      </c>
      <c r="B20" s="92">
        <v>41016055.074400797</v>
      </c>
      <c r="C20" s="83">
        <f>B20*LCOE!AM10/1000000</f>
        <v>4511.7660581840873</v>
      </c>
    </row>
    <row r="21" spans="1:3" x14ac:dyDescent="0.25">
      <c r="A21" t="s">
        <v>74</v>
      </c>
      <c r="B21" s="92">
        <v>496770.099999998</v>
      </c>
      <c r="C21" s="83">
        <f>B21*LCOE!AM14/1000000</f>
        <v>149.03102999999939</v>
      </c>
    </row>
    <row r="22" spans="1:3" s="65" customFormat="1" x14ac:dyDescent="0.25">
      <c r="A22" t="s">
        <v>75</v>
      </c>
      <c r="B22" s="92"/>
      <c r="C22" s="83"/>
    </row>
    <row r="23" spans="1:3" x14ac:dyDescent="0.25">
      <c r="A23" t="s">
        <v>76</v>
      </c>
      <c r="B23" s="92">
        <v>24596331.0165</v>
      </c>
      <c r="C23" s="84"/>
    </row>
    <row r="24" spans="1:3" x14ac:dyDescent="0.25">
      <c r="A24" t="s">
        <v>77</v>
      </c>
      <c r="B24" s="92">
        <v>8029791.65550014</v>
      </c>
      <c r="C24" s="83">
        <f>B24*LCOE!AM5/1000000</f>
        <v>401.48958277500702</v>
      </c>
    </row>
    <row r="26" spans="1:3" s="70" customFormat="1" x14ac:dyDescent="0.25"/>
    <row r="27" spans="1:3" x14ac:dyDescent="0.25">
      <c r="A27" t="s">
        <v>155</v>
      </c>
      <c r="B27" s="71"/>
      <c r="C27" s="13">
        <f>32292-SUM(C3:C24)</f>
        <v>253.9644533190949</v>
      </c>
    </row>
    <row r="28" spans="1:3" x14ac:dyDescent="0.25">
      <c r="B28" s="69"/>
      <c r="C28" s="69"/>
    </row>
    <row r="29" spans="1:3" x14ac:dyDescent="0.25">
      <c r="B29" s="69"/>
      <c r="C29" s="69"/>
    </row>
    <row r="31" spans="1:3" x14ac:dyDescent="0.25">
      <c r="B31" s="69"/>
      <c r="C31" s="69"/>
    </row>
    <row r="34" spans="2:3" x14ac:dyDescent="0.25">
      <c r="B34" s="69"/>
      <c r="C34" s="69"/>
    </row>
    <row r="35" spans="2:3" x14ac:dyDescent="0.25">
      <c r="B35" s="69"/>
      <c r="C35" s="69"/>
    </row>
  </sheetData>
  <mergeCells count="1">
    <mergeCell ref="B1:C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Synthèse format 3ME</vt:lpstr>
      <vt:lpstr>Coûts annuel génération élec</vt:lpstr>
      <vt:lpstr>Coûts annuels réseaux et stocka</vt:lpstr>
      <vt:lpstr>Données capacités de production</vt:lpstr>
      <vt:lpstr>Chronique de production</vt:lpstr>
      <vt:lpstr>Données capacités de stockage</vt:lpstr>
      <vt:lpstr>LCOE</vt:lpstr>
      <vt:lpstr>Capacités installées</vt:lpstr>
      <vt:lpstr>Production</vt:lpstr>
      <vt:lpstr>Linéarisation mix</vt:lpstr>
      <vt:lpstr>Structure de coûts RTE</vt:lpstr>
      <vt:lpstr>Données Linky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2016-03-19T18:38:17Z</dcterms:modified>
</cp:coreProperties>
</file>