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Coûts annuel génération élec" sheetId="4" r:id="rId1"/>
    <sheet name="Coûts annuels réseaux et stocka" sheetId="1" r:id="rId2"/>
    <sheet name="Données capacités de production" sheetId="12" r:id="rId3"/>
    <sheet name="Chronique de production" sheetId="16" r:id="rId4"/>
    <sheet name="Données capacités de stockage" sheetId="7" r:id="rId5"/>
    <sheet name="LCOE" sheetId="2" r:id="rId6"/>
    <sheet name="Capacités installées" sheetId="3" r:id="rId7"/>
    <sheet name="Production" sheetId="14" r:id="rId8"/>
    <sheet name="Linéarisation mix" sheetId="15" r:id="rId9"/>
    <sheet name="Structure de coûts RTE" sheetId="5" r:id="rId10"/>
    <sheet name="Données Linky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AM18" i="12" l="1"/>
  <c r="C20" i="14" l="1"/>
  <c r="AM11" i="2"/>
  <c r="AS11" i="2" l="1"/>
  <c r="AM20" i="12"/>
  <c r="V36" i="1" l="1"/>
  <c r="E36" i="1"/>
  <c r="V35" i="1"/>
  <c r="AN17" i="1"/>
  <c r="AN16" i="1"/>
  <c r="AN15" i="1"/>
  <c r="M23" i="7"/>
  <c r="AE11" i="7"/>
  <c r="M11" i="7"/>
  <c r="AM45" i="12" l="1"/>
  <c r="D45" i="12" s="1"/>
  <c r="AI45" i="12" l="1"/>
  <c r="AE45" i="12"/>
  <c r="AA45" i="12"/>
  <c r="W45" i="12"/>
  <c r="S45" i="12"/>
  <c r="O45" i="12"/>
  <c r="K45" i="12"/>
  <c r="G45" i="12"/>
  <c r="C45" i="12"/>
  <c r="AL45" i="12"/>
  <c r="AH45" i="12"/>
  <c r="AD45" i="12"/>
  <c r="Z45" i="12"/>
  <c r="V45" i="12"/>
  <c r="R45" i="12"/>
  <c r="N45" i="12"/>
  <c r="J45" i="12"/>
  <c r="F45" i="12"/>
  <c r="B45" i="12"/>
  <c r="AK45" i="12"/>
  <c r="AG45" i="12"/>
  <c r="AC45" i="12"/>
  <c r="Y45" i="12"/>
  <c r="U45" i="12"/>
  <c r="Q45" i="12"/>
  <c r="M45" i="12"/>
  <c r="I45" i="12"/>
  <c r="E45" i="12"/>
  <c r="AJ45" i="12"/>
  <c r="AF45" i="12"/>
  <c r="AB45" i="12"/>
  <c r="X45" i="12"/>
  <c r="T45" i="12"/>
  <c r="P45" i="12"/>
  <c r="L45" i="12"/>
  <c r="H45" i="12"/>
  <c r="B66" i="7" l="1"/>
  <c r="S66" i="7"/>
  <c r="AM47" i="7"/>
  <c r="AL47" i="7" s="1"/>
  <c r="AK47" i="7" s="1"/>
  <c r="AJ47" i="7" s="1"/>
  <c r="AI47" i="7" s="1"/>
  <c r="AH47" i="7" s="1"/>
  <c r="AG47" i="7" s="1"/>
  <c r="AF47" i="7" s="1"/>
  <c r="AE47" i="7" s="1"/>
  <c r="AD47" i="7" s="1"/>
  <c r="AC47" i="7" s="1"/>
  <c r="AB47" i="7" s="1"/>
  <c r="AA47" i="7" s="1"/>
  <c r="Z47" i="7" s="1"/>
  <c r="Y47" i="7" s="1"/>
  <c r="X47" i="7" s="1"/>
  <c r="W47" i="7" s="1"/>
  <c r="V47" i="7" s="1"/>
  <c r="U47" i="7" s="1"/>
  <c r="T47" i="7" s="1"/>
  <c r="S47" i="7" s="1"/>
  <c r="R47" i="7" s="1"/>
  <c r="Q47" i="7" s="1"/>
  <c r="AM11" i="7" l="1"/>
  <c r="C29" i="1" l="1"/>
  <c r="D29" i="1"/>
  <c r="B29" i="1"/>
  <c r="B60" i="7"/>
  <c r="C60" i="7"/>
  <c r="C64" i="7" s="1"/>
  <c r="D60" i="7"/>
  <c r="D64" i="7" s="1"/>
  <c r="E60" i="7"/>
  <c r="E64" i="7" s="1"/>
  <c r="F60" i="7"/>
  <c r="F64" i="7" s="1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D64" i="7" s="1"/>
  <c r="AE60" i="7"/>
  <c r="AF60" i="7"/>
  <c r="AG60" i="7"/>
  <c r="AH60" i="7"/>
  <c r="AI60" i="7"/>
  <c r="AJ60" i="7"/>
  <c r="AK60" i="7"/>
  <c r="AL60" i="7"/>
  <c r="AM60" i="7"/>
  <c r="B62" i="7" l="1"/>
  <c r="AM56" i="7"/>
  <c r="AM63" i="7"/>
  <c r="S57" i="7"/>
  <c r="AM57" i="7"/>
  <c r="B57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B64" i="7"/>
  <c r="AM50" i="7"/>
  <c r="AM64" i="7" l="1"/>
  <c r="AM66" i="7"/>
  <c r="AM65" i="7" s="1"/>
  <c r="AP34" i="4"/>
  <c r="AM107" i="12"/>
  <c r="AM108" i="12" s="1"/>
  <c r="AP50" i="4" s="1"/>
  <c r="AM94" i="12"/>
  <c r="AM92" i="12" s="1"/>
  <c r="K94" i="12" s="1"/>
  <c r="K95" i="12" s="1"/>
  <c r="AM95" i="12"/>
  <c r="AM82" i="12"/>
  <c r="AM83" i="12" s="1"/>
  <c r="AM80" i="12"/>
  <c r="B82" i="12" s="1"/>
  <c r="B83" i="12" s="1"/>
  <c r="AM70" i="12"/>
  <c r="AM68" i="12" s="1"/>
  <c r="AM59" i="12"/>
  <c r="AM57" i="12" s="1"/>
  <c r="AM47" i="12"/>
  <c r="AP30" i="4" l="1"/>
  <c r="AP51" i="4"/>
  <c r="AP49" i="4" s="1"/>
  <c r="AD94" i="12"/>
  <c r="AD95" i="12" s="1"/>
  <c r="J94" i="12"/>
  <c r="J95" i="12" s="1"/>
  <c r="AL94" i="12"/>
  <c r="AL95" i="12" s="1"/>
  <c r="AA94" i="12"/>
  <c r="AA95" i="12" s="1"/>
  <c r="R94" i="12"/>
  <c r="R95" i="12" s="1"/>
  <c r="D94" i="12"/>
  <c r="D95" i="12" s="1"/>
  <c r="S94" i="12"/>
  <c r="S95" i="12" s="1"/>
  <c r="AI94" i="12"/>
  <c r="AI95" i="12" s="1"/>
  <c r="Z94" i="12"/>
  <c r="Z95" i="12" s="1"/>
  <c r="N94" i="12"/>
  <c r="N95" i="12" s="1"/>
  <c r="AH94" i="12"/>
  <c r="AH95" i="12" s="1"/>
  <c r="V94" i="12"/>
  <c r="V95" i="12" s="1"/>
  <c r="E94" i="12"/>
  <c r="E95" i="12" s="1"/>
  <c r="I94" i="12"/>
  <c r="I95" i="12" s="1"/>
  <c r="B94" i="12"/>
  <c r="B95" i="12" s="1"/>
  <c r="G94" i="12"/>
  <c r="G95" i="12" s="1"/>
  <c r="L94" i="12"/>
  <c r="L95" i="12" s="1"/>
  <c r="P94" i="12"/>
  <c r="P95" i="12" s="1"/>
  <c r="T94" i="12"/>
  <c r="T95" i="12" s="1"/>
  <c r="X94" i="12"/>
  <c r="X95" i="12" s="1"/>
  <c r="AB94" i="12"/>
  <c r="AB95" i="12" s="1"/>
  <c r="AF94" i="12"/>
  <c r="AF95" i="12" s="1"/>
  <c r="AJ94" i="12"/>
  <c r="AJ95" i="12" s="1"/>
  <c r="C94" i="12"/>
  <c r="C95" i="12" s="1"/>
  <c r="H94" i="12"/>
  <c r="H95" i="12" s="1"/>
  <c r="M94" i="12"/>
  <c r="M95" i="12" s="1"/>
  <c r="Q94" i="12"/>
  <c r="Q95" i="12" s="1"/>
  <c r="U94" i="12"/>
  <c r="U95" i="12" s="1"/>
  <c r="Y94" i="12"/>
  <c r="Y95" i="12" s="1"/>
  <c r="AC94" i="12"/>
  <c r="AC95" i="12" s="1"/>
  <c r="AG94" i="12"/>
  <c r="AG95" i="12" s="1"/>
  <c r="AK94" i="12"/>
  <c r="AK95" i="12" s="1"/>
  <c r="AE94" i="12"/>
  <c r="AE95" i="12" s="1"/>
  <c r="W94" i="12"/>
  <c r="W95" i="12" s="1"/>
  <c r="O94" i="12"/>
  <c r="O95" i="12" s="1"/>
  <c r="F94" i="12"/>
  <c r="F95" i="12" s="1"/>
  <c r="AM105" i="12"/>
  <c r="AC82" i="12"/>
  <c r="AC83" i="12" s="1"/>
  <c r="M82" i="12"/>
  <c r="M83" i="12" s="1"/>
  <c r="Y82" i="12"/>
  <c r="Y83" i="12" s="1"/>
  <c r="I82" i="12"/>
  <c r="I83" i="12" s="1"/>
  <c r="AK82" i="12"/>
  <c r="AK83" i="12" s="1"/>
  <c r="U82" i="12"/>
  <c r="U83" i="12" s="1"/>
  <c r="E82" i="12"/>
  <c r="E83" i="12" s="1"/>
  <c r="AG82" i="12"/>
  <c r="AG83" i="12" s="1"/>
  <c r="Q82" i="12"/>
  <c r="Q83" i="12" s="1"/>
  <c r="AJ82" i="12"/>
  <c r="AJ83" i="12" s="1"/>
  <c r="AF82" i="12"/>
  <c r="AF83" i="12" s="1"/>
  <c r="AB82" i="12"/>
  <c r="AB83" i="12" s="1"/>
  <c r="X82" i="12"/>
  <c r="X83" i="12" s="1"/>
  <c r="T82" i="12"/>
  <c r="T83" i="12" s="1"/>
  <c r="P82" i="12"/>
  <c r="P83" i="12" s="1"/>
  <c r="L82" i="12"/>
  <c r="L83" i="12" s="1"/>
  <c r="H82" i="12"/>
  <c r="H83" i="12" s="1"/>
  <c r="D82" i="12"/>
  <c r="D83" i="12" s="1"/>
  <c r="AI82" i="12"/>
  <c r="AI83" i="12" s="1"/>
  <c r="AE82" i="12"/>
  <c r="AE83" i="12" s="1"/>
  <c r="AA82" i="12"/>
  <c r="AA83" i="12" s="1"/>
  <c r="W82" i="12"/>
  <c r="W83" i="12" s="1"/>
  <c r="S82" i="12"/>
  <c r="S83" i="12" s="1"/>
  <c r="O82" i="12"/>
  <c r="O83" i="12" s="1"/>
  <c r="K82" i="12"/>
  <c r="K83" i="12" s="1"/>
  <c r="G82" i="12"/>
  <c r="G83" i="12" s="1"/>
  <c r="C82" i="12"/>
  <c r="C83" i="12" s="1"/>
  <c r="AL82" i="12"/>
  <c r="AL83" i="12" s="1"/>
  <c r="AH82" i="12"/>
  <c r="AH83" i="12" s="1"/>
  <c r="AD82" i="12"/>
  <c r="AD83" i="12" s="1"/>
  <c r="Z82" i="12"/>
  <c r="Z83" i="12" s="1"/>
  <c r="V82" i="12"/>
  <c r="V83" i="12" s="1"/>
  <c r="R82" i="12"/>
  <c r="R83" i="12" s="1"/>
  <c r="N82" i="12"/>
  <c r="N83" i="12" s="1"/>
  <c r="J82" i="12"/>
  <c r="J83" i="12" s="1"/>
  <c r="F82" i="12"/>
  <c r="F83" i="12" s="1"/>
  <c r="E70" i="12"/>
  <c r="AH70" i="12"/>
  <c r="C70" i="12"/>
  <c r="G70" i="12"/>
  <c r="K70" i="12"/>
  <c r="O70" i="12"/>
  <c r="S70" i="12"/>
  <c r="W70" i="12"/>
  <c r="AA70" i="12"/>
  <c r="AE70" i="12"/>
  <c r="AI70" i="12"/>
  <c r="D70" i="12"/>
  <c r="H70" i="12"/>
  <c r="L70" i="12"/>
  <c r="P70" i="12"/>
  <c r="T70" i="12"/>
  <c r="X70" i="12"/>
  <c r="AB70" i="12"/>
  <c r="AF70" i="12"/>
  <c r="AJ70" i="12"/>
  <c r="I70" i="12"/>
  <c r="M70" i="12"/>
  <c r="Q70" i="12"/>
  <c r="U70" i="12"/>
  <c r="Y70" i="12"/>
  <c r="AC70" i="12"/>
  <c r="AG70" i="12"/>
  <c r="AK70" i="12"/>
  <c r="B70" i="12"/>
  <c r="F70" i="12"/>
  <c r="J70" i="12"/>
  <c r="N70" i="12"/>
  <c r="R70" i="12"/>
  <c r="V70" i="12"/>
  <c r="Z70" i="12"/>
  <c r="AD70" i="12"/>
  <c r="AL70" i="12"/>
  <c r="AM71" i="12"/>
  <c r="AP33" i="4" s="1"/>
  <c r="AP32" i="4" s="1"/>
  <c r="E59" i="12"/>
  <c r="H30" i="4" s="1"/>
  <c r="I59" i="12"/>
  <c r="L30" i="4" s="1"/>
  <c r="M59" i="12"/>
  <c r="P30" i="4" s="1"/>
  <c r="Q59" i="12"/>
  <c r="T30" i="4" s="1"/>
  <c r="U59" i="12"/>
  <c r="X30" i="4" s="1"/>
  <c r="Y59" i="12"/>
  <c r="AB30" i="4" s="1"/>
  <c r="AC59" i="12"/>
  <c r="AF30" i="4" s="1"/>
  <c r="AG59" i="12"/>
  <c r="AJ30" i="4" s="1"/>
  <c r="AK59" i="12"/>
  <c r="AN30" i="4" s="1"/>
  <c r="B59" i="12"/>
  <c r="F59" i="12"/>
  <c r="I30" i="4" s="1"/>
  <c r="J59" i="12"/>
  <c r="M30" i="4" s="1"/>
  <c r="N59" i="12"/>
  <c r="Q30" i="4" s="1"/>
  <c r="R59" i="12"/>
  <c r="U30" i="4" s="1"/>
  <c r="V59" i="12"/>
  <c r="Y30" i="4" s="1"/>
  <c r="Z59" i="12"/>
  <c r="AC30" i="4" s="1"/>
  <c r="AD59" i="12"/>
  <c r="AG30" i="4" s="1"/>
  <c r="AH59" i="12"/>
  <c r="AK30" i="4" s="1"/>
  <c r="AL59" i="12"/>
  <c r="AO30" i="4" s="1"/>
  <c r="C59" i="12"/>
  <c r="F30" i="4" s="1"/>
  <c r="G59" i="12"/>
  <c r="J30" i="4" s="1"/>
  <c r="K59" i="12"/>
  <c r="N30" i="4" s="1"/>
  <c r="O59" i="12"/>
  <c r="R30" i="4" s="1"/>
  <c r="S59" i="12"/>
  <c r="V30" i="4" s="1"/>
  <c r="W59" i="12"/>
  <c r="Z30" i="4" s="1"/>
  <c r="AA59" i="12"/>
  <c r="AD30" i="4" s="1"/>
  <c r="AE59" i="12"/>
  <c r="AH30" i="4" s="1"/>
  <c r="AI59" i="12"/>
  <c r="AL30" i="4" s="1"/>
  <c r="D59" i="12"/>
  <c r="G30" i="4" s="1"/>
  <c r="H59" i="12"/>
  <c r="K30" i="4" s="1"/>
  <c r="L59" i="12"/>
  <c r="O30" i="4" s="1"/>
  <c r="P59" i="12"/>
  <c r="S30" i="4" s="1"/>
  <c r="T59" i="12"/>
  <c r="W30" i="4" s="1"/>
  <c r="X59" i="12"/>
  <c r="AA30" i="4" s="1"/>
  <c r="AB59" i="12"/>
  <c r="AE30" i="4" s="1"/>
  <c r="AF59" i="12"/>
  <c r="AI30" i="4" s="1"/>
  <c r="AJ59" i="12"/>
  <c r="AM30" i="4" s="1"/>
  <c r="AS8" i="2"/>
  <c r="AM9" i="12" s="1"/>
  <c r="AM7" i="12" l="1"/>
  <c r="L9" i="12" s="1"/>
  <c r="O10" i="4" s="1"/>
  <c r="AP10" i="4"/>
  <c r="Z71" i="12"/>
  <c r="AC33" i="4" s="1"/>
  <c r="AC34" i="4"/>
  <c r="J71" i="12"/>
  <c r="M33" i="4" s="1"/>
  <c r="M34" i="4"/>
  <c r="AG71" i="12"/>
  <c r="AJ33" i="4" s="1"/>
  <c r="AJ34" i="4"/>
  <c r="Q71" i="12"/>
  <c r="T33" i="4" s="1"/>
  <c r="T34" i="4"/>
  <c r="AF71" i="12"/>
  <c r="AI33" i="4" s="1"/>
  <c r="AI34" i="4"/>
  <c r="P71" i="12"/>
  <c r="S33" i="4" s="1"/>
  <c r="S34" i="4"/>
  <c r="AI71" i="12"/>
  <c r="AL33" i="4" s="1"/>
  <c r="AL34" i="4"/>
  <c r="S71" i="12"/>
  <c r="V33" i="4" s="1"/>
  <c r="V34" i="4"/>
  <c r="C71" i="12"/>
  <c r="F33" i="4" s="1"/>
  <c r="F34" i="4"/>
  <c r="AP14" i="4"/>
  <c r="V71" i="12"/>
  <c r="Y33" i="4" s="1"/>
  <c r="Y34" i="4"/>
  <c r="F71" i="12"/>
  <c r="I33" i="4" s="1"/>
  <c r="I34" i="4"/>
  <c r="AC71" i="12"/>
  <c r="AF33" i="4" s="1"/>
  <c r="AF34" i="4"/>
  <c r="M71" i="12"/>
  <c r="P33" i="4" s="1"/>
  <c r="P34" i="4"/>
  <c r="AB71" i="12"/>
  <c r="AE33" i="4" s="1"/>
  <c r="AE34" i="4"/>
  <c r="L71" i="12"/>
  <c r="O33" i="4" s="1"/>
  <c r="O34" i="4"/>
  <c r="AE71" i="12"/>
  <c r="AH33" i="4" s="1"/>
  <c r="AH34" i="4"/>
  <c r="O71" i="12"/>
  <c r="R33" i="4" s="1"/>
  <c r="R34" i="4"/>
  <c r="AH71" i="12"/>
  <c r="AK33" i="4" s="1"/>
  <c r="AK34" i="4"/>
  <c r="AL71" i="12"/>
  <c r="AO33" i="4" s="1"/>
  <c r="AO34" i="4"/>
  <c r="R71" i="12"/>
  <c r="U33" i="4" s="1"/>
  <c r="U34" i="4"/>
  <c r="B71" i="12"/>
  <c r="E33" i="4" s="1"/>
  <c r="E34" i="4"/>
  <c r="Y71" i="12"/>
  <c r="AB33" i="4" s="1"/>
  <c r="AB34" i="4"/>
  <c r="I71" i="12"/>
  <c r="L33" i="4" s="1"/>
  <c r="L34" i="4"/>
  <c r="X71" i="12"/>
  <c r="AA33" i="4" s="1"/>
  <c r="AA34" i="4"/>
  <c r="H71" i="12"/>
  <c r="K33" i="4" s="1"/>
  <c r="K34" i="4"/>
  <c r="AA71" i="12"/>
  <c r="AD33" i="4" s="1"/>
  <c r="AD34" i="4"/>
  <c r="K71" i="12"/>
  <c r="N33" i="4" s="1"/>
  <c r="N34" i="4"/>
  <c r="E71" i="12"/>
  <c r="H33" i="4" s="1"/>
  <c r="H34" i="4"/>
  <c r="AM21" i="12"/>
  <c r="AP13" i="4" s="1"/>
  <c r="B60" i="12"/>
  <c r="E29" i="4" s="1"/>
  <c r="E30" i="4"/>
  <c r="AD71" i="12"/>
  <c r="AG33" i="4" s="1"/>
  <c r="AG34" i="4"/>
  <c r="N71" i="12"/>
  <c r="Q33" i="4" s="1"/>
  <c r="Q34" i="4"/>
  <c r="AK71" i="12"/>
  <c r="AN33" i="4" s="1"/>
  <c r="AN34" i="4"/>
  <c r="U71" i="12"/>
  <c r="X33" i="4" s="1"/>
  <c r="X34" i="4"/>
  <c r="AJ71" i="12"/>
  <c r="AM33" i="4" s="1"/>
  <c r="AM34" i="4"/>
  <c r="T71" i="12"/>
  <c r="W33" i="4" s="1"/>
  <c r="W34" i="4"/>
  <c r="D71" i="12"/>
  <c r="G33" i="4" s="1"/>
  <c r="G34" i="4"/>
  <c r="W71" i="12"/>
  <c r="Z33" i="4" s="1"/>
  <c r="Z34" i="4"/>
  <c r="G71" i="12"/>
  <c r="J33" i="4" s="1"/>
  <c r="J34" i="4"/>
  <c r="C107" i="12"/>
  <c r="G107" i="12"/>
  <c r="K107" i="12"/>
  <c r="O107" i="12"/>
  <c r="S107" i="12"/>
  <c r="W107" i="12"/>
  <c r="AA107" i="12"/>
  <c r="AE107" i="12"/>
  <c r="AI107" i="12"/>
  <c r="D107" i="12"/>
  <c r="I107" i="12"/>
  <c r="N107" i="12"/>
  <c r="T107" i="12"/>
  <c r="Y107" i="12"/>
  <c r="AD107" i="12"/>
  <c r="AJ107" i="12"/>
  <c r="E107" i="12"/>
  <c r="J107" i="12"/>
  <c r="P107" i="12"/>
  <c r="U107" i="12"/>
  <c r="Z107" i="12"/>
  <c r="AF107" i="12"/>
  <c r="AK107" i="12"/>
  <c r="B107" i="12"/>
  <c r="M107" i="12"/>
  <c r="X107" i="12"/>
  <c r="AH107" i="12"/>
  <c r="F107" i="12"/>
  <c r="Q107" i="12"/>
  <c r="AB107" i="12"/>
  <c r="AL107" i="12"/>
  <c r="H107" i="12"/>
  <c r="R107" i="12"/>
  <c r="AC107" i="12"/>
  <c r="L107" i="12"/>
  <c r="V107" i="12"/>
  <c r="AG107" i="12"/>
  <c r="AM10" i="12"/>
  <c r="AP9" i="4" s="1"/>
  <c r="X9" i="12"/>
  <c r="AA10" i="4" s="1"/>
  <c r="E9" i="12"/>
  <c r="H10" i="4" s="1"/>
  <c r="N9" i="12"/>
  <c r="Q10" i="4" s="1"/>
  <c r="AD9" i="12"/>
  <c r="AG10" i="4" s="1"/>
  <c r="AM103" i="12"/>
  <c r="S90" i="12"/>
  <c r="AM90" i="12"/>
  <c r="B90" i="12"/>
  <c r="S78" i="12"/>
  <c r="AM78" i="12"/>
  <c r="B78" i="12"/>
  <c r="S66" i="12"/>
  <c r="AM6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B66" i="12"/>
  <c r="B55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B42" i="12"/>
  <c r="W9" i="12" l="1"/>
  <c r="Z10" i="4" s="1"/>
  <c r="AK9" i="12"/>
  <c r="AK10" i="12" s="1"/>
  <c r="AN9" i="4" s="1"/>
  <c r="H9" i="12"/>
  <c r="K10" i="4" s="1"/>
  <c r="G9" i="12"/>
  <c r="J10" i="4" s="1"/>
  <c r="U9" i="12"/>
  <c r="X10" i="4" s="1"/>
  <c r="N32" i="4"/>
  <c r="K32" i="4"/>
  <c r="L32" i="4"/>
  <c r="E32" i="4"/>
  <c r="AO32" i="4"/>
  <c r="R32" i="4"/>
  <c r="O32" i="4"/>
  <c r="P32" i="4"/>
  <c r="I32" i="4"/>
  <c r="V32" i="4"/>
  <c r="S32" i="4"/>
  <c r="T32" i="4"/>
  <c r="M32" i="4"/>
  <c r="V108" i="12"/>
  <c r="Y50" i="4" s="1"/>
  <c r="Y51" i="4"/>
  <c r="K51" i="4"/>
  <c r="H108" i="12"/>
  <c r="K50" i="4" s="1"/>
  <c r="I51" i="4"/>
  <c r="F108" i="12"/>
  <c r="I50" i="4" s="1"/>
  <c r="E51" i="4"/>
  <c r="B108" i="12"/>
  <c r="E50" i="4" s="1"/>
  <c r="X51" i="4"/>
  <c r="U108" i="12"/>
  <c r="X50" i="4" s="1"/>
  <c r="AM51" i="4"/>
  <c r="AJ108" i="12"/>
  <c r="AM50" i="4" s="1"/>
  <c r="Q51" i="4"/>
  <c r="N108" i="12"/>
  <c r="Q50" i="4" s="1"/>
  <c r="AE108" i="12"/>
  <c r="AH50" i="4" s="1"/>
  <c r="AH51" i="4"/>
  <c r="O108" i="12"/>
  <c r="R50" i="4" s="1"/>
  <c r="R51" i="4"/>
  <c r="E20" i="12"/>
  <c r="X20" i="12"/>
  <c r="H20" i="12"/>
  <c r="K14" i="4" s="1"/>
  <c r="AA20" i="12"/>
  <c r="K20" i="12"/>
  <c r="N14" i="4" s="1"/>
  <c r="AH20" i="12"/>
  <c r="R20" i="12"/>
  <c r="B20" i="12"/>
  <c r="Y20" i="12"/>
  <c r="I20" i="12"/>
  <c r="L14" i="4" s="1"/>
  <c r="AJ20" i="12"/>
  <c r="T20" i="12"/>
  <c r="D20" i="12"/>
  <c r="W20" i="12"/>
  <c r="G20" i="12"/>
  <c r="J14" i="4" s="1"/>
  <c r="AD20" i="12"/>
  <c r="N20" i="12"/>
  <c r="AK20" i="12"/>
  <c r="U20" i="12"/>
  <c r="AF20" i="12"/>
  <c r="P20" i="12"/>
  <c r="AI20" i="12"/>
  <c r="S20" i="12"/>
  <c r="C20" i="12"/>
  <c r="Z20" i="12"/>
  <c r="J20" i="12"/>
  <c r="M14" i="4" s="1"/>
  <c r="AG20" i="12"/>
  <c r="Q20" i="12"/>
  <c r="AB20" i="12"/>
  <c r="L20" i="12"/>
  <c r="AE20" i="12"/>
  <c r="O20" i="12"/>
  <c r="AL20" i="12"/>
  <c r="V20" i="12"/>
  <c r="F20" i="12"/>
  <c r="AC20" i="12"/>
  <c r="M20" i="12"/>
  <c r="AI9" i="12"/>
  <c r="S9" i="12"/>
  <c r="V10" i="4" s="1"/>
  <c r="C9" i="12"/>
  <c r="F10" i="4" s="1"/>
  <c r="Z9" i="12"/>
  <c r="AC10" i="4" s="1"/>
  <c r="J9" i="12"/>
  <c r="M10" i="4" s="1"/>
  <c r="AG9" i="12"/>
  <c r="Q9" i="12"/>
  <c r="T10" i="4" s="1"/>
  <c r="AJ9" i="12"/>
  <c r="T9" i="12"/>
  <c r="W10" i="4" s="1"/>
  <c r="D9" i="12"/>
  <c r="G10" i="4" s="1"/>
  <c r="O51" i="4"/>
  <c r="L108" i="12"/>
  <c r="O50" i="4" s="1"/>
  <c r="AL108" i="12"/>
  <c r="AO50" i="4" s="1"/>
  <c r="AO51" i="4"/>
  <c r="AK51" i="4"/>
  <c r="AH108" i="12"/>
  <c r="AK50" i="4" s="1"/>
  <c r="AN51" i="4"/>
  <c r="AK108" i="12"/>
  <c r="AN50" i="4" s="1"/>
  <c r="S51" i="4"/>
  <c r="P108" i="12"/>
  <c r="S50" i="4" s="1"/>
  <c r="AG51" i="4"/>
  <c r="AD108" i="12"/>
  <c r="AG50" i="4" s="1"/>
  <c r="L51" i="4"/>
  <c r="I108" i="12"/>
  <c r="L50" i="4" s="1"/>
  <c r="AA108" i="12"/>
  <c r="AD50" i="4" s="1"/>
  <c r="AD51" i="4"/>
  <c r="K108" i="12"/>
  <c r="N50" i="4" s="1"/>
  <c r="N51" i="4"/>
  <c r="J32" i="4"/>
  <c r="G32" i="4"/>
  <c r="AM32" i="4"/>
  <c r="AN32" i="4"/>
  <c r="AG32" i="4"/>
  <c r="AE9" i="12"/>
  <c r="AH10" i="4" s="1"/>
  <c r="O9" i="12"/>
  <c r="R10" i="4" s="1"/>
  <c r="AL9" i="12"/>
  <c r="V9" i="12"/>
  <c r="Y10" i="4" s="1"/>
  <c r="F9" i="12"/>
  <c r="I10" i="4" s="1"/>
  <c r="AC9" i="12"/>
  <c r="AF10" i="4" s="1"/>
  <c r="M9" i="12"/>
  <c r="AF9" i="12"/>
  <c r="AI10" i="4" s="1"/>
  <c r="P9" i="12"/>
  <c r="S10" i="4" s="1"/>
  <c r="AF51" i="4"/>
  <c r="AC108" i="12"/>
  <c r="AF50" i="4" s="1"/>
  <c r="AE51" i="4"/>
  <c r="AB108" i="12"/>
  <c r="AE50" i="4" s="1"/>
  <c r="AA51" i="4"/>
  <c r="X108" i="12"/>
  <c r="AA50" i="4" s="1"/>
  <c r="AI51" i="4"/>
  <c r="AF108" i="12"/>
  <c r="AI50" i="4" s="1"/>
  <c r="J108" i="12"/>
  <c r="M50" i="4" s="1"/>
  <c r="M51" i="4"/>
  <c r="AB51" i="4"/>
  <c r="Y108" i="12"/>
  <c r="AB50" i="4" s="1"/>
  <c r="G51" i="4"/>
  <c r="D108" i="12"/>
  <c r="G50" i="4" s="1"/>
  <c r="W108" i="12"/>
  <c r="Z50" i="4" s="1"/>
  <c r="Z51" i="4"/>
  <c r="G108" i="12"/>
  <c r="J50" i="4" s="1"/>
  <c r="J51" i="4"/>
  <c r="H32" i="4"/>
  <c r="AD32" i="4"/>
  <c r="AA32" i="4"/>
  <c r="AB32" i="4"/>
  <c r="U32" i="4"/>
  <c r="AK32" i="4"/>
  <c r="AH32" i="4"/>
  <c r="AE32" i="4"/>
  <c r="AF32" i="4"/>
  <c r="Y32" i="4"/>
  <c r="F32" i="4"/>
  <c r="AL32" i="4"/>
  <c r="AI32" i="4"/>
  <c r="AJ32" i="4"/>
  <c r="AC32" i="4"/>
  <c r="AA9" i="12"/>
  <c r="AD10" i="4" s="1"/>
  <c r="K9" i="12"/>
  <c r="N10" i="4" s="1"/>
  <c r="AH9" i="12"/>
  <c r="R9" i="12"/>
  <c r="U10" i="4" s="1"/>
  <c r="B9" i="12"/>
  <c r="E10" i="4" s="1"/>
  <c r="Y9" i="12"/>
  <c r="AB10" i="4" s="1"/>
  <c r="I9" i="12"/>
  <c r="L10" i="4" s="1"/>
  <c r="AB9" i="12"/>
  <c r="AE10" i="4" s="1"/>
  <c r="AG108" i="12"/>
  <c r="AJ50" i="4" s="1"/>
  <c r="AJ51" i="4"/>
  <c r="R108" i="12"/>
  <c r="U50" i="4" s="1"/>
  <c r="U51" i="4"/>
  <c r="Q108" i="12"/>
  <c r="T50" i="4" s="1"/>
  <c r="T51" i="4"/>
  <c r="P51" i="4"/>
  <c r="M108" i="12"/>
  <c r="P50" i="4" s="1"/>
  <c r="Z108" i="12"/>
  <c r="AC50" i="4" s="1"/>
  <c r="AC51" i="4"/>
  <c r="E108" i="12"/>
  <c r="H50" i="4" s="1"/>
  <c r="H51" i="4"/>
  <c r="W51" i="4"/>
  <c r="T108" i="12"/>
  <c r="W50" i="4" s="1"/>
  <c r="AI108" i="12"/>
  <c r="AL50" i="4" s="1"/>
  <c r="AL51" i="4"/>
  <c r="S108" i="12"/>
  <c r="V50" i="4" s="1"/>
  <c r="V51" i="4"/>
  <c r="C108" i="12"/>
  <c r="F50" i="4" s="1"/>
  <c r="F51" i="4"/>
  <c r="Z32" i="4"/>
  <c r="W32" i="4"/>
  <c r="X32" i="4"/>
  <c r="Q32" i="4"/>
  <c r="E28" i="4"/>
  <c r="B15" i="2"/>
  <c r="B29" i="12" s="1"/>
  <c r="F37" i="2"/>
  <c r="F36" i="2"/>
  <c r="F35" i="2"/>
  <c r="D38" i="2"/>
  <c r="B38" i="2"/>
  <c r="C37" i="2" s="1"/>
  <c r="C9" i="14"/>
  <c r="C24" i="14"/>
  <c r="C21" i="14"/>
  <c r="C18" i="14"/>
  <c r="C12" i="14"/>
  <c r="C11" i="14"/>
  <c r="C10" i="14"/>
  <c r="C8" i="14"/>
  <c r="C7" i="14"/>
  <c r="C5" i="14"/>
  <c r="B21" i="2"/>
  <c r="B22" i="2"/>
  <c r="B16" i="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B102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B1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B4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B28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B89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B77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B6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B54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B41" i="12"/>
  <c r="AB49" i="4" l="1"/>
  <c r="AI49" i="4"/>
  <c r="AE49" i="4"/>
  <c r="AG49" i="4"/>
  <c r="AN49" i="4"/>
  <c r="AN10" i="4"/>
  <c r="G49" i="4"/>
  <c r="AA49" i="4"/>
  <c r="AF49" i="4"/>
  <c r="L49" i="4"/>
  <c r="S49" i="4"/>
  <c r="AK49" i="4"/>
  <c r="O49" i="4"/>
  <c r="V49" i="4"/>
  <c r="AC49" i="4"/>
  <c r="T49" i="4"/>
  <c r="AJ49" i="4"/>
  <c r="AH49" i="4"/>
  <c r="P49" i="4"/>
  <c r="Q49" i="4"/>
  <c r="X49" i="4"/>
  <c r="I49" i="4"/>
  <c r="M10" i="12"/>
  <c r="P9" i="4" s="1"/>
  <c r="P10" i="4"/>
  <c r="AL10" i="12"/>
  <c r="AO9" i="4" s="1"/>
  <c r="AO10" i="4"/>
  <c r="AJ10" i="12"/>
  <c r="AM9" i="4" s="1"/>
  <c r="AM10" i="4"/>
  <c r="M21" i="12"/>
  <c r="P13" i="4" s="1"/>
  <c r="P14" i="4"/>
  <c r="AL21" i="12"/>
  <c r="AO13" i="4" s="1"/>
  <c r="AO14" i="4"/>
  <c r="AB21" i="12"/>
  <c r="AE13" i="4" s="1"/>
  <c r="AE14" i="4"/>
  <c r="Z21" i="12"/>
  <c r="AC13" i="4" s="1"/>
  <c r="AC14" i="4"/>
  <c r="P21" i="12"/>
  <c r="S13" i="4" s="1"/>
  <c r="S14" i="4"/>
  <c r="N21" i="12"/>
  <c r="Q13" i="4" s="1"/>
  <c r="Q14" i="4"/>
  <c r="D21" i="12"/>
  <c r="G13" i="4" s="1"/>
  <c r="G14" i="4"/>
  <c r="Y21" i="12"/>
  <c r="AB13" i="4" s="1"/>
  <c r="AB14" i="4"/>
  <c r="E21" i="12"/>
  <c r="H13" i="4" s="1"/>
  <c r="H14" i="4"/>
  <c r="J49" i="4"/>
  <c r="M49" i="4"/>
  <c r="N49" i="4"/>
  <c r="AC21" i="12"/>
  <c r="AF13" i="4" s="1"/>
  <c r="AF14" i="4"/>
  <c r="O21" i="12"/>
  <c r="R13" i="4" s="1"/>
  <c r="R14" i="4"/>
  <c r="Q21" i="12"/>
  <c r="T13" i="4" s="1"/>
  <c r="T14" i="4"/>
  <c r="C21" i="12"/>
  <c r="F13" i="4" s="1"/>
  <c r="F14" i="4"/>
  <c r="AF21" i="12"/>
  <c r="AI13" i="4" s="1"/>
  <c r="AI14" i="4"/>
  <c r="AD21" i="12"/>
  <c r="AG13" i="4" s="1"/>
  <c r="AG14" i="4"/>
  <c r="T21" i="12"/>
  <c r="W13" i="4" s="1"/>
  <c r="W14" i="4"/>
  <c r="B21" i="12"/>
  <c r="E13" i="4" s="1"/>
  <c r="E14" i="4"/>
  <c r="AA21" i="12"/>
  <c r="AD13" i="4" s="1"/>
  <c r="AD14" i="4"/>
  <c r="F49" i="4"/>
  <c r="AL49" i="4"/>
  <c r="H49" i="4"/>
  <c r="U49" i="4"/>
  <c r="AH10" i="12"/>
  <c r="AK9" i="4" s="1"/>
  <c r="AK10" i="4"/>
  <c r="AG10" i="12"/>
  <c r="AJ9" i="4" s="1"/>
  <c r="AJ10" i="4"/>
  <c r="F21" i="12"/>
  <c r="I13" i="4" s="1"/>
  <c r="I14" i="4"/>
  <c r="AE21" i="12"/>
  <c r="AH13" i="4" s="1"/>
  <c r="AH14" i="4"/>
  <c r="AG21" i="12"/>
  <c r="AJ13" i="4" s="1"/>
  <c r="AJ14" i="4"/>
  <c r="S21" i="12"/>
  <c r="V13" i="4" s="1"/>
  <c r="V14" i="4"/>
  <c r="U21" i="12"/>
  <c r="X13" i="4" s="1"/>
  <c r="X14" i="4"/>
  <c r="AJ21" i="12"/>
  <c r="AM13" i="4" s="1"/>
  <c r="AM14" i="4"/>
  <c r="R21" i="12"/>
  <c r="U13" i="4" s="1"/>
  <c r="U14" i="4"/>
  <c r="R49" i="4"/>
  <c r="Y49" i="4"/>
  <c r="W49" i="4"/>
  <c r="Z49" i="4"/>
  <c r="AD49" i="4"/>
  <c r="AO49" i="4"/>
  <c r="AI10" i="12"/>
  <c r="AL9" i="4" s="1"/>
  <c r="AL10" i="4"/>
  <c r="V21" i="12"/>
  <c r="Y13" i="4" s="1"/>
  <c r="Y14" i="4"/>
  <c r="L21" i="12"/>
  <c r="O13" i="4" s="1"/>
  <c r="O14" i="4"/>
  <c r="AI21" i="12"/>
  <c r="AL13" i="4" s="1"/>
  <c r="AL14" i="4"/>
  <c r="AK21" i="12"/>
  <c r="AN13" i="4" s="1"/>
  <c r="AN14" i="4"/>
  <c r="W21" i="12"/>
  <c r="Z13" i="4" s="1"/>
  <c r="Z14" i="4"/>
  <c r="AH21" i="12"/>
  <c r="AK13" i="4" s="1"/>
  <c r="AK14" i="4"/>
  <c r="X21" i="12"/>
  <c r="AA13" i="4" s="1"/>
  <c r="AA14" i="4"/>
  <c r="AM49" i="4"/>
  <c r="E49" i="4"/>
  <c r="K49" i="4"/>
  <c r="S11" i="2"/>
  <c r="B11" i="2" s="1"/>
  <c r="AM16" i="12"/>
  <c r="AM15" i="2"/>
  <c r="AM29" i="12" s="1"/>
  <c r="C35" i="2"/>
  <c r="C36" i="2"/>
  <c r="F38" i="2"/>
  <c r="G37" i="2" s="1"/>
  <c r="E37" i="2" s="1"/>
  <c r="C104" i="12"/>
  <c r="D104" i="12" s="1"/>
  <c r="E104" i="12" s="1"/>
  <c r="F104" i="12" s="1"/>
  <c r="G104" i="12" s="1"/>
  <c r="H104" i="12" s="1"/>
  <c r="I104" i="12" s="1"/>
  <c r="J104" i="12" s="1"/>
  <c r="K104" i="12" s="1"/>
  <c r="L104" i="12" s="1"/>
  <c r="M104" i="12" s="1"/>
  <c r="N104" i="12" s="1"/>
  <c r="O104" i="12" s="1"/>
  <c r="P104" i="12" s="1"/>
  <c r="Q104" i="12" s="1"/>
  <c r="R104" i="12" s="1"/>
  <c r="S104" i="12" s="1"/>
  <c r="T104" i="12" s="1"/>
  <c r="U104" i="12" s="1"/>
  <c r="V104" i="12" s="1"/>
  <c r="W104" i="12" s="1"/>
  <c r="X104" i="12" s="1"/>
  <c r="Y104" i="12" s="1"/>
  <c r="Z104" i="12" s="1"/>
  <c r="AA104" i="12" s="1"/>
  <c r="AB104" i="12" s="1"/>
  <c r="AC104" i="12" s="1"/>
  <c r="AD104" i="12" s="1"/>
  <c r="AE104" i="12" s="1"/>
  <c r="AF104" i="12" s="1"/>
  <c r="AG104" i="12" s="1"/>
  <c r="AH104" i="12" s="1"/>
  <c r="AI104" i="12" s="1"/>
  <c r="AJ104" i="12" s="1"/>
  <c r="AK104" i="12" s="1"/>
  <c r="AL104" i="12" s="1"/>
  <c r="AM104" i="12" s="1"/>
  <c r="B16" i="12" l="1"/>
  <c r="S16" i="12"/>
  <c r="G35" i="2"/>
  <c r="G36" i="2"/>
  <c r="E36" i="2" s="1"/>
  <c r="AS15" i="2" l="1"/>
  <c r="AM33" i="12" s="1"/>
  <c r="E35" i="2"/>
  <c r="S15" i="2" s="1"/>
  <c r="S29" i="12" s="1"/>
  <c r="AM8" i="2"/>
  <c r="AR3" i="2"/>
  <c r="C2" i="3"/>
  <c r="D2" i="3" s="1"/>
  <c r="C33" i="3"/>
  <c r="C32" i="3"/>
  <c r="B42" i="3"/>
  <c r="D14" i="3"/>
  <c r="AM31" i="12" l="1"/>
  <c r="AP19" i="4"/>
  <c r="AM34" i="12"/>
  <c r="AP18" i="4" s="1"/>
  <c r="S8" i="2"/>
  <c r="AM5" i="12"/>
  <c r="AP17" i="4" l="1"/>
  <c r="C33" i="12"/>
  <c r="AL33" i="12"/>
  <c r="AH33" i="12"/>
  <c r="J33" i="12"/>
  <c r="P33" i="12"/>
  <c r="T33" i="12"/>
  <c r="AA33" i="12"/>
  <c r="AD33" i="12"/>
  <c r="I33" i="12"/>
  <c r="F33" i="12"/>
  <c r="D33" i="12"/>
  <c r="L33" i="12"/>
  <c r="X33" i="12"/>
  <c r="B33" i="12"/>
  <c r="W33" i="12"/>
  <c r="G33" i="12"/>
  <c r="U33" i="12"/>
  <c r="AK33" i="12"/>
  <c r="AJ33" i="12"/>
  <c r="AF33" i="12"/>
  <c r="AG33" i="12"/>
  <c r="E33" i="12"/>
  <c r="R33" i="12"/>
  <c r="AI33" i="12"/>
  <c r="S33" i="12"/>
  <c r="AB33" i="12"/>
  <c r="Y33" i="12"/>
  <c r="V33" i="12"/>
  <c r="Z33" i="12"/>
  <c r="M33" i="12"/>
  <c r="AE33" i="12"/>
  <c r="O33" i="12"/>
  <c r="Q33" i="12"/>
  <c r="N33" i="12"/>
  <c r="AC33" i="12"/>
  <c r="H33" i="12"/>
  <c r="K33" i="12"/>
  <c r="B8" i="2"/>
  <c r="B5" i="12" s="1"/>
  <c r="S5" i="12"/>
  <c r="H34" i="12" l="1"/>
  <c r="K18" i="4" s="1"/>
  <c r="K19" i="4"/>
  <c r="O34" i="12"/>
  <c r="R18" i="4" s="1"/>
  <c r="R19" i="4"/>
  <c r="V34" i="12"/>
  <c r="Y18" i="4" s="1"/>
  <c r="Y19" i="4"/>
  <c r="AI34" i="12"/>
  <c r="AL18" i="4" s="1"/>
  <c r="AL19" i="4"/>
  <c r="AF34" i="12"/>
  <c r="AI18" i="4" s="1"/>
  <c r="AI19" i="4"/>
  <c r="G34" i="12"/>
  <c r="J18" i="4" s="1"/>
  <c r="J19" i="4"/>
  <c r="L34" i="12"/>
  <c r="O18" i="4" s="1"/>
  <c r="O19" i="4"/>
  <c r="AD34" i="12"/>
  <c r="AG18" i="4" s="1"/>
  <c r="AG19" i="4"/>
  <c r="J34" i="12"/>
  <c r="M18" i="4" s="1"/>
  <c r="M19" i="4"/>
  <c r="AC34" i="12"/>
  <c r="AF18" i="4" s="1"/>
  <c r="AF19" i="4"/>
  <c r="AE34" i="12"/>
  <c r="AH18" i="4" s="1"/>
  <c r="AH19" i="4"/>
  <c r="Y34" i="12"/>
  <c r="AB18" i="4" s="1"/>
  <c r="AB19" i="4"/>
  <c r="R34" i="12"/>
  <c r="U18" i="4" s="1"/>
  <c r="U19" i="4"/>
  <c r="AJ34" i="12"/>
  <c r="AM18" i="4" s="1"/>
  <c r="AM19" i="4"/>
  <c r="W34" i="12"/>
  <c r="Z18" i="4" s="1"/>
  <c r="Z19" i="4"/>
  <c r="D34" i="12"/>
  <c r="G18" i="4" s="1"/>
  <c r="G19" i="4"/>
  <c r="AA34" i="12"/>
  <c r="AD18" i="4" s="1"/>
  <c r="AD19" i="4"/>
  <c r="AH34" i="12"/>
  <c r="AK18" i="4" s="1"/>
  <c r="AK19" i="4"/>
  <c r="N34" i="12"/>
  <c r="Q18" i="4" s="1"/>
  <c r="Q19" i="4"/>
  <c r="M34" i="12"/>
  <c r="P18" i="4" s="1"/>
  <c r="P19" i="4"/>
  <c r="AB34" i="12"/>
  <c r="AE18" i="4" s="1"/>
  <c r="AE19" i="4"/>
  <c r="E34" i="12"/>
  <c r="H18" i="4" s="1"/>
  <c r="H19" i="4"/>
  <c r="AK34" i="12"/>
  <c r="AN18" i="4" s="1"/>
  <c r="AN19" i="4"/>
  <c r="B34" i="12"/>
  <c r="E18" i="4" s="1"/>
  <c r="E19" i="4"/>
  <c r="F34" i="12"/>
  <c r="I18" i="4" s="1"/>
  <c r="I19" i="4"/>
  <c r="T34" i="12"/>
  <c r="W18" i="4" s="1"/>
  <c r="W19" i="4"/>
  <c r="AL34" i="12"/>
  <c r="AO18" i="4" s="1"/>
  <c r="AO19" i="4"/>
  <c r="K34" i="12"/>
  <c r="N18" i="4" s="1"/>
  <c r="N19" i="4"/>
  <c r="Q34" i="12"/>
  <c r="T18" i="4" s="1"/>
  <c r="T19" i="4"/>
  <c r="Z34" i="12"/>
  <c r="AC18" i="4" s="1"/>
  <c r="AC19" i="4"/>
  <c r="S34" i="12"/>
  <c r="V18" i="4" s="1"/>
  <c r="V19" i="4"/>
  <c r="AG34" i="12"/>
  <c r="AJ18" i="4" s="1"/>
  <c r="AJ19" i="4"/>
  <c r="U34" i="12"/>
  <c r="X18" i="4" s="1"/>
  <c r="X19" i="4"/>
  <c r="X34" i="12"/>
  <c r="AA18" i="4" s="1"/>
  <c r="AA19" i="4"/>
  <c r="I34" i="12"/>
  <c r="L18" i="4" s="1"/>
  <c r="L19" i="4"/>
  <c r="P34" i="12"/>
  <c r="S18" i="4" s="1"/>
  <c r="S19" i="4"/>
  <c r="C34" i="12"/>
  <c r="F18" i="4" s="1"/>
  <c r="F19" i="4"/>
  <c r="C21" i="3"/>
  <c r="C6" i="3"/>
  <c r="D6" i="3" s="1"/>
  <c r="C30" i="3" s="1"/>
  <c r="AS18" i="2"/>
  <c r="AR18" i="2"/>
  <c r="S17" i="4" l="1"/>
  <c r="AA17" i="4"/>
  <c r="AJ17" i="4"/>
  <c r="AC17" i="4"/>
  <c r="N17" i="4"/>
  <c r="W17" i="4"/>
  <c r="E17" i="4"/>
  <c r="H17" i="4"/>
  <c r="P17" i="4"/>
  <c r="AK17" i="4"/>
  <c r="G17" i="4"/>
  <c r="AM17" i="4"/>
  <c r="AB17" i="4"/>
  <c r="AF17" i="4"/>
  <c r="AG17" i="4"/>
  <c r="J17" i="4"/>
  <c r="AL17" i="4"/>
  <c r="R17" i="4"/>
  <c r="F17" i="4"/>
  <c r="L17" i="4"/>
  <c r="X17" i="4"/>
  <c r="V17" i="4"/>
  <c r="T17" i="4"/>
  <c r="AO17" i="4"/>
  <c r="I17" i="4"/>
  <c r="AN17" i="4"/>
  <c r="AE17" i="4"/>
  <c r="Q17" i="4"/>
  <c r="AD17" i="4"/>
  <c r="Z17" i="4"/>
  <c r="U17" i="4"/>
  <c r="AH17" i="4"/>
  <c r="M17" i="4"/>
  <c r="O17" i="4"/>
  <c r="AI17" i="4"/>
  <c r="Y17" i="4"/>
  <c r="K17" i="4"/>
  <c r="C17" i="3"/>
  <c r="D17" i="3" s="1"/>
  <c r="C16" i="3"/>
  <c r="D16" i="3" s="1"/>
  <c r="D21" i="3"/>
  <c r="C50" i="12" l="1"/>
  <c r="AM50" i="12"/>
  <c r="AM49" i="12" s="1"/>
  <c r="AG50" i="12"/>
  <c r="Y50" i="12"/>
  <c r="Q50" i="12"/>
  <c r="I50" i="12"/>
  <c r="AL50" i="12"/>
  <c r="AD50" i="12"/>
  <c r="V50" i="12"/>
  <c r="N50" i="12"/>
  <c r="F50" i="12"/>
  <c r="AK50" i="12"/>
  <c r="AC50" i="12"/>
  <c r="U50" i="12"/>
  <c r="M50" i="12"/>
  <c r="E50" i="12"/>
  <c r="AH50" i="12"/>
  <c r="Z50" i="12"/>
  <c r="R50" i="12"/>
  <c r="J50" i="12"/>
  <c r="AJ50" i="12"/>
  <c r="AF50" i="12"/>
  <c r="AB50" i="12"/>
  <c r="X50" i="12"/>
  <c r="T50" i="12"/>
  <c r="P50" i="12"/>
  <c r="L50" i="12"/>
  <c r="H50" i="12"/>
  <c r="D50" i="12"/>
  <c r="AI50" i="12"/>
  <c r="AE50" i="12"/>
  <c r="AA50" i="12"/>
  <c r="W50" i="12"/>
  <c r="S50" i="12"/>
  <c r="O50" i="12"/>
  <c r="K50" i="12"/>
  <c r="G50" i="12"/>
  <c r="AM112" i="12" l="1"/>
  <c r="AM44" i="12"/>
  <c r="AM48" i="12"/>
  <c r="AP24" i="4" s="1"/>
  <c r="AP26" i="4"/>
  <c r="B50" i="12"/>
  <c r="B49" i="12" s="1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E45" i="4"/>
  <c r="AO17" i="2"/>
  <c r="S92" i="12" s="1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E39" i="4"/>
  <c r="AO16" i="2"/>
  <c r="C17" i="12"/>
  <c r="D17" i="12" s="1"/>
  <c r="E17" i="12" s="1"/>
  <c r="F17" i="12" s="1"/>
  <c r="C29" i="3" l="1"/>
  <c r="C3" i="14" s="1"/>
  <c r="C27" i="14" s="1"/>
  <c r="AP5" i="4"/>
  <c r="B47" i="12"/>
  <c r="B48" i="12" s="1"/>
  <c r="E24" i="4" s="1"/>
  <c r="E26" i="4"/>
  <c r="E5" i="4" s="1"/>
  <c r="S18" i="2"/>
  <c r="AN17" i="2"/>
  <c r="B92" i="12" s="1"/>
  <c r="E40" i="4"/>
  <c r="E38" i="4" s="1"/>
  <c r="E37" i="4" s="1"/>
  <c r="B18" i="2" l="1"/>
  <c r="B103" i="12" s="1"/>
  <c r="S103" i="12"/>
  <c r="AN5" i="2" l="1"/>
  <c r="AO5" i="2"/>
  <c r="D60" i="12"/>
  <c r="G29" i="4" s="1"/>
  <c r="G28" i="4" s="1"/>
  <c r="H60" i="12"/>
  <c r="K29" i="4" s="1"/>
  <c r="K28" i="4" s="1"/>
  <c r="L60" i="12"/>
  <c r="O29" i="4" s="1"/>
  <c r="O28" i="4" s="1"/>
  <c r="P60" i="12"/>
  <c r="S29" i="4" s="1"/>
  <c r="S28" i="4" s="1"/>
  <c r="T60" i="12"/>
  <c r="W29" i="4" s="1"/>
  <c r="W28" i="4" s="1"/>
  <c r="X60" i="12"/>
  <c r="AA29" i="4" s="1"/>
  <c r="AA28" i="4" s="1"/>
  <c r="AB60" i="12"/>
  <c r="AE29" i="4" s="1"/>
  <c r="AE28" i="4" s="1"/>
  <c r="AF60" i="12"/>
  <c r="AI29" i="4" s="1"/>
  <c r="AI28" i="4" s="1"/>
  <c r="AJ60" i="12"/>
  <c r="AM29" i="4" s="1"/>
  <c r="AM28" i="4" s="1"/>
  <c r="AO4" i="2"/>
  <c r="AN4" i="2" s="1"/>
  <c r="AO3" i="2"/>
  <c r="AN3" i="2" s="1"/>
  <c r="AM60" i="12" l="1"/>
  <c r="AP29" i="4" s="1"/>
  <c r="AP28" i="4" s="1"/>
  <c r="AI60" i="12"/>
  <c r="AL29" i="4" s="1"/>
  <c r="AL28" i="4" s="1"/>
  <c r="AE60" i="12"/>
  <c r="AH29" i="4" s="1"/>
  <c r="AH28" i="4" s="1"/>
  <c r="AA60" i="12"/>
  <c r="AD29" i="4" s="1"/>
  <c r="AD28" i="4" s="1"/>
  <c r="W60" i="12"/>
  <c r="Z29" i="4" s="1"/>
  <c r="Z28" i="4" s="1"/>
  <c r="S60" i="12"/>
  <c r="V29" i="4" s="1"/>
  <c r="V28" i="4" s="1"/>
  <c r="O60" i="12"/>
  <c r="R29" i="4" s="1"/>
  <c r="R28" i="4" s="1"/>
  <c r="K60" i="12"/>
  <c r="N29" i="4" s="1"/>
  <c r="N28" i="4" s="1"/>
  <c r="G60" i="12"/>
  <c r="J29" i="4" s="1"/>
  <c r="J28" i="4" s="1"/>
  <c r="C60" i="12"/>
  <c r="F29" i="4" s="1"/>
  <c r="F28" i="4" s="1"/>
  <c r="AL60" i="12"/>
  <c r="AO29" i="4" s="1"/>
  <c r="AO28" i="4" s="1"/>
  <c r="AH60" i="12"/>
  <c r="AK29" i="4" s="1"/>
  <c r="AK28" i="4" s="1"/>
  <c r="AD60" i="12"/>
  <c r="AG29" i="4" s="1"/>
  <c r="AG28" i="4" s="1"/>
  <c r="Z60" i="12"/>
  <c r="AC29" i="4" s="1"/>
  <c r="AC28" i="4" s="1"/>
  <c r="V60" i="12"/>
  <c r="Y29" i="4" s="1"/>
  <c r="Y28" i="4" s="1"/>
  <c r="R60" i="12"/>
  <c r="U29" i="4" s="1"/>
  <c r="U28" i="4" s="1"/>
  <c r="N60" i="12"/>
  <c r="Q29" i="4" s="1"/>
  <c r="Q28" i="4" s="1"/>
  <c r="J60" i="12"/>
  <c r="M29" i="4" s="1"/>
  <c r="M28" i="4" s="1"/>
  <c r="F60" i="12"/>
  <c r="I29" i="4" s="1"/>
  <c r="I28" i="4" s="1"/>
  <c r="AK60" i="12"/>
  <c r="AN29" i="4" s="1"/>
  <c r="AN28" i="4" s="1"/>
  <c r="AG60" i="12"/>
  <c r="AJ29" i="4" s="1"/>
  <c r="AJ28" i="4" s="1"/>
  <c r="AC60" i="12"/>
  <c r="AF29" i="4" s="1"/>
  <c r="AF28" i="4" s="1"/>
  <c r="Y60" i="12"/>
  <c r="AB29" i="4" s="1"/>
  <c r="AB28" i="4" s="1"/>
  <c r="U60" i="12"/>
  <c r="X29" i="4" s="1"/>
  <c r="X28" i="4" s="1"/>
  <c r="Q60" i="12"/>
  <c r="T29" i="4" s="1"/>
  <c r="T28" i="4" s="1"/>
  <c r="M60" i="12"/>
  <c r="P29" i="4" s="1"/>
  <c r="P28" i="4" s="1"/>
  <c r="I60" i="12"/>
  <c r="L29" i="4" s="1"/>
  <c r="L28" i="4" s="1"/>
  <c r="E60" i="12"/>
  <c r="H29" i="4" s="1"/>
  <c r="H28" i="4" s="1"/>
  <c r="E25" i="4"/>
  <c r="E23" i="4" s="1"/>
  <c r="AN13" i="2"/>
  <c r="AO13" i="2"/>
  <c r="AN12" i="2"/>
  <c r="AO12" i="2"/>
  <c r="AO10" i="2" l="1"/>
  <c r="AN10" i="2"/>
  <c r="AO9" i="2"/>
  <c r="AN9" i="2"/>
  <c r="AN7" i="2"/>
  <c r="AO7" i="2"/>
  <c r="AO6" i="2"/>
  <c r="AN6" i="2"/>
  <c r="AM58" i="7" l="1"/>
  <c r="AA22" i="1"/>
  <c r="Z22" i="1"/>
  <c r="Y22" i="1"/>
  <c r="X22" i="1"/>
  <c r="W22" i="1"/>
  <c r="V22" i="1"/>
  <c r="U22" i="1"/>
  <c r="AP22" i="1" s="1"/>
  <c r="T22" i="1"/>
  <c r="AO22" i="1" s="1"/>
  <c r="S22" i="1"/>
  <c r="AN22" i="1" s="1"/>
  <c r="R22" i="1"/>
  <c r="AM22" i="1" s="1"/>
  <c r="Q22" i="1"/>
  <c r="AL22" i="1" s="1"/>
  <c r="P22" i="1"/>
  <c r="AK22" i="1" s="1"/>
  <c r="O22" i="1"/>
  <c r="AJ22" i="1"/>
  <c r="N22" i="1"/>
  <c r="AI22" i="1" s="1"/>
  <c r="M22" i="1"/>
  <c r="AH22" i="1" s="1"/>
  <c r="H22" i="1"/>
  <c r="AC22" i="1" s="1"/>
  <c r="I22" i="1"/>
  <c r="AD22" i="1" s="1"/>
  <c r="J22" i="1"/>
  <c r="AE22" i="1" s="1"/>
  <c r="K22" i="1"/>
  <c r="AF22" i="1" s="1"/>
  <c r="L22" i="1"/>
  <c r="AG22" i="1" s="1"/>
  <c r="G22" i="1"/>
  <c r="AB22" i="1" s="1"/>
  <c r="AN25" i="2"/>
  <c r="AO26" i="2"/>
  <c r="AO25" i="2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AE4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X24" i="7"/>
  <c r="Y24" i="7"/>
  <c r="Z24" i="7"/>
  <c r="AO28" i="2"/>
  <c r="AN28" i="2" s="1"/>
  <c r="B25" i="7" s="1"/>
  <c r="AM27" i="7"/>
  <c r="AM26" i="7"/>
  <c r="B13" i="7"/>
  <c r="S13" i="7"/>
  <c r="AM13" i="7"/>
  <c r="AM25" i="7"/>
  <c r="AM23" i="7"/>
  <c r="AM30" i="7" s="1"/>
  <c r="AP41" i="1" l="1"/>
  <c r="S25" i="7"/>
  <c r="S26" i="7" s="1"/>
  <c r="S27" i="7" s="1"/>
  <c r="B26" i="7" l="1"/>
  <c r="S30" i="7"/>
  <c r="S31" i="7" l="1"/>
  <c r="B27" i="7"/>
  <c r="B30" i="7" s="1"/>
  <c r="B31" i="7" l="1"/>
  <c r="E31" i="1" l="1"/>
  <c r="AM15" i="7" l="1"/>
  <c r="AM14" i="7"/>
  <c r="S14" i="7" s="1"/>
  <c r="AF21" i="1"/>
  <c r="AA21" i="1"/>
  <c r="AB21" i="1"/>
  <c r="AC21" i="1"/>
  <c r="AD21" i="1"/>
  <c r="AE21" i="1"/>
  <c r="AA20" i="6"/>
  <c r="AA19" i="6"/>
  <c r="AA18" i="6"/>
  <c r="Z18" i="6"/>
  <c r="AA17" i="6"/>
  <c r="Z17" i="6"/>
  <c r="Y17" i="6"/>
  <c r="AA16" i="6"/>
  <c r="Z16" i="6"/>
  <c r="Y16" i="6"/>
  <c r="X16" i="6"/>
  <c r="AA15" i="6"/>
  <c r="Z15" i="6"/>
  <c r="Y15" i="6"/>
  <c r="X15" i="6"/>
  <c r="W15" i="6"/>
  <c r="W14" i="6"/>
  <c r="X14" i="6"/>
  <c r="Y14" i="6"/>
  <c r="Z14" i="6"/>
  <c r="AA14" i="6"/>
  <c r="V14" i="6"/>
  <c r="V21" i="6"/>
  <c r="V22" i="6" s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2" i="6"/>
  <c r="G21" i="1" s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Y21" i="6"/>
  <c r="Y22" i="6" s="1"/>
  <c r="B21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H20" i="6"/>
  <c r="G19" i="6"/>
  <c r="F18" i="6"/>
  <c r="E17" i="6"/>
  <c r="D16" i="6"/>
  <c r="C15" i="6"/>
  <c r="U14" i="6"/>
  <c r="T14" i="6"/>
  <c r="S14" i="6"/>
  <c r="R14" i="6"/>
  <c r="Q14" i="6"/>
  <c r="P14" i="6"/>
  <c r="O14" i="6"/>
  <c r="N14" i="6"/>
  <c r="M14" i="6"/>
  <c r="L14" i="6"/>
  <c r="D14" i="6"/>
  <c r="E14" i="6"/>
  <c r="F14" i="6"/>
  <c r="G14" i="6"/>
  <c r="H14" i="6"/>
  <c r="I14" i="6"/>
  <c r="J14" i="6"/>
  <c r="K14" i="6"/>
  <c r="C14" i="6"/>
  <c r="B14" i="6"/>
  <c r="C12" i="6"/>
  <c r="D12" i="6"/>
  <c r="E12" i="6"/>
  <c r="F12" i="6"/>
  <c r="G12" i="6"/>
  <c r="H12" i="6"/>
  <c r="B12" i="6"/>
  <c r="B10" i="6"/>
  <c r="B8" i="6"/>
  <c r="B5" i="6"/>
  <c r="S15" i="7" l="1"/>
  <c r="X21" i="6"/>
  <c r="AA21" i="6"/>
  <c r="AA22" i="6" s="1"/>
  <c r="W21" i="6"/>
  <c r="W22" i="6" s="1"/>
  <c r="Z21" i="6"/>
  <c r="Z22" i="6" s="1"/>
  <c r="X22" i="6"/>
  <c r="AR5" i="2" l="1"/>
  <c r="AR4" i="2"/>
  <c r="AR17" i="2"/>
  <c r="AR22" i="2"/>
  <c r="AR21" i="2"/>
  <c r="AR16" i="2"/>
  <c r="AR14" i="2"/>
  <c r="AR13" i="2"/>
  <c r="AR12" i="2"/>
  <c r="AR10" i="2"/>
  <c r="AR9" i="2"/>
  <c r="AR7" i="2"/>
  <c r="AR6" i="2"/>
  <c r="C12" i="3" l="1"/>
  <c r="D12" i="3" s="1"/>
  <c r="C11" i="3"/>
  <c r="D11" i="3" s="1"/>
  <c r="C22" i="3"/>
  <c r="D22" i="3" s="1"/>
  <c r="C20" i="3"/>
  <c r="D20" i="3" s="1"/>
  <c r="C9" i="3"/>
  <c r="D9" i="3" s="1"/>
  <c r="C8" i="3"/>
  <c r="D8" i="3" s="1"/>
  <c r="C15" i="3"/>
  <c r="D15" i="3" s="1"/>
  <c r="C13" i="3"/>
  <c r="D13" i="3" s="1"/>
  <c r="C4" i="3"/>
  <c r="D4" i="3" s="1"/>
  <c r="C10" i="3"/>
  <c r="D10" i="3" s="1"/>
  <c r="C7" i="3"/>
  <c r="D7" i="3" s="1"/>
  <c r="C25" i="3"/>
  <c r="D25" i="3" s="1"/>
  <c r="C23" i="3"/>
  <c r="D23" i="3" s="1"/>
  <c r="C3" i="3"/>
  <c r="C19" i="3"/>
  <c r="C18" i="3"/>
  <c r="AP25" i="1"/>
  <c r="B25" i="1"/>
  <c r="B19" i="1" s="1"/>
  <c r="D18" i="3" l="1"/>
  <c r="C28" i="3"/>
  <c r="D19" i="3"/>
  <c r="C37" i="3"/>
  <c r="D3" i="3"/>
  <c r="C34" i="3"/>
  <c r="F20" i="1"/>
  <c r="G20" i="1"/>
  <c r="H20" i="1"/>
  <c r="I20" i="1"/>
  <c r="J20" i="1"/>
  <c r="K20" i="1"/>
  <c r="AP20" i="1"/>
  <c r="AP19" i="1" s="1"/>
  <c r="E20" i="1"/>
  <c r="B16" i="5"/>
  <c r="E15" i="1"/>
  <c r="C40" i="3" l="1"/>
  <c r="AP5" i="1"/>
  <c r="AR25" i="2"/>
  <c r="AR26" i="2"/>
  <c r="E16" i="1"/>
  <c r="E17" i="1"/>
  <c r="B14" i="5"/>
  <c r="B15" i="5"/>
  <c r="B13" i="5"/>
  <c r="E10" i="1"/>
  <c r="E11" i="1" s="1"/>
  <c r="B24" i="5"/>
  <c r="C22" i="5"/>
  <c r="B22" i="5"/>
  <c r="C5" i="3" l="1"/>
  <c r="D5" i="3" s="1"/>
  <c r="C24" i="3"/>
  <c r="E46" i="4"/>
  <c r="E44" i="4" s="1"/>
  <c r="E43" i="4" s="1"/>
  <c r="E14" i="1"/>
  <c r="E12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F10" i="1"/>
  <c r="C13" i="5"/>
  <c r="C14" i="5"/>
  <c r="AP17" i="1" l="1"/>
  <c r="C35" i="3"/>
  <c r="C36" i="3"/>
  <c r="D24" i="3"/>
  <c r="AP16" i="1"/>
  <c r="AP15" i="1"/>
  <c r="G10" i="1"/>
  <c r="F12" i="1"/>
  <c r="H10" i="1" l="1"/>
  <c r="G12" i="1"/>
  <c r="I10" i="1" l="1"/>
  <c r="H12" i="1"/>
  <c r="J10" i="1" l="1"/>
  <c r="I12" i="1"/>
  <c r="K10" i="1" l="1"/>
  <c r="J12" i="1"/>
  <c r="L10" i="1" l="1"/>
  <c r="K12" i="1"/>
  <c r="M10" i="1" l="1"/>
  <c r="L12" i="1"/>
  <c r="N10" i="1" l="1"/>
  <c r="M12" i="1"/>
  <c r="O10" i="1" l="1"/>
  <c r="N12" i="1"/>
  <c r="P10" i="1" l="1"/>
  <c r="O12" i="1"/>
  <c r="Q10" i="1" l="1"/>
  <c r="P12" i="1"/>
  <c r="R10" i="1" l="1"/>
  <c r="Q12" i="1"/>
  <c r="S10" i="1" l="1"/>
  <c r="R12" i="1"/>
  <c r="T10" i="1" l="1"/>
  <c r="S12" i="1"/>
  <c r="U10" i="1" l="1"/>
  <c r="T12" i="1"/>
  <c r="V10" i="1" l="1"/>
  <c r="U12" i="1"/>
  <c r="W10" i="1" l="1"/>
  <c r="V12" i="1"/>
  <c r="X10" i="1" l="1"/>
  <c r="W12" i="1"/>
  <c r="Y10" i="1" l="1"/>
  <c r="X12" i="1"/>
  <c r="Z10" i="1" l="1"/>
  <c r="Y12" i="1"/>
  <c r="AA10" i="1" l="1"/>
  <c r="Z12" i="1"/>
  <c r="V26" i="1"/>
  <c r="V25" i="1" s="1"/>
  <c r="E8" i="1"/>
  <c r="E4" i="1" s="1"/>
  <c r="AB10" i="1" l="1"/>
  <c r="AA12" i="1"/>
  <c r="AC10" i="1" l="1"/>
  <c r="AB12" i="1"/>
  <c r="AU15" i="2"/>
  <c r="AD10" i="1" l="1"/>
  <c r="AC12" i="1"/>
  <c r="AP8" i="1"/>
  <c r="AP4" i="1" s="1"/>
  <c r="AE10" i="1" l="1"/>
  <c r="AD12" i="1"/>
  <c r="AF10" i="1" l="1"/>
  <c r="AE12" i="1"/>
  <c r="AG10" i="1" l="1"/>
  <c r="AF12" i="1"/>
  <c r="AH10" i="1" l="1"/>
  <c r="AG12" i="1"/>
  <c r="AI10" i="1" l="1"/>
  <c r="AH12" i="1"/>
  <c r="AJ10" i="1" l="1"/>
  <c r="AI12" i="1"/>
  <c r="AK10" i="1" l="1"/>
  <c r="AJ12" i="1"/>
  <c r="AL10" i="1" l="1"/>
  <c r="AK12" i="1"/>
  <c r="AM10" i="1" l="1"/>
  <c r="AL12" i="1"/>
  <c r="AN10" i="1" l="1"/>
  <c r="AM12" i="1"/>
  <c r="AO10" i="1" l="1"/>
  <c r="AN12" i="1"/>
  <c r="AP10" i="1" l="1"/>
  <c r="AP12" i="1" s="1"/>
  <c r="AO12" i="1"/>
  <c r="L20" i="1"/>
  <c r="M20" i="1"/>
  <c r="N20" i="1"/>
  <c r="O20" i="1"/>
  <c r="P20" i="1"/>
  <c r="Q20" i="1"/>
  <c r="R20" i="1"/>
  <c r="S20" i="1"/>
  <c r="T20" i="1"/>
  <c r="U20" i="1"/>
  <c r="V20" i="1"/>
  <c r="V19" i="1" s="1"/>
  <c r="V5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14" i="7"/>
  <c r="N24" i="7"/>
  <c r="O24" i="7"/>
  <c r="P24" i="7"/>
  <c r="Q24" i="7"/>
  <c r="R24" i="7"/>
  <c r="S24" i="7"/>
  <c r="T24" i="7"/>
  <c r="U24" i="7"/>
  <c r="V24" i="7"/>
  <c r="W24" i="7"/>
  <c r="B15" i="7" l="1"/>
  <c r="B18" i="7" s="1"/>
  <c r="E32" i="1" l="1"/>
  <c r="E30" i="1" s="1"/>
  <c r="B19" i="7"/>
  <c r="AL52" i="7"/>
  <c r="AK52" i="7" s="1"/>
  <c r="AL48" i="7" l="1"/>
  <c r="AM48" i="7"/>
  <c r="C59" i="7"/>
  <c r="D59" i="7"/>
  <c r="E59" i="7"/>
  <c r="F59" i="7"/>
  <c r="G59" i="7"/>
  <c r="H59" i="7"/>
  <c r="I59" i="7"/>
  <c r="C56" i="12" l="1"/>
  <c r="E22" i="4"/>
  <c r="D56" i="12" l="1"/>
  <c r="E56" i="12" l="1"/>
  <c r="F56" i="12" l="1"/>
  <c r="G56" i="12" l="1"/>
  <c r="H56" i="12" l="1"/>
  <c r="I56" i="12" l="1"/>
  <c r="J56" i="12" l="1"/>
  <c r="K56" i="12" l="1"/>
  <c r="L56" i="12" l="1"/>
  <c r="M56" i="12" l="1"/>
  <c r="N56" i="12" l="1"/>
  <c r="O56" i="12" l="1"/>
  <c r="P56" i="12" l="1"/>
  <c r="Q56" i="12" l="1"/>
  <c r="R56" i="12" l="1"/>
  <c r="S56" i="12" l="1"/>
  <c r="T56" i="12" l="1"/>
  <c r="U56" i="12" l="1"/>
  <c r="V56" i="12" l="1"/>
  <c r="W56" i="12" l="1"/>
  <c r="X56" i="12" l="1"/>
  <c r="Y56" i="12" l="1"/>
  <c r="Z56" i="12" l="1"/>
  <c r="AA56" i="12" l="1"/>
  <c r="AB56" i="12" l="1"/>
  <c r="AC56" i="12" l="1"/>
  <c r="AD56" i="12" l="1"/>
  <c r="AE56" i="12" l="1"/>
  <c r="AF56" i="12" l="1"/>
  <c r="AG56" i="12" l="1"/>
  <c r="AH56" i="12" l="1"/>
  <c r="AI56" i="12" l="1"/>
  <c r="AJ56" i="12" l="1"/>
  <c r="AK56" i="12" l="1"/>
  <c r="AL56" i="12" l="1"/>
  <c r="AM56" i="12" l="1"/>
  <c r="C79" i="12" l="1"/>
  <c r="D79" i="12" s="1"/>
  <c r="E79" i="12" s="1"/>
  <c r="H40" i="4" l="1"/>
  <c r="H38" i="4" s="1"/>
  <c r="H37" i="4" s="1"/>
  <c r="F79" i="12"/>
  <c r="G79" i="12" s="1"/>
  <c r="F40" i="4" l="1"/>
  <c r="F38" i="4" s="1"/>
  <c r="F37" i="4" s="1"/>
  <c r="G40" i="4"/>
  <c r="G38" i="4" s="1"/>
  <c r="G37" i="4" s="1"/>
  <c r="I40" i="4"/>
  <c r="I38" i="4" s="1"/>
  <c r="I37" i="4" s="1"/>
  <c r="H79" i="12"/>
  <c r="J40" i="4" l="1"/>
  <c r="J38" i="4" s="1"/>
  <c r="J37" i="4" s="1"/>
  <c r="I79" i="12"/>
  <c r="K40" i="4" l="1"/>
  <c r="K38" i="4" s="1"/>
  <c r="K37" i="4" s="1"/>
  <c r="J79" i="12"/>
  <c r="L40" i="4" l="1"/>
  <c r="L38" i="4" s="1"/>
  <c r="L37" i="4" s="1"/>
  <c r="K79" i="12"/>
  <c r="M40" i="4" l="1"/>
  <c r="M38" i="4" s="1"/>
  <c r="M37" i="4" s="1"/>
  <c r="L79" i="12"/>
  <c r="N40" i="4" l="1"/>
  <c r="N38" i="4" s="1"/>
  <c r="N37" i="4" s="1"/>
  <c r="M79" i="12"/>
  <c r="O40" i="4" l="1"/>
  <c r="O38" i="4" s="1"/>
  <c r="O37" i="4" s="1"/>
  <c r="N79" i="12"/>
  <c r="P40" i="4" l="1"/>
  <c r="P38" i="4" s="1"/>
  <c r="P37" i="4" s="1"/>
  <c r="O79" i="12"/>
  <c r="Q40" i="4" l="1"/>
  <c r="Q38" i="4" s="1"/>
  <c r="Q37" i="4" s="1"/>
  <c r="P79" i="12"/>
  <c r="R40" i="4" l="1"/>
  <c r="R38" i="4" s="1"/>
  <c r="R37" i="4" s="1"/>
  <c r="Q79" i="12"/>
  <c r="S40" i="4" l="1"/>
  <c r="S38" i="4" s="1"/>
  <c r="S37" i="4" s="1"/>
  <c r="R79" i="12"/>
  <c r="T40" i="4" l="1"/>
  <c r="T38" i="4" s="1"/>
  <c r="T37" i="4" s="1"/>
  <c r="S79" i="12"/>
  <c r="U40" i="4" l="1"/>
  <c r="U38" i="4" s="1"/>
  <c r="U37" i="4" s="1"/>
  <c r="T79" i="12"/>
  <c r="V40" i="4" l="1"/>
  <c r="V38" i="4" s="1"/>
  <c r="V37" i="4" s="1"/>
  <c r="U79" i="12"/>
  <c r="W40" i="4" l="1"/>
  <c r="W38" i="4" s="1"/>
  <c r="W37" i="4" s="1"/>
  <c r="V79" i="12"/>
  <c r="X40" i="4" l="1"/>
  <c r="X38" i="4" s="1"/>
  <c r="X37" i="4" s="1"/>
  <c r="W79" i="12"/>
  <c r="Y40" i="4" l="1"/>
  <c r="Y38" i="4" s="1"/>
  <c r="Y37" i="4" s="1"/>
  <c r="X79" i="12"/>
  <c r="Z40" i="4" l="1"/>
  <c r="Z38" i="4" s="1"/>
  <c r="Z37" i="4" s="1"/>
  <c r="Y79" i="12"/>
  <c r="AA40" i="4" l="1"/>
  <c r="AA38" i="4" s="1"/>
  <c r="AA37" i="4" s="1"/>
  <c r="Z79" i="12"/>
  <c r="AB40" i="4" l="1"/>
  <c r="AB38" i="4" s="1"/>
  <c r="AB37" i="4" s="1"/>
  <c r="AA79" i="12"/>
  <c r="AC40" i="4" l="1"/>
  <c r="AC38" i="4" s="1"/>
  <c r="AC37" i="4" s="1"/>
  <c r="AB79" i="12"/>
  <c r="AD40" i="4" l="1"/>
  <c r="AD38" i="4" s="1"/>
  <c r="AD37" i="4" s="1"/>
  <c r="AC79" i="12"/>
  <c r="AE40" i="4" l="1"/>
  <c r="AE38" i="4" s="1"/>
  <c r="AE37" i="4" s="1"/>
  <c r="AD79" i="12"/>
  <c r="AF40" i="4" l="1"/>
  <c r="AF38" i="4" s="1"/>
  <c r="AF37" i="4" s="1"/>
  <c r="AE79" i="12"/>
  <c r="AG40" i="4" l="1"/>
  <c r="AG38" i="4" s="1"/>
  <c r="AG37" i="4" s="1"/>
  <c r="AF79" i="12"/>
  <c r="AH40" i="4" l="1"/>
  <c r="AH38" i="4" s="1"/>
  <c r="AH37" i="4" s="1"/>
  <c r="AG79" i="12"/>
  <c r="AI40" i="4" l="1"/>
  <c r="AI38" i="4" s="1"/>
  <c r="AI37" i="4" s="1"/>
  <c r="AH79" i="12"/>
  <c r="AJ40" i="4" l="1"/>
  <c r="AJ38" i="4" s="1"/>
  <c r="AJ37" i="4" s="1"/>
  <c r="AI79" i="12"/>
  <c r="AK40" i="4" l="1"/>
  <c r="AK38" i="4" s="1"/>
  <c r="AK37" i="4" s="1"/>
  <c r="AJ79" i="12"/>
  <c r="AL40" i="4" l="1"/>
  <c r="AL38" i="4" s="1"/>
  <c r="AL37" i="4" s="1"/>
  <c r="AK79" i="12"/>
  <c r="AM40" i="4" l="1"/>
  <c r="AM38" i="4" s="1"/>
  <c r="AM37" i="4" s="1"/>
  <c r="AL79" i="12"/>
  <c r="AN40" i="4" l="1"/>
  <c r="AN38" i="4" s="1"/>
  <c r="AN37" i="4" s="1"/>
  <c r="AM79" i="12"/>
  <c r="AO40" i="4" l="1"/>
  <c r="AO38" i="4" s="1"/>
  <c r="AO37" i="4" s="1"/>
  <c r="AP40" i="4"/>
  <c r="AP38" i="4" s="1"/>
  <c r="AP37" i="4" s="1"/>
  <c r="AP46" i="4"/>
  <c r="AP44" i="4" s="1"/>
  <c r="AP43" i="4" s="1"/>
  <c r="AP25" i="4"/>
  <c r="AP23" i="4" s="1"/>
  <c r="AP12" i="4"/>
  <c r="AP8" i="4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P7" i="4" l="1"/>
  <c r="AP22" i="4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AB43" i="12" s="1"/>
  <c r="AC43" i="12" s="1"/>
  <c r="AD43" i="12" s="1"/>
  <c r="AE43" i="12" s="1"/>
  <c r="AF43" i="12" s="1"/>
  <c r="AG43" i="12" s="1"/>
  <c r="AH43" i="12" s="1"/>
  <c r="AI43" i="12" s="1"/>
  <c r="AJ43" i="12" s="1"/>
  <c r="AK43" i="12" s="1"/>
  <c r="AL43" i="12" s="1"/>
  <c r="AM43" i="12" s="1"/>
  <c r="C67" i="12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AB67" i="12" s="1"/>
  <c r="AC67" i="12" s="1"/>
  <c r="AD67" i="12" s="1"/>
  <c r="AE67" i="12" s="1"/>
  <c r="AF67" i="12" s="1"/>
  <c r="AG67" i="12" s="1"/>
  <c r="AH67" i="12" s="1"/>
  <c r="AI67" i="12" s="1"/>
  <c r="AJ67" i="12" s="1"/>
  <c r="AK67" i="12" s="1"/>
  <c r="AL67" i="12" s="1"/>
  <c r="AM67" i="12" s="1"/>
  <c r="C91" i="12"/>
  <c r="D91" i="12" s="1"/>
  <c r="E91" i="12" s="1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R91" i="12" s="1"/>
  <c r="S91" i="12" s="1"/>
  <c r="T91" i="12" s="1"/>
  <c r="U91" i="12" s="1"/>
  <c r="V91" i="12" s="1"/>
  <c r="W91" i="12" s="1"/>
  <c r="X91" i="12" s="1"/>
  <c r="Y91" i="12" s="1"/>
  <c r="Z91" i="12" s="1"/>
  <c r="AA91" i="12" s="1"/>
  <c r="AB91" i="12" s="1"/>
  <c r="AC91" i="12" s="1"/>
  <c r="AD91" i="12" s="1"/>
  <c r="AE91" i="12" s="1"/>
  <c r="AF91" i="12" s="1"/>
  <c r="AG91" i="12" s="1"/>
  <c r="AH91" i="12" s="1"/>
  <c r="AI91" i="12" s="1"/>
  <c r="AJ91" i="12" s="1"/>
  <c r="AK91" i="12" s="1"/>
  <c r="AL91" i="12" s="1"/>
  <c r="AM9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AB30" i="12" s="1"/>
  <c r="AC30" i="12" s="1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P4" i="4" l="1"/>
  <c r="V46" i="4"/>
  <c r="V44" i="4" s="1"/>
  <c r="V43" i="4" s="1"/>
  <c r="P8" i="4"/>
  <c r="AJ8" i="4"/>
  <c r="AK8" i="4"/>
  <c r="AL8" i="4"/>
  <c r="AM8" i="4"/>
  <c r="AN8" i="4"/>
  <c r="AO8" i="4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F26" i="4" l="1"/>
  <c r="F5" i="4" s="1"/>
  <c r="G26" i="4"/>
  <c r="G5" i="4" s="1"/>
  <c r="H26" i="4"/>
  <c r="H5" i="4" s="1"/>
  <c r="I26" i="4"/>
  <c r="I5" i="4" s="1"/>
  <c r="J26" i="4"/>
  <c r="J5" i="4" s="1"/>
  <c r="K26" i="4"/>
  <c r="K5" i="4" s="1"/>
  <c r="L26" i="4"/>
  <c r="L5" i="4" s="1"/>
  <c r="M26" i="4"/>
  <c r="M5" i="4" s="1"/>
  <c r="N26" i="4"/>
  <c r="N5" i="4" s="1"/>
  <c r="O26" i="4"/>
  <c r="O5" i="4" s="1"/>
  <c r="P26" i="4"/>
  <c r="P5" i="4" s="1"/>
  <c r="Q26" i="4"/>
  <c r="Q5" i="4" s="1"/>
  <c r="R26" i="4"/>
  <c r="R5" i="4" s="1"/>
  <c r="S26" i="4"/>
  <c r="S5" i="4" s="1"/>
  <c r="T26" i="4"/>
  <c r="T5" i="4" s="1"/>
  <c r="U26" i="4"/>
  <c r="U5" i="4" s="1"/>
  <c r="V26" i="4"/>
  <c r="V5" i="4" s="1"/>
  <c r="W26" i="4"/>
  <c r="W5" i="4" s="1"/>
  <c r="X26" i="4"/>
  <c r="X5" i="4" s="1"/>
  <c r="Y26" i="4"/>
  <c r="Y5" i="4" s="1"/>
  <c r="Z26" i="4"/>
  <c r="Z5" i="4" s="1"/>
  <c r="AA26" i="4"/>
  <c r="AA5" i="4" s="1"/>
  <c r="AB26" i="4"/>
  <c r="AB5" i="4" s="1"/>
  <c r="AC26" i="4"/>
  <c r="AC5" i="4" s="1"/>
  <c r="AD26" i="4"/>
  <c r="AD5" i="4" s="1"/>
  <c r="AE26" i="4"/>
  <c r="AE5" i="4" s="1"/>
  <c r="AF26" i="4"/>
  <c r="AF5" i="4" s="1"/>
  <c r="AG26" i="4"/>
  <c r="AG5" i="4" s="1"/>
  <c r="AH26" i="4"/>
  <c r="AH5" i="4" s="1"/>
  <c r="AI26" i="4"/>
  <c r="AI5" i="4" s="1"/>
  <c r="AJ26" i="4"/>
  <c r="AJ5" i="4" s="1"/>
  <c r="AK26" i="4"/>
  <c r="AK5" i="4" s="1"/>
  <c r="AL26" i="4"/>
  <c r="AL5" i="4" s="1"/>
  <c r="AM26" i="4"/>
  <c r="AM5" i="4" s="1"/>
  <c r="AN26" i="4"/>
  <c r="AN5" i="4" s="1"/>
  <c r="AO26" i="4"/>
  <c r="AO5" i="4" s="1"/>
  <c r="C49" i="12"/>
  <c r="D49" i="12"/>
  <c r="E49" i="12"/>
  <c r="E47" i="12" s="1"/>
  <c r="F49" i="12"/>
  <c r="F47" i="12" s="1"/>
  <c r="G49" i="12"/>
  <c r="H49" i="12"/>
  <c r="I49" i="12"/>
  <c r="I47" i="12" s="1"/>
  <c r="J49" i="12"/>
  <c r="J47" i="12" s="1"/>
  <c r="K49" i="12"/>
  <c r="L49" i="12"/>
  <c r="M49" i="12"/>
  <c r="M47" i="12" s="1"/>
  <c r="N49" i="12"/>
  <c r="N47" i="12" s="1"/>
  <c r="O49" i="12"/>
  <c r="P49" i="12"/>
  <c r="Q49" i="12"/>
  <c r="Q47" i="12" s="1"/>
  <c r="R49" i="12"/>
  <c r="R47" i="12" s="1"/>
  <c r="S49" i="12"/>
  <c r="T49" i="12"/>
  <c r="U49" i="12"/>
  <c r="U47" i="12" s="1"/>
  <c r="V49" i="12"/>
  <c r="V47" i="12" s="1"/>
  <c r="W49" i="12"/>
  <c r="X49" i="12"/>
  <c r="Y49" i="12"/>
  <c r="Y47" i="12" s="1"/>
  <c r="Z49" i="12"/>
  <c r="Z47" i="12" s="1"/>
  <c r="AA49" i="12"/>
  <c r="AB49" i="12"/>
  <c r="AC49" i="12"/>
  <c r="AC47" i="12" s="1"/>
  <c r="AD49" i="12"/>
  <c r="AD47" i="12" s="1"/>
  <c r="AE49" i="12"/>
  <c r="AF49" i="12"/>
  <c r="AG49" i="12"/>
  <c r="AG47" i="12" s="1"/>
  <c r="AH49" i="12"/>
  <c r="AH47" i="12" s="1"/>
  <c r="AI49" i="12"/>
  <c r="AJ49" i="12"/>
  <c r="AK49" i="12"/>
  <c r="AK47" i="12" s="1"/>
  <c r="AL49" i="12"/>
  <c r="AL47" i="12" s="1"/>
  <c r="P12" i="4"/>
  <c r="P7" i="4" s="1"/>
  <c r="AJ12" i="4"/>
  <c r="AJ7" i="4" s="1"/>
  <c r="AK12" i="4"/>
  <c r="AK7" i="4" s="1"/>
  <c r="AL12" i="4"/>
  <c r="AL7" i="4" s="1"/>
  <c r="AM12" i="4"/>
  <c r="AM7" i="4" s="1"/>
  <c r="AN12" i="4"/>
  <c r="AN7" i="4" s="1"/>
  <c r="AO12" i="4"/>
  <c r="AO7" i="4" s="1"/>
  <c r="E12" i="4"/>
  <c r="F12" i="4"/>
  <c r="G12" i="4"/>
  <c r="H12" i="4"/>
  <c r="I12" i="4"/>
  <c r="O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B10" i="12"/>
  <c r="E9" i="4" s="1"/>
  <c r="E8" i="4" s="1"/>
  <c r="C10" i="12"/>
  <c r="F9" i="4" s="1"/>
  <c r="F8" i="4" s="1"/>
  <c r="D10" i="12"/>
  <c r="G9" i="4" s="1"/>
  <c r="G8" i="4" s="1"/>
  <c r="E10" i="12"/>
  <c r="H9" i="4" s="1"/>
  <c r="H8" i="4" s="1"/>
  <c r="F10" i="12"/>
  <c r="I9" i="4" s="1"/>
  <c r="I8" i="4" s="1"/>
  <c r="G10" i="12"/>
  <c r="J9" i="4" s="1"/>
  <c r="J8" i="4" s="1"/>
  <c r="H10" i="12"/>
  <c r="K9" i="4" s="1"/>
  <c r="K8" i="4" s="1"/>
  <c r="I10" i="12"/>
  <c r="L9" i="4" s="1"/>
  <c r="L8" i="4" s="1"/>
  <c r="J10" i="12"/>
  <c r="M9" i="4" s="1"/>
  <c r="M8" i="4" s="1"/>
  <c r="K10" i="12"/>
  <c r="N9" i="4" s="1"/>
  <c r="N8" i="4" s="1"/>
  <c r="L10" i="12"/>
  <c r="O9" i="4" s="1"/>
  <c r="O8" i="4" s="1"/>
  <c r="N10" i="12"/>
  <c r="Q9" i="4" s="1"/>
  <c r="Q8" i="4" s="1"/>
  <c r="O10" i="12"/>
  <c r="R9" i="4" s="1"/>
  <c r="R8" i="4" s="1"/>
  <c r="P10" i="12"/>
  <c r="S9" i="4" s="1"/>
  <c r="S8" i="4" s="1"/>
  <c r="Q10" i="12"/>
  <c r="T9" i="4" s="1"/>
  <c r="T8" i="4" s="1"/>
  <c r="R10" i="12"/>
  <c r="U9" i="4" s="1"/>
  <c r="U8" i="4" s="1"/>
  <c r="S10" i="12"/>
  <c r="V9" i="4" s="1"/>
  <c r="V8" i="4" s="1"/>
  <c r="T10" i="12"/>
  <c r="W9" i="4" s="1"/>
  <c r="W8" i="4" s="1"/>
  <c r="U10" i="12"/>
  <c r="X9" i="4" s="1"/>
  <c r="X8" i="4" s="1"/>
  <c r="V10" i="12"/>
  <c r="Y9" i="4" s="1"/>
  <c r="Y8" i="4" s="1"/>
  <c r="W10" i="12"/>
  <c r="Z9" i="4" s="1"/>
  <c r="Z8" i="4" s="1"/>
  <c r="X10" i="12"/>
  <c r="AA9" i="4" s="1"/>
  <c r="AA8" i="4" s="1"/>
  <c r="Y10" i="12"/>
  <c r="AB9" i="4" s="1"/>
  <c r="AB8" i="4" s="1"/>
  <c r="Z10" i="12"/>
  <c r="AC9" i="4" s="1"/>
  <c r="AC8" i="4" s="1"/>
  <c r="AA10" i="12"/>
  <c r="AD9" i="4" s="1"/>
  <c r="AD8" i="4" s="1"/>
  <c r="AB10" i="12"/>
  <c r="AE9" i="4" s="1"/>
  <c r="AE8" i="4" s="1"/>
  <c r="AC10" i="12"/>
  <c r="AF9" i="4" s="1"/>
  <c r="AF8" i="4" s="1"/>
  <c r="AD10" i="12"/>
  <c r="AG9" i="4" s="1"/>
  <c r="AG8" i="4" s="1"/>
  <c r="AE10" i="12"/>
  <c r="AH9" i="4" s="1"/>
  <c r="AH8" i="4" s="1"/>
  <c r="AF10" i="12"/>
  <c r="AI9" i="4" s="1"/>
  <c r="AI8" i="4" s="1"/>
  <c r="AH7" i="4" l="1"/>
  <c r="AD7" i="4"/>
  <c r="Z7" i="4"/>
  <c r="V7" i="4"/>
  <c r="R7" i="4"/>
  <c r="H7" i="4"/>
  <c r="AG7" i="4"/>
  <c r="AC7" i="4"/>
  <c r="Y7" i="4"/>
  <c r="U7" i="4"/>
  <c r="Q7" i="4"/>
  <c r="I7" i="4"/>
  <c r="E7" i="4"/>
  <c r="E4" i="4" s="1"/>
  <c r="AF7" i="4"/>
  <c r="AB7" i="4"/>
  <c r="X7" i="4"/>
  <c r="T7" i="4"/>
  <c r="O7" i="4"/>
  <c r="G7" i="4"/>
  <c r="AI7" i="4"/>
  <c r="AE7" i="4"/>
  <c r="AA7" i="4"/>
  <c r="W7" i="4"/>
  <c r="S7" i="4"/>
  <c r="F7" i="4"/>
  <c r="AI47" i="12"/>
  <c r="AL25" i="4" s="1"/>
  <c r="AE47" i="12"/>
  <c r="AH25" i="4" s="1"/>
  <c r="AA47" i="12"/>
  <c r="AD25" i="4" s="1"/>
  <c r="W47" i="12"/>
  <c r="Z25" i="4" s="1"/>
  <c r="S47" i="12"/>
  <c r="V25" i="4" s="1"/>
  <c r="O47" i="12"/>
  <c r="R25" i="4" s="1"/>
  <c r="K47" i="12"/>
  <c r="N25" i="4" s="1"/>
  <c r="G47" i="12"/>
  <c r="J25" i="4" s="1"/>
  <c r="C47" i="12"/>
  <c r="F25" i="4" s="1"/>
  <c r="AL48" i="12"/>
  <c r="AO24" i="4" s="1"/>
  <c r="AO25" i="4"/>
  <c r="AH48" i="12"/>
  <c r="AK24" i="4" s="1"/>
  <c r="AK25" i="4"/>
  <c r="AD48" i="12"/>
  <c r="AG24" i="4" s="1"/>
  <c r="AG25" i="4"/>
  <c r="Z48" i="12"/>
  <c r="AC24" i="4" s="1"/>
  <c r="AC25" i="4"/>
  <c r="V48" i="12"/>
  <c r="Y24" i="4" s="1"/>
  <c r="Y25" i="4"/>
  <c r="R48" i="12"/>
  <c r="U24" i="4" s="1"/>
  <c r="U25" i="4"/>
  <c r="N48" i="12"/>
  <c r="Q24" i="4" s="1"/>
  <c r="Q25" i="4"/>
  <c r="J48" i="12"/>
  <c r="M24" i="4" s="1"/>
  <c r="M25" i="4"/>
  <c r="F48" i="12"/>
  <c r="I24" i="4" s="1"/>
  <c r="I25" i="4"/>
  <c r="AK48" i="12"/>
  <c r="AN24" i="4" s="1"/>
  <c r="AN25" i="4"/>
  <c r="AG48" i="12"/>
  <c r="AJ24" i="4" s="1"/>
  <c r="AJ25" i="4"/>
  <c r="AC48" i="12"/>
  <c r="AF24" i="4" s="1"/>
  <c r="AF25" i="4"/>
  <c r="Y48" i="12"/>
  <c r="AB24" i="4" s="1"/>
  <c r="AB25" i="4"/>
  <c r="U48" i="12"/>
  <c r="X24" i="4" s="1"/>
  <c r="X25" i="4"/>
  <c r="Q48" i="12"/>
  <c r="T24" i="4" s="1"/>
  <c r="T25" i="4"/>
  <c r="M48" i="12"/>
  <c r="P24" i="4" s="1"/>
  <c r="P25" i="4"/>
  <c r="I48" i="12"/>
  <c r="L24" i="4" s="1"/>
  <c r="L25" i="4"/>
  <c r="E48" i="12"/>
  <c r="H24" i="4" s="1"/>
  <c r="H25" i="4"/>
  <c r="AJ47" i="12"/>
  <c r="AM25" i="4" s="1"/>
  <c r="AF47" i="12"/>
  <c r="AI25" i="4" s="1"/>
  <c r="AB47" i="12"/>
  <c r="AE25" i="4" s="1"/>
  <c r="X47" i="12"/>
  <c r="AA25" i="4" s="1"/>
  <c r="T47" i="12"/>
  <c r="W25" i="4" s="1"/>
  <c r="P47" i="12"/>
  <c r="S25" i="4" s="1"/>
  <c r="L47" i="12"/>
  <c r="O25" i="4" s="1"/>
  <c r="H47" i="12"/>
  <c r="K25" i="4" s="1"/>
  <c r="D47" i="12"/>
  <c r="G25" i="4" s="1"/>
  <c r="G21" i="12"/>
  <c r="J13" i="4" s="1"/>
  <c r="J12" i="4" s="1"/>
  <c r="J7" i="4" s="1"/>
  <c r="H21" i="12"/>
  <c r="K13" i="4" s="1"/>
  <c r="K12" i="4" s="1"/>
  <c r="K7" i="4" s="1"/>
  <c r="I21" i="12"/>
  <c r="L13" i="4" s="1"/>
  <c r="L12" i="4" s="1"/>
  <c r="L7" i="4" s="1"/>
  <c r="J21" i="12"/>
  <c r="M13" i="4" s="1"/>
  <c r="M12" i="4" s="1"/>
  <c r="M7" i="4" s="1"/>
  <c r="K21" i="12"/>
  <c r="N13" i="4" s="1"/>
  <c r="N12" i="4" s="1"/>
  <c r="N7" i="4" s="1"/>
  <c r="M23" i="4" l="1"/>
  <c r="M22" i="4" s="1"/>
  <c r="AC23" i="4"/>
  <c r="AC22" i="4" s="1"/>
  <c r="AK23" i="4"/>
  <c r="AK22" i="4" s="1"/>
  <c r="I23" i="4"/>
  <c r="I22" i="4" s="1"/>
  <c r="Q23" i="4"/>
  <c r="Q22" i="4" s="1"/>
  <c r="Y23" i="4"/>
  <c r="Y22" i="4" s="1"/>
  <c r="AG23" i="4"/>
  <c r="AG22" i="4" s="1"/>
  <c r="AO23" i="4"/>
  <c r="AO22" i="4" s="1"/>
  <c r="L23" i="4"/>
  <c r="L22" i="4" s="1"/>
  <c r="AB23" i="4"/>
  <c r="AB22" i="4" s="1"/>
  <c r="AI48" i="12"/>
  <c r="AL24" i="4" s="1"/>
  <c r="AL23" i="4" s="1"/>
  <c r="AL22" i="4" s="1"/>
  <c r="X48" i="12"/>
  <c r="AA24" i="4" s="1"/>
  <c r="AA23" i="4" s="1"/>
  <c r="AA22" i="4" s="1"/>
  <c r="U23" i="4"/>
  <c r="U22" i="4" s="1"/>
  <c r="C48" i="12"/>
  <c r="F24" i="4" s="1"/>
  <c r="F23" i="4" s="1"/>
  <c r="F22" i="4" s="1"/>
  <c r="P48" i="12"/>
  <c r="S24" i="4" s="1"/>
  <c r="S23" i="4" s="1"/>
  <c r="S22" i="4" s="1"/>
  <c r="S4" i="4" s="1"/>
  <c r="AA48" i="12"/>
  <c r="AD24" i="4" s="1"/>
  <c r="AD23" i="4" s="1"/>
  <c r="AD22" i="4" s="1"/>
  <c r="H48" i="12"/>
  <c r="K24" i="4" s="1"/>
  <c r="K23" i="4" s="1"/>
  <c r="K22" i="4" s="1"/>
  <c r="T23" i="4"/>
  <c r="T22" i="4" s="1"/>
  <c r="AJ23" i="4"/>
  <c r="AJ22" i="4" s="1"/>
  <c r="AJ4" i="4" s="1"/>
  <c r="S48" i="12"/>
  <c r="V24" i="4" s="1"/>
  <c r="V23" i="4" s="1"/>
  <c r="V22" i="4" s="1"/>
  <c r="V4" i="4" s="1"/>
  <c r="AF48" i="12"/>
  <c r="AI24" i="4" s="1"/>
  <c r="AI23" i="4" s="1"/>
  <c r="AI22" i="4" s="1"/>
  <c r="H23" i="4"/>
  <c r="H22" i="4" s="1"/>
  <c r="P23" i="4"/>
  <c r="P22" i="4" s="1"/>
  <c r="X23" i="4"/>
  <c r="X22" i="4" s="1"/>
  <c r="AF23" i="4"/>
  <c r="AF22" i="4" s="1"/>
  <c r="AN23" i="4"/>
  <c r="AN22" i="4" s="1"/>
  <c r="K48" i="12"/>
  <c r="N24" i="4" s="1"/>
  <c r="N23" i="4" s="1"/>
  <c r="N22" i="4" s="1"/>
  <c r="G48" i="12"/>
  <c r="J24" i="4" s="1"/>
  <c r="J23" i="4" s="1"/>
  <c r="J22" i="4" s="1"/>
  <c r="O48" i="12"/>
  <c r="R24" i="4" s="1"/>
  <c r="R23" i="4" s="1"/>
  <c r="R22" i="4" s="1"/>
  <c r="W48" i="12"/>
  <c r="Z24" i="4" s="1"/>
  <c r="Z23" i="4" s="1"/>
  <c r="Z22" i="4" s="1"/>
  <c r="AE48" i="12"/>
  <c r="AH24" i="4" s="1"/>
  <c r="AH23" i="4" s="1"/>
  <c r="AH22" i="4" s="1"/>
  <c r="D48" i="12"/>
  <c r="G24" i="4" s="1"/>
  <c r="G23" i="4" s="1"/>
  <c r="G22" i="4" s="1"/>
  <c r="L48" i="12"/>
  <c r="O24" i="4" s="1"/>
  <c r="O23" i="4" s="1"/>
  <c r="O22" i="4" s="1"/>
  <c r="T48" i="12"/>
  <c r="W24" i="4" s="1"/>
  <c r="W23" i="4" s="1"/>
  <c r="W22" i="4" s="1"/>
  <c r="AB48" i="12"/>
  <c r="AE24" i="4" s="1"/>
  <c r="AE23" i="4" s="1"/>
  <c r="AE22" i="4" s="1"/>
  <c r="AJ48" i="12"/>
  <c r="AM24" i="4" s="1"/>
  <c r="AM23" i="4" s="1"/>
  <c r="AM22" i="4" s="1"/>
  <c r="F46" i="4"/>
  <c r="F44" i="4" s="1"/>
  <c r="F43" i="4" s="1"/>
  <c r="G46" i="4"/>
  <c r="G44" i="4" s="1"/>
  <c r="G43" i="4" s="1"/>
  <c r="H46" i="4"/>
  <c r="H44" i="4" s="1"/>
  <c r="H43" i="4" s="1"/>
  <c r="I46" i="4"/>
  <c r="I44" i="4" s="1"/>
  <c r="I43" i="4" s="1"/>
  <c r="J46" i="4"/>
  <c r="J44" i="4" s="1"/>
  <c r="J43" i="4" s="1"/>
  <c r="K46" i="4"/>
  <c r="K44" i="4" s="1"/>
  <c r="K43" i="4" s="1"/>
  <c r="L46" i="4"/>
  <c r="L44" i="4" s="1"/>
  <c r="L43" i="4" s="1"/>
  <c r="M46" i="4"/>
  <c r="M44" i="4" s="1"/>
  <c r="M43" i="4" s="1"/>
  <c r="N46" i="4"/>
  <c r="N44" i="4" s="1"/>
  <c r="N43" i="4" s="1"/>
  <c r="O46" i="4"/>
  <c r="O44" i="4" s="1"/>
  <c r="O43" i="4" s="1"/>
  <c r="P46" i="4"/>
  <c r="P44" i="4" s="1"/>
  <c r="P43" i="4" s="1"/>
  <c r="Q46" i="4"/>
  <c r="Q44" i="4" s="1"/>
  <c r="Q43" i="4" s="1"/>
  <c r="R46" i="4"/>
  <c r="R44" i="4" s="1"/>
  <c r="R43" i="4" s="1"/>
  <c r="S46" i="4"/>
  <c r="S44" i="4" s="1"/>
  <c r="S43" i="4" s="1"/>
  <c r="T46" i="4"/>
  <c r="T44" i="4" s="1"/>
  <c r="T43" i="4" s="1"/>
  <c r="U46" i="4"/>
  <c r="U44" i="4" s="1"/>
  <c r="U43" i="4" s="1"/>
  <c r="W46" i="4"/>
  <c r="W44" i="4" s="1"/>
  <c r="W43" i="4" s="1"/>
  <c r="X46" i="4"/>
  <c r="X44" i="4" s="1"/>
  <c r="X43" i="4" s="1"/>
  <c r="Y46" i="4"/>
  <c r="Y44" i="4" s="1"/>
  <c r="Y43" i="4" s="1"/>
  <c r="Z46" i="4"/>
  <c r="Z44" i="4" s="1"/>
  <c r="Z43" i="4" s="1"/>
  <c r="AA46" i="4"/>
  <c r="AA44" i="4" s="1"/>
  <c r="AA43" i="4" s="1"/>
  <c r="AB46" i="4"/>
  <c r="AB44" i="4" s="1"/>
  <c r="AB43" i="4" s="1"/>
  <c r="AC46" i="4"/>
  <c r="AC44" i="4" s="1"/>
  <c r="AC43" i="4" s="1"/>
  <c r="AD46" i="4"/>
  <c r="AD44" i="4" s="1"/>
  <c r="AD43" i="4" s="1"/>
  <c r="AE46" i="4"/>
  <c r="AE44" i="4" s="1"/>
  <c r="AE43" i="4" s="1"/>
  <c r="AF46" i="4"/>
  <c r="AF44" i="4" s="1"/>
  <c r="AF43" i="4" s="1"/>
  <c r="AG46" i="4"/>
  <c r="AG44" i="4" s="1"/>
  <c r="AG43" i="4" s="1"/>
  <c r="AH46" i="4"/>
  <c r="AH44" i="4" s="1"/>
  <c r="AH43" i="4" s="1"/>
  <c r="AI46" i="4"/>
  <c r="AI44" i="4" s="1"/>
  <c r="AI43" i="4" s="1"/>
  <c r="AJ46" i="4"/>
  <c r="AJ44" i="4" s="1"/>
  <c r="AJ43" i="4" s="1"/>
  <c r="AK46" i="4"/>
  <c r="AK44" i="4" s="1"/>
  <c r="AK43" i="4" s="1"/>
  <c r="AL46" i="4"/>
  <c r="AL44" i="4" s="1"/>
  <c r="AL43" i="4" s="1"/>
  <c r="AM46" i="4"/>
  <c r="AM44" i="4" s="1"/>
  <c r="AM43" i="4" s="1"/>
  <c r="AN46" i="4"/>
  <c r="AN44" i="4" s="1"/>
  <c r="AN43" i="4" s="1"/>
  <c r="AO46" i="4"/>
  <c r="AO44" i="4" s="1"/>
  <c r="AO43" i="4" s="1"/>
  <c r="C24" i="7"/>
  <c r="D24" i="7"/>
  <c r="E24" i="7"/>
  <c r="F24" i="7"/>
  <c r="G24" i="7"/>
  <c r="H24" i="7"/>
  <c r="I24" i="7"/>
  <c r="J24" i="7"/>
  <c r="K24" i="7"/>
  <c r="L24" i="7"/>
  <c r="M24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G4" i="4" l="1"/>
  <c r="X4" i="4"/>
  <c r="AO4" i="4"/>
  <c r="AM4" i="4"/>
  <c r="J4" i="4"/>
  <c r="AA4" i="4"/>
  <c r="AE4" i="4"/>
  <c r="N4" i="4"/>
  <c r="I4" i="4"/>
  <c r="AL4" i="4"/>
  <c r="AK4" i="4"/>
  <c r="W4" i="4"/>
  <c r="Z4" i="4"/>
  <c r="AN4" i="4"/>
  <c r="H4" i="4"/>
  <c r="T4" i="4"/>
  <c r="F4" i="4"/>
  <c r="AB4" i="4"/>
  <c r="Y4" i="4"/>
  <c r="AC4" i="4"/>
  <c r="AD4" i="4"/>
  <c r="AH4" i="4"/>
  <c r="P4" i="4"/>
  <c r="AG4" i="4"/>
  <c r="O4" i="4"/>
  <c r="R4" i="4"/>
  <c r="AF4" i="4"/>
  <c r="AI4" i="4"/>
  <c r="K4" i="4"/>
  <c r="U4" i="4"/>
  <c r="L4" i="4"/>
  <c r="Q4" i="4"/>
  <c r="M4" i="4"/>
  <c r="AM49" i="7"/>
  <c r="AM51" i="7"/>
  <c r="AP40" i="1" s="1"/>
  <c r="AP39" i="1" s="1"/>
  <c r="AL50" i="7" l="1"/>
  <c r="AL51" i="7" s="1"/>
  <c r="AO40" i="1" s="1"/>
  <c r="AK50" i="7"/>
  <c r="AN41" i="1" s="1"/>
  <c r="AO41" i="1" l="1"/>
  <c r="AO39" i="1"/>
  <c r="AK51" i="7"/>
  <c r="AN40" i="1" s="1"/>
  <c r="AN39" i="1" s="1"/>
  <c r="AM61" i="7"/>
  <c r="O73" i="7"/>
  <c r="P73" i="7"/>
  <c r="Q73" i="7"/>
  <c r="S73" i="7"/>
  <c r="T73" i="7"/>
  <c r="U73" i="7"/>
  <c r="W73" i="7"/>
  <c r="X73" i="7"/>
  <c r="Y73" i="7"/>
  <c r="AA73" i="7"/>
  <c r="AB73" i="7"/>
  <c r="AC73" i="7"/>
  <c r="AE73" i="7"/>
  <c r="AF73" i="7"/>
  <c r="AG73" i="7"/>
  <c r="AI73" i="7"/>
  <c r="AJ73" i="7"/>
  <c r="AK73" i="7"/>
  <c r="AM73" i="7"/>
  <c r="B63" i="7" l="1"/>
  <c r="S63" i="7"/>
  <c r="S65" i="7" s="1"/>
  <c r="N73" i="7"/>
  <c r="R73" i="7"/>
  <c r="V73" i="7"/>
  <c r="Z73" i="7"/>
  <c r="AD73" i="7"/>
  <c r="AH73" i="7"/>
  <c r="AL73" i="7"/>
  <c r="V34" i="1" l="1"/>
  <c r="B65" i="7"/>
  <c r="E35" i="1" s="1"/>
  <c r="E34" i="1" l="1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C88" i="7"/>
  <c r="AD88" i="7"/>
  <c r="AE88" i="7"/>
  <c r="AF88" i="7"/>
  <c r="AG88" i="7"/>
  <c r="AH88" i="7"/>
  <c r="AI88" i="7"/>
  <c r="AJ88" i="7"/>
  <c r="AK88" i="7"/>
  <c r="AL88" i="7"/>
  <c r="AM88" i="7"/>
  <c r="AD89" i="7"/>
  <c r="AE89" i="7"/>
  <c r="AF89" i="7"/>
  <c r="AG89" i="7"/>
  <c r="AH89" i="7"/>
  <c r="AI89" i="7"/>
  <c r="AJ89" i="7"/>
  <c r="AK89" i="7"/>
  <c r="AL89" i="7"/>
  <c r="AM89" i="7"/>
  <c r="AM18" i="7"/>
  <c r="AP32" i="1" l="1"/>
  <c r="AP30" i="1" s="1"/>
  <c r="AM19" i="7"/>
  <c r="AF48" i="7"/>
  <c r="AG48" i="7"/>
  <c r="AH48" i="7"/>
  <c r="AI48" i="7"/>
  <c r="AJ48" i="7"/>
  <c r="AK48" i="7"/>
  <c r="AJ52" i="7"/>
  <c r="AJ50" i="7" l="1"/>
  <c r="AM41" i="1" s="1"/>
  <c r="AI52" i="7"/>
  <c r="AJ51" i="7" l="1"/>
  <c r="AM40" i="1" s="1"/>
  <c r="AM39" i="1" s="1"/>
  <c r="AI50" i="7"/>
  <c r="AL41" i="1" s="1"/>
  <c r="AH52" i="7"/>
  <c r="AG52" i="7" l="1"/>
  <c r="AH50" i="7"/>
  <c r="AK41" i="1" s="1"/>
  <c r="AI51" i="7"/>
  <c r="AL40" i="1" s="1"/>
  <c r="AL39" i="1" s="1"/>
  <c r="AH51" i="7" l="1"/>
  <c r="AK40" i="1" s="1"/>
  <c r="AK39" i="1" s="1"/>
  <c r="AG50" i="7"/>
  <c r="AJ41" i="1" s="1"/>
  <c r="AF52" i="7"/>
  <c r="AG51" i="7" l="1"/>
  <c r="AJ40" i="1" s="1"/>
  <c r="AJ39" i="1" s="1"/>
  <c r="AE52" i="7"/>
  <c r="AF50" i="7"/>
  <c r="AI41" i="1" s="1"/>
  <c r="AF51" i="7" l="1"/>
  <c r="AI40" i="1" s="1"/>
  <c r="AI39" i="1" s="1"/>
  <c r="AE50" i="7"/>
  <c r="AH41" i="1" s="1"/>
  <c r="AD52" i="7"/>
  <c r="AC52" i="7" l="1"/>
  <c r="AD50" i="7"/>
  <c r="AG41" i="1" s="1"/>
  <c r="AE51" i="7"/>
  <c r="AH40" i="1" s="1"/>
  <c r="AH39" i="1" s="1"/>
  <c r="AC50" i="7" l="1"/>
  <c r="AF41" i="1" s="1"/>
  <c r="AB52" i="7"/>
  <c r="AD51" i="7"/>
  <c r="AG40" i="1" s="1"/>
  <c r="AG39" i="1" s="1"/>
  <c r="AA52" i="7" l="1"/>
  <c r="AB50" i="7"/>
  <c r="AE41" i="1" s="1"/>
  <c r="AC51" i="7"/>
  <c r="AF40" i="1" s="1"/>
  <c r="AF39" i="1" s="1"/>
  <c r="AB51" i="7" l="1"/>
  <c r="AE40" i="1" s="1"/>
  <c r="AE39" i="1" s="1"/>
  <c r="AA50" i="7"/>
  <c r="AD41" i="1" s="1"/>
  <c r="Z52" i="7"/>
  <c r="AA51" i="7" l="1"/>
  <c r="AD40" i="1" s="1"/>
  <c r="AD39" i="1" s="1"/>
  <c r="Y52" i="7"/>
  <c r="Z50" i="7"/>
  <c r="AC41" i="1" s="1"/>
  <c r="Y50" i="7" l="1"/>
  <c r="AB41" i="1" s="1"/>
  <c r="X52" i="7"/>
  <c r="Z51" i="7"/>
  <c r="AC40" i="1" s="1"/>
  <c r="AC39" i="1" s="1"/>
  <c r="W52" i="7" l="1"/>
  <c r="X50" i="7"/>
  <c r="AA41" i="1" s="1"/>
  <c r="Y51" i="7"/>
  <c r="AB40" i="1" s="1"/>
  <c r="AB39" i="1" s="1"/>
  <c r="X51" i="7" l="1"/>
  <c r="AA40" i="1" s="1"/>
  <c r="AA39" i="1" s="1"/>
  <c r="W50" i="7"/>
  <c r="Z41" i="1" s="1"/>
  <c r="V52" i="7"/>
  <c r="W51" i="7" l="1"/>
  <c r="Z40" i="1" s="1"/>
  <c r="Z39" i="1" s="1"/>
  <c r="U52" i="7"/>
  <c r="V50" i="7"/>
  <c r="Y41" i="1" s="1"/>
  <c r="V51" i="7" l="1"/>
  <c r="Y40" i="1" s="1"/>
  <c r="Y39" i="1" s="1"/>
  <c r="T52" i="7"/>
  <c r="U50" i="7"/>
  <c r="X41" i="1" s="1"/>
  <c r="U51" i="7" l="1"/>
  <c r="X40" i="1" s="1"/>
  <c r="X39" i="1" s="1"/>
  <c r="T50" i="7"/>
  <c r="W41" i="1" s="1"/>
  <c r="S52" i="7"/>
  <c r="T51" i="7" l="1"/>
  <c r="W40" i="1" s="1"/>
  <c r="W39" i="1" s="1"/>
  <c r="S50" i="7"/>
  <c r="V41" i="1" s="1"/>
  <c r="R52" i="7"/>
  <c r="Q52" i="7" l="1"/>
  <c r="R50" i="7"/>
  <c r="U41" i="1" s="1"/>
  <c r="S51" i="7"/>
  <c r="V40" i="1" s="1"/>
  <c r="V39" i="1" s="1"/>
  <c r="Q50" i="7" l="1"/>
  <c r="T41" i="1" s="1"/>
  <c r="R51" i="7"/>
  <c r="U40" i="1" s="1"/>
  <c r="U39" i="1" s="1"/>
  <c r="Q51" i="7" l="1"/>
  <c r="T40" i="1" s="1"/>
  <c r="T39" i="1" s="1"/>
  <c r="G64" i="7"/>
  <c r="H64" i="7"/>
  <c r="I64" i="7"/>
  <c r="J64" i="7"/>
  <c r="K64" i="7"/>
  <c r="T4" i="1"/>
  <c r="T8" i="1"/>
  <c r="AA24" i="7"/>
  <c r="AB24" i="7"/>
  <c r="AC24" i="7"/>
  <c r="AD24" i="7"/>
  <c r="AN8" i="1"/>
  <c r="AN4" i="1" s="1"/>
  <c r="AO14" i="1"/>
  <c r="AO8" i="1" s="1"/>
  <c r="AO4" i="1" s="1"/>
  <c r="AO15" i="1"/>
  <c r="AO16" i="1"/>
  <c r="AO17" i="1"/>
  <c r="P4" i="1"/>
  <c r="P8" i="1"/>
  <c r="P15" i="1"/>
  <c r="P16" i="1"/>
  <c r="P17" i="1"/>
  <c r="AH8" i="1"/>
  <c r="AH4" i="1" s="1"/>
  <c r="AH15" i="1"/>
  <c r="AH16" i="1"/>
  <c r="AH17" i="1"/>
  <c r="AL35" i="7"/>
  <c r="AJ35" i="7"/>
  <c r="AF35" i="7"/>
  <c r="AM35" i="7"/>
  <c r="AI35" i="7"/>
  <c r="AK35" i="7"/>
  <c r="AG35" i="7"/>
  <c r="AH35" i="7"/>
  <c r="AM36" i="7"/>
  <c r="AL36" i="7"/>
  <c r="AJ36" i="7"/>
  <c r="AH36" i="7"/>
  <c r="AK36" i="7"/>
  <c r="AG36" i="7"/>
  <c r="AI36" i="7"/>
  <c r="AM37" i="7"/>
  <c r="AH37" i="7"/>
  <c r="AI37" i="7"/>
  <c r="AJ37" i="7"/>
  <c r="AK37" i="7"/>
  <c r="AL37" i="7"/>
  <c r="AL38" i="7"/>
  <c r="AK38" i="7"/>
  <c r="AM38" i="7"/>
  <c r="AI38" i="7"/>
  <c r="AJ38" i="7"/>
  <c r="AM90" i="7"/>
  <c r="AF90" i="7"/>
  <c r="AI90" i="7"/>
  <c r="AE90" i="7"/>
  <c r="AJ90" i="7"/>
  <c r="AL90" i="7"/>
  <c r="AG90" i="7"/>
  <c r="AK90" i="7"/>
  <c r="AH90" i="7"/>
  <c r="AK91" i="7"/>
  <c r="AM91" i="7"/>
  <c r="AJ91" i="7"/>
  <c r="AL91" i="7"/>
  <c r="AH91" i="7"/>
  <c r="AF91" i="7"/>
  <c r="AI91" i="7"/>
  <c r="AG91" i="7"/>
  <c r="AJ92" i="7"/>
  <c r="AG92" i="7"/>
  <c r="AH92" i="7"/>
  <c r="AI92" i="7"/>
  <c r="AL92" i="7"/>
  <c r="AM92" i="7"/>
  <c r="AK92" i="7"/>
  <c r="AK93" i="7"/>
  <c r="AM93" i="7"/>
  <c r="AJ93" i="7"/>
  <c r="AI93" i="7"/>
  <c r="AL93" i="7"/>
  <c r="AH93" i="7"/>
  <c r="AL94" i="7"/>
  <c r="AI94" i="7"/>
  <c r="AJ94" i="7"/>
  <c r="AK94" i="7"/>
  <c r="AM94" i="7"/>
  <c r="AJ95" i="7"/>
  <c r="AM95" i="7"/>
  <c r="AK95" i="7"/>
  <c r="AL95" i="7"/>
  <c r="AL39" i="7"/>
  <c r="AJ39" i="7"/>
  <c r="AK39" i="7"/>
  <c r="AM39" i="7"/>
  <c r="AH63" i="7"/>
  <c r="AK36" i="1"/>
  <c r="AH65" i="7"/>
  <c r="AL63" i="7"/>
  <c r="AO36" i="1"/>
  <c r="AL65" i="7"/>
  <c r="AM40" i="7"/>
  <c r="AK40" i="7"/>
  <c r="AL40" i="7"/>
  <c r="AN36" i="1"/>
  <c r="AK63" i="7"/>
  <c r="AK65" i="7"/>
  <c r="AM97" i="7"/>
  <c r="AL97" i="7"/>
  <c r="H12" i="7"/>
  <c r="AF65" i="7"/>
  <c r="AI36" i="1"/>
  <c r="AF63" i="7"/>
  <c r="L31" i="7"/>
  <c r="AE12" i="7"/>
  <c r="AD12" i="7"/>
  <c r="O16" i="12"/>
  <c r="AG63" i="7"/>
  <c r="AJ36" i="1"/>
  <c r="AG65" i="7"/>
  <c r="J63" i="7"/>
  <c r="M36" i="1"/>
  <c r="AJ65" i="7"/>
  <c r="AJ63" i="7"/>
  <c r="AM36" i="1"/>
  <c r="P78" i="12"/>
  <c r="AI64" i="7"/>
  <c r="M12" i="7"/>
  <c r="L12" i="7"/>
  <c r="AC103" i="12"/>
  <c r="S36" i="1"/>
  <c r="P63" i="7"/>
  <c r="AL66" i="7"/>
  <c r="AL64" i="7"/>
  <c r="R63" i="7"/>
  <c r="U36" i="1"/>
  <c r="AJ66" i="12"/>
  <c r="L48" i="7"/>
  <c r="AH90" i="12"/>
  <c r="AL7" i="2"/>
  <c r="T78" i="12"/>
  <c r="D19" i="1"/>
  <c r="AM96" i="7"/>
  <c r="AL96" i="7"/>
  <c r="AK96" i="7"/>
  <c r="N63" i="7"/>
  <c r="Q36" i="1"/>
  <c r="AK12" i="7"/>
  <c r="W36" i="1"/>
  <c r="T63" i="7"/>
  <c r="J12" i="7"/>
  <c r="C12" i="7"/>
  <c r="H34" i="1"/>
  <c r="AE64" i="7"/>
  <c r="Z12" i="7"/>
  <c r="E63" i="7"/>
  <c r="H36" i="1"/>
  <c r="X63" i="7"/>
  <c r="AA36" i="1"/>
  <c r="C63" i="7"/>
  <c r="F36" i="1"/>
  <c r="AB36" i="1"/>
  <c r="Y63" i="7"/>
  <c r="AC19" i="7"/>
  <c r="H16" i="12"/>
  <c r="Q31" i="7"/>
  <c r="S39" i="1"/>
  <c r="AE5" i="12"/>
  <c r="Q63" i="7"/>
  <c r="T36" i="1"/>
  <c r="AI12" i="7"/>
  <c r="J41" i="1"/>
  <c r="AK16" i="12"/>
  <c r="AC66" i="12"/>
  <c r="AJ90" i="12"/>
  <c r="AC36" i="1"/>
  <c r="Z63" i="7"/>
  <c r="AI78" i="12"/>
  <c r="I5" i="12"/>
  <c r="I103" i="12"/>
  <c r="AK57" i="7"/>
  <c r="AK103" i="12"/>
  <c r="R31" i="7"/>
  <c r="D16" i="12"/>
  <c r="I66" i="12"/>
  <c r="AC6" i="1"/>
  <c r="M41" i="1"/>
  <c r="P103" i="12"/>
  <c r="AE66" i="12"/>
  <c r="F16" i="12"/>
  <c r="C31" i="7"/>
  <c r="AI63" i="7"/>
  <c r="AI65" i="7"/>
  <c r="AI66" i="7"/>
  <c r="AL36" i="1"/>
  <c r="AA63" i="7"/>
  <c r="AD36" i="1"/>
  <c r="N36" i="1"/>
  <c r="K63" i="7"/>
  <c r="AH66" i="7"/>
  <c r="AH64" i="7"/>
  <c r="P16" i="12"/>
  <c r="AB63" i="7"/>
  <c r="AE36" i="1"/>
  <c r="AM31" i="7"/>
  <c r="AE63" i="7"/>
  <c r="AH36" i="1"/>
  <c r="AE66" i="7"/>
  <c r="AE65" i="7"/>
  <c r="J36" i="1"/>
  <c r="G63" i="7"/>
  <c r="H63" i="7"/>
  <c r="K36" i="1"/>
  <c r="W63" i="7"/>
  <c r="Z36" i="1"/>
  <c r="O36" i="1"/>
  <c r="L63" i="7"/>
  <c r="AF66" i="7"/>
  <c r="AF64" i="7"/>
  <c r="AC63" i="7"/>
  <c r="AF36" i="1"/>
  <c r="P48" i="7"/>
  <c r="Q48" i="7"/>
  <c r="K12" i="7"/>
  <c r="K11" i="7"/>
  <c r="L11" i="7"/>
  <c r="D12" i="7"/>
  <c r="AG64" i="7"/>
  <c r="AG66" i="7"/>
  <c r="AG12" i="7"/>
  <c r="AH66" i="12"/>
  <c r="AJ66" i="7"/>
  <c r="AJ64" i="7"/>
  <c r="AM41" i="7"/>
  <c r="AL41" i="7"/>
  <c r="G36" i="1"/>
  <c r="D63" i="7"/>
  <c r="AI90" i="12"/>
  <c r="P5" i="1"/>
  <c r="AG16" i="12"/>
  <c r="AK64" i="7"/>
  <c r="AL56" i="7"/>
  <c r="AE56" i="7"/>
  <c r="AF56" i="7"/>
  <c r="AG56" i="7"/>
  <c r="AH56" i="7"/>
  <c r="AI56" i="7"/>
  <c r="AJ56" i="7"/>
  <c r="AK56" i="7"/>
  <c r="AK66" i="7"/>
  <c r="F63" i="7"/>
  <c r="I36" i="1"/>
  <c r="Y36" i="1"/>
  <c r="V63" i="7"/>
  <c r="R12" i="7"/>
  <c r="AK66" i="12"/>
  <c r="I63" i="7"/>
  <c r="L36" i="1"/>
  <c r="AA19" i="7"/>
  <c r="L16" i="12"/>
  <c r="AG36" i="1"/>
  <c r="AD63" i="7"/>
  <c r="U63" i="7"/>
  <c r="X36" i="1"/>
  <c r="AJ31" i="7"/>
  <c r="I12" i="7"/>
  <c r="I11" i="7"/>
  <c r="J11" i="7"/>
  <c r="AA78" i="12"/>
  <c r="O63" i="7"/>
  <c r="R36" i="1"/>
  <c r="M34" i="1"/>
  <c r="N16" i="12"/>
  <c r="AE59" i="7"/>
  <c r="Z103" i="12"/>
  <c r="AA31" i="7"/>
  <c r="AH5" i="1"/>
  <c r="Y16" i="12"/>
  <c r="AH16" i="12"/>
  <c r="E90" i="12"/>
  <c r="AH103" i="12"/>
  <c r="E16" i="12"/>
  <c r="I16" i="12"/>
  <c r="F39" i="1"/>
  <c r="Q16" i="12"/>
  <c r="AK34" i="1"/>
  <c r="K29" i="12"/>
  <c r="AJ103" i="12"/>
  <c r="AD103" i="12"/>
  <c r="J29" i="12"/>
  <c r="N4" i="1"/>
  <c r="H39" i="1"/>
  <c r="AH5" i="12"/>
  <c r="E78" i="12"/>
  <c r="P29" i="12"/>
  <c r="O103" i="12"/>
  <c r="C16" i="12"/>
  <c r="V103" i="12"/>
  <c r="AD5" i="12"/>
  <c r="X12" i="7"/>
  <c r="G90" i="12"/>
  <c r="AC4" i="1"/>
  <c r="AK59" i="7"/>
  <c r="AG78" i="12"/>
  <c r="I41" i="1"/>
  <c r="Z16" i="12"/>
  <c r="H11" i="7"/>
  <c r="G12" i="7"/>
  <c r="H5" i="12"/>
  <c r="K78" i="12"/>
  <c r="Y66" i="12"/>
  <c r="AM4" i="1"/>
  <c r="AK5" i="2"/>
  <c r="AL5" i="2"/>
  <c r="AL66" i="12"/>
  <c r="R34" i="1"/>
  <c r="AF103" i="12"/>
  <c r="V19" i="7"/>
  <c r="U78" i="12"/>
  <c r="Y78" i="12"/>
  <c r="AD66" i="12"/>
  <c r="Q34" i="1"/>
  <c r="Y6" i="1"/>
  <c r="AB12" i="7"/>
  <c r="AH24" i="7"/>
  <c r="AD29" i="12"/>
  <c r="H66" i="12"/>
  <c r="AB103" i="12"/>
  <c r="T12" i="7"/>
  <c r="P19" i="1"/>
  <c r="D29" i="12"/>
  <c r="V29" i="12"/>
  <c r="E12" i="7"/>
  <c r="AA29" i="12"/>
  <c r="AG31" i="7"/>
  <c r="D5" i="12"/>
  <c r="AN34" i="1"/>
  <c r="Q12" i="7"/>
  <c r="AA66" i="12"/>
  <c r="X34" i="1"/>
  <c r="AJ5" i="2"/>
  <c r="AI5" i="2"/>
  <c r="AI66" i="12"/>
  <c r="D66" i="12"/>
  <c r="AE78" i="12"/>
  <c r="J6" i="1"/>
  <c r="E19" i="7"/>
  <c r="M16" i="12"/>
  <c r="AB29" i="12"/>
  <c r="E103" i="12"/>
  <c r="G4" i="1"/>
  <c r="V78" i="12"/>
  <c r="N48" i="7"/>
  <c r="AN6" i="1"/>
  <c r="AG4" i="1"/>
  <c r="Q103" i="12"/>
  <c r="AL12" i="2"/>
  <c r="AB66" i="12"/>
  <c r="AF66" i="12"/>
  <c r="G5" i="12"/>
  <c r="Y12" i="7"/>
  <c r="AG57" i="7"/>
  <c r="M90" i="12"/>
  <c r="F90" i="12"/>
  <c r="X5" i="12"/>
  <c r="G31" i="7"/>
  <c r="U12" i="7"/>
  <c r="P5" i="12"/>
  <c r="P90" i="12"/>
  <c r="G78" i="12"/>
  <c r="C48" i="7"/>
  <c r="D78" i="12"/>
  <c r="AJ5" i="12"/>
  <c r="AI5" i="12"/>
  <c r="Z66" i="12"/>
  <c r="R13" i="2"/>
  <c r="L34" i="1"/>
  <c r="Q66" i="12"/>
  <c r="N103" i="12"/>
  <c r="AC78" i="12"/>
  <c r="AJ59" i="7"/>
  <c r="N6" i="1"/>
  <c r="J16" i="12"/>
  <c r="S12" i="7"/>
  <c r="H6" i="1"/>
  <c r="AB90" i="12"/>
  <c r="M63" i="7"/>
  <c r="P36" i="1"/>
  <c r="AK18" i="2"/>
  <c r="AL18" i="2"/>
  <c r="AL103" i="12"/>
  <c r="X103" i="12"/>
  <c r="F66" i="12"/>
  <c r="U103" i="12"/>
  <c r="W103" i="12"/>
  <c r="E5" i="12"/>
  <c r="R29" i="12"/>
  <c r="AA103" i="12"/>
  <c r="AF29" i="12"/>
  <c r="N78" i="12"/>
  <c r="W31" i="7"/>
  <c r="AA5" i="1"/>
  <c r="AL22" i="2"/>
  <c r="AL57" i="7"/>
  <c r="Y5" i="12"/>
  <c r="O78" i="12"/>
  <c r="F12" i="7"/>
  <c r="C11" i="7"/>
  <c r="D11" i="7"/>
  <c r="E11" i="7"/>
  <c r="F11" i="7"/>
  <c r="G11" i="7"/>
  <c r="AJ57" i="7"/>
  <c r="AK22" i="2"/>
  <c r="O16" i="1"/>
  <c r="AG5" i="12"/>
  <c r="P19" i="7"/>
  <c r="T31" i="7"/>
  <c r="AC16" i="12"/>
  <c r="AA90" i="12"/>
  <c r="Q4" i="1"/>
  <c r="H31" i="7"/>
  <c r="C66" i="12"/>
  <c r="E65" i="7"/>
  <c r="H35" i="1"/>
  <c r="Q5" i="12"/>
  <c r="AG66" i="12"/>
  <c r="Z5" i="2"/>
  <c r="AA5" i="2"/>
  <c r="AB5" i="2"/>
  <c r="AC5" i="2"/>
  <c r="AD5" i="2"/>
  <c r="AE5" i="2"/>
  <c r="AF5" i="2"/>
  <c r="AG5" i="2"/>
  <c r="AH5" i="2"/>
  <c r="N29" i="12"/>
  <c r="AA12" i="7"/>
  <c r="I6" i="1"/>
  <c r="W12" i="7"/>
  <c r="I78" i="12"/>
  <c r="T90" i="12"/>
  <c r="AH29" i="12"/>
  <c r="I48" i="7"/>
  <c r="V12" i="7"/>
  <c r="E66" i="12"/>
  <c r="F48" i="7"/>
  <c r="Y90" i="12"/>
  <c r="Z78" i="12"/>
  <c r="U4" i="1"/>
  <c r="Q5" i="1"/>
  <c r="F41" i="1"/>
  <c r="F5" i="1"/>
  <c r="K90" i="12"/>
  <c r="J103" i="12"/>
  <c r="AP6" i="1"/>
  <c r="C103" i="12"/>
  <c r="T5" i="12"/>
  <c r="O12" i="7"/>
  <c r="AM16" i="1"/>
  <c r="AG29" i="12"/>
  <c r="G16" i="12"/>
  <c r="M103" i="12"/>
  <c r="AH57" i="7"/>
  <c r="Q30" i="7"/>
  <c r="AC90" i="12"/>
  <c r="F5" i="12"/>
  <c r="X5" i="1"/>
  <c r="AB16" i="12"/>
  <c r="AM17" i="12"/>
  <c r="AK5" i="12"/>
  <c r="AA5" i="12"/>
  <c r="K50" i="7"/>
  <c r="N41" i="1"/>
  <c r="AF78" i="12"/>
  <c r="F78" i="12"/>
  <c r="Y5" i="1"/>
  <c r="P31" i="7"/>
  <c r="AJ5" i="1"/>
  <c r="W78" i="12"/>
  <c r="AC12" i="7"/>
  <c r="T11" i="7"/>
  <c r="U11" i="7"/>
  <c r="V11" i="7"/>
  <c r="W11" i="7"/>
  <c r="X11" i="7"/>
  <c r="Y11" i="7"/>
  <c r="Z11" i="7"/>
  <c r="AA11" i="7"/>
  <c r="AB11" i="7"/>
  <c r="AC11" i="7"/>
  <c r="AD11" i="7"/>
  <c r="J39" i="1"/>
  <c r="G66" i="12"/>
  <c r="X16" i="12"/>
  <c r="AA16" i="12"/>
  <c r="AB34" i="1"/>
  <c r="M66" i="12"/>
  <c r="L5" i="12"/>
  <c r="AM12" i="7"/>
  <c r="AL11" i="7"/>
  <c r="AL12" i="7"/>
  <c r="T6" i="1"/>
  <c r="P30" i="7"/>
  <c r="Q8" i="2"/>
  <c r="R8" i="2"/>
  <c r="R5" i="12"/>
  <c r="L30" i="7"/>
  <c r="AI34" i="1"/>
  <c r="AD5" i="1"/>
  <c r="F34" i="1"/>
  <c r="X29" i="12"/>
  <c r="R15" i="2"/>
  <c r="Q15" i="2"/>
  <c r="Q29" i="12"/>
  <c r="C29" i="12"/>
  <c r="J5" i="12"/>
  <c r="J19" i="7"/>
  <c r="N65" i="7"/>
  <c r="Q35" i="1"/>
  <c r="AL6" i="1"/>
  <c r="W90" i="12"/>
  <c r="C90" i="12"/>
  <c r="AG103" i="12"/>
  <c r="AF59" i="7"/>
  <c r="V16" i="12"/>
  <c r="Q13" i="2"/>
  <c r="O90" i="12"/>
  <c r="N5" i="1"/>
  <c r="AC5" i="12"/>
  <c r="AO34" i="1"/>
  <c r="G29" i="12"/>
  <c r="AL31" i="7"/>
  <c r="G50" i="7"/>
  <c r="K16" i="12"/>
  <c r="M29" i="12"/>
  <c r="AI103" i="12"/>
  <c r="AG18" i="2"/>
  <c r="AH18" i="2"/>
  <c r="AI18" i="2"/>
  <c r="AJ18" i="2"/>
  <c r="C19" i="1"/>
  <c r="Y103" i="12"/>
  <c r="U5" i="12"/>
  <c r="F29" i="12"/>
  <c r="T103" i="12"/>
  <c r="K4" i="1"/>
  <c r="AE103" i="1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I31" i="7"/>
  <c r="I90" i="12"/>
  <c r="U19" i="7"/>
  <c r="AF90" i="12"/>
  <c r="Z5" i="12"/>
  <c r="AH78" i="12"/>
  <c r="G48" i="7"/>
  <c r="O65" i="7"/>
  <c r="R35" i="1"/>
  <c r="E5" i="1"/>
  <c r="AH19" i="7"/>
  <c r="AK13" i="2"/>
  <c r="AL13" i="2"/>
  <c r="AF24" i="7"/>
  <c r="AI6" i="1"/>
  <c r="AI29" i="12"/>
  <c r="AC29" i="12"/>
  <c r="AL9" i="2"/>
  <c r="Q41" i="1"/>
  <c r="K41" i="1"/>
  <c r="C5" i="12"/>
  <c r="Q19" i="7"/>
  <c r="Y5" i="2"/>
  <c r="X66" i="12"/>
  <c r="U29" i="12"/>
  <c r="AF16" i="12"/>
  <c r="N12" i="7"/>
  <c r="AB5" i="12"/>
  <c r="J50" i="7"/>
  <c r="AI57" i="7"/>
  <c r="AH22" i="2"/>
  <c r="AI22" i="2"/>
  <c r="AJ22" i="2"/>
  <c r="AK78" i="12"/>
  <c r="AJ24" i="7"/>
  <c r="O4" i="1"/>
  <c r="X78" i="12"/>
  <c r="AB78" i="12"/>
  <c r="AJ16" i="12"/>
  <c r="S6" i="1"/>
  <c r="K5" i="12"/>
  <c r="O5" i="12"/>
  <c r="P8" i="2"/>
  <c r="G30" i="7"/>
  <c r="U90" i="12"/>
  <c r="O66" i="12"/>
  <c r="AE57" i="7"/>
  <c r="G6" i="1"/>
  <c r="AG59" i="7"/>
  <c r="AH6" i="1"/>
  <c r="T34" i="1"/>
  <c r="AI4" i="1"/>
  <c r="R9" i="2"/>
  <c r="AF19" i="7"/>
  <c r="W5" i="12"/>
  <c r="L78" i="12"/>
  <c r="C50" i="7"/>
  <c r="U16" i="12"/>
  <c r="AP36" i="1"/>
  <c r="W30" i="7"/>
  <c r="J66" i="12"/>
  <c r="Q27" i="7"/>
  <c r="R27" i="7"/>
  <c r="R30" i="7"/>
  <c r="AB5" i="1"/>
  <c r="U66" i="12"/>
  <c r="J78" i="12"/>
  <c r="R78" i="12"/>
  <c r="C25" i="1"/>
  <c r="AF31" i="7"/>
  <c r="U34" i="1"/>
  <c r="AG90" i="12"/>
  <c r="AN35" i="1"/>
  <c r="N34" i="1"/>
  <c r="AF12" i="7"/>
  <c r="L6" i="1"/>
  <c r="K31" i="7"/>
  <c r="AJ4" i="1"/>
  <c r="AJ34" i="1"/>
  <c r="AF57" i="7"/>
  <c r="AF22" i="2"/>
  <c r="AG22" i="2"/>
  <c r="N30" i="7"/>
  <c r="N31" i="7"/>
  <c r="H19" i="7"/>
  <c r="P66" i="12"/>
  <c r="Z19" i="7"/>
  <c r="O5" i="1"/>
  <c r="AK35" i="1"/>
  <c r="Q40" i="1"/>
  <c r="Q39" i="1"/>
  <c r="H103" i="12"/>
  <c r="W16" i="12"/>
  <c r="AJ29" i="12"/>
  <c r="I31" i="7"/>
  <c r="D103" i="12"/>
  <c r="AI24" i="7"/>
  <c r="I19" i="7"/>
  <c r="AE90" i="12"/>
  <c r="AH19" i="1"/>
  <c r="N5" i="12"/>
  <c r="O8" i="2"/>
  <c r="T29" i="12"/>
  <c r="AI16" i="12"/>
  <c r="AK11" i="7"/>
  <c r="AJ11" i="7"/>
  <c r="AJ12" i="7"/>
  <c r="AI11" i="7"/>
  <c r="AF11" i="7"/>
  <c r="AG11" i="7"/>
  <c r="AH11" i="7"/>
  <c r="AH12" i="7"/>
  <c r="AD78" i="12"/>
  <c r="AL16" i="2"/>
  <c r="AL78" i="12"/>
  <c r="G51" i="7"/>
  <c r="J40" i="1"/>
  <c r="W5" i="1"/>
  <c r="C78" i="12"/>
  <c r="W34" i="1"/>
  <c r="AD16" i="12"/>
  <c r="N66" i="12"/>
  <c r="L103" i="12"/>
  <c r="X4" i="1"/>
  <c r="Q19" i="1"/>
  <c r="AE22" i="2"/>
  <c r="N19" i="7"/>
  <c r="AK5" i="1"/>
  <c r="P15" i="2"/>
  <c r="N15" i="2"/>
  <c r="O15" i="2"/>
  <c r="O29" i="12"/>
  <c r="H48" i="7"/>
  <c r="H78" i="12"/>
  <c r="R39" i="1"/>
  <c r="AF5" i="12"/>
  <c r="S34" i="1"/>
  <c r="C51" i="7"/>
  <c r="F40" i="1"/>
  <c r="AP35" i="1"/>
  <c r="AP34" i="1"/>
  <c r="AP29" i="1"/>
  <c r="V90" i="12"/>
  <c r="S4" i="1"/>
  <c r="M8" i="1"/>
  <c r="M4" i="1"/>
  <c r="K30" i="7"/>
  <c r="AJ78" i="1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29" i="12"/>
  <c r="AG6" i="1"/>
  <c r="AN5" i="1"/>
  <c r="AL10" i="2"/>
  <c r="Q6" i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R16" i="12"/>
  <c r="AJ19" i="7"/>
  <c r="M5" i="12"/>
  <c r="C8" i="2"/>
  <c r="D8" i="2"/>
  <c r="E8" i="2"/>
  <c r="F8" i="2"/>
  <c r="G8" i="2"/>
  <c r="H8" i="2"/>
  <c r="I8" i="2"/>
  <c r="J8" i="2"/>
  <c r="K8" i="2"/>
  <c r="L8" i="2"/>
  <c r="M8" i="2"/>
  <c r="N8" i="2"/>
  <c r="AE16" i="12"/>
  <c r="W66" i="12"/>
  <c r="X5" i="2"/>
  <c r="R19" i="7"/>
  <c r="AL59" i="7"/>
  <c r="AL14" i="2"/>
  <c r="AK19" i="7"/>
  <c r="L90" i="12"/>
  <c r="AE29" i="12"/>
  <c r="P12" i="7"/>
  <c r="G41" i="1"/>
  <c r="Q78" i="12"/>
  <c r="O16" i="2"/>
  <c r="P16" i="2"/>
  <c r="Q16" i="2"/>
  <c r="R16" i="2"/>
  <c r="AI30" i="7"/>
  <c r="L4" i="1"/>
  <c r="P39" i="1"/>
  <c r="G103" i="12"/>
  <c r="Y34" i="1"/>
  <c r="AO35" i="1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L16" i="12"/>
  <c r="AL29" i="1"/>
  <c r="K39" i="1"/>
  <c r="R6" i="1"/>
  <c r="D90" i="12"/>
  <c r="P27" i="7"/>
  <c r="AG16" i="1"/>
  <c r="AI32" i="1"/>
  <c r="AI30" i="1"/>
  <c r="AI29" i="1"/>
  <c r="T66" i="12"/>
  <c r="X90" i="12"/>
  <c r="R5" i="1"/>
  <c r="AF16" i="1"/>
  <c r="AL34" i="1"/>
  <c r="R10" i="2"/>
  <c r="R14" i="2"/>
  <c r="W19" i="1"/>
  <c r="D19" i="7"/>
  <c r="H29" i="12"/>
  <c r="L29" i="12"/>
  <c r="K15" i="2"/>
  <c r="L15" i="2"/>
  <c r="M15" i="2"/>
  <c r="L39" i="1"/>
  <c r="AD90" i="12"/>
  <c r="AF17" i="1"/>
  <c r="AG17" i="1"/>
  <c r="Q90" i="12"/>
  <c r="L5" i="1"/>
  <c r="G19" i="7"/>
  <c r="W29" i="12"/>
  <c r="Z29" i="12"/>
  <c r="G5" i="1"/>
  <c r="S19" i="7"/>
  <c r="M30" i="7"/>
  <c r="M31" i="7"/>
  <c r="I29" i="12"/>
  <c r="G15" i="2"/>
  <c r="H15" i="2"/>
  <c r="I15" i="2"/>
  <c r="J15" i="2"/>
  <c r="P6" i="1"/>
  <c r="N51" i="7"/>
  <c r="N50" i="7"/>
  <c r="AB19" i="7"/>
  <c r="AG24" i="7"/>
  <c r="J90" i="12"/>
  <c r="AF5" i="1"/>
  <c r="H50" i="7"/>
  <c r="H90" i="12"/>
  <c r="AN19" i="1"/>
  <c r="M78" i="12"/>
  <c r="C16" i="2"/>
  <c r="D16" i="2"/>
  <c r="E16" i="2"/>
  <c r="F16" i="2"/>
  <c r="G16" i="2"/>
  <c r="H16" i="2"/>
  <c r="I16" i="2"/>
  <c r="J16" i="2"/>
  <c r="K16" i="2"/>
  <c r="L16" i="2"/>
  <c r="M16" i="2"/>
  <c r="N16" i="2"/>
  <c r="AK24" i="7"/>
  <c r="AC14" i="1"/>
  <c r="AC8" i="1"/>
  <c r="K48" i="7"/>
  <c r="AJ12" i="2"/>
  <c r="AK12" i="2"/>
  <c r="N90" i="12"/>
  <c r="AC34" i="1"/>
  <c r="P29" i="1"/>
  <c r="M6" i="1"/>
  <c r="AM6" i="1"/>
  <c r="N5" i="2"/>
  <c r="O5" i="2"/>
  <c r="P5" i="2"/>
  <c r="Q5" i="2"/>
  <c r="R5" i="2"/>
  <c r="R66" i="12"/>
  <c r="J65" i="7"/>
  <c r="M35" i="1"/>
  <c r="R41" i="1"/>
  <c r="X31" i="7"/>
  <c r="Z65" i="7"/>
  <c r="AC35" i="1"/>
  <c r="O19" i="1"/>
  <c r="K27" i="7"/>
  <c r="L27" i="7"/>
  <c r="M27" i="7"/>
  <c r="N27" i="7"/>
  <c r="O27" i="7"/>
  <c r="O30" i="7"/>
  <c r="O31" i="7"/>
  <c r="AB29" i="1"/>
  <c r="AB6" i="1"/>
  <c r="AD34" i="1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L5" i="12"/>
  <c r="Z34" i="1"/>
  <c r="N17" i="1"/>
  <c r="O17" i="1"/>
  <c r="AG8" i="1"/>
  <c r="M29" i="1"/>
  <c r="N8" i="1"/>
  <c r="D48" i="7"/>
  <c r="P50" i="7"/>
  <c r="S41" i="1"/>
  <c r="W5" i="2"/>
  <c r="T5" i="2"/>
  <c r="U5" i="2"/>
  <c r="V5" i="2"/>
  <c r="V66" i="12"/>
  <c r="AE4" i="1"/>
  <c r="P51" i="7"/>
  <c r="S40" i="1"/>
  <c r="R65" i="7"/>
  <c r="U35" i="1"/>
  <c r="AG19" i="7"/>
  <c r="Y8" i="1"/>
  <c r="Y4" i="1"/>
  <c r="Q9" i="2"/>
  <c r="AM34" i="1"/>
  <c r="W4" i="1"/>
  <c r="AH31" i="7"/>
  <c r="H29" i="1"/>
  <c r="O6" i="1"/>
  <c r="L41" i="1"/>
  <c r="AH30" i="7"/>
  <c r="J5" i="1"/>
  <c r="Q29" i="1"/>
  <c r="AL29" i="12"/>
  <c r="E48" i="7"/>
  <c r="K103" i="12"/>
  <c r="T29" i="1"/>
  <c r="AM29" i="1"/>
  <c r="H40" i="1"/>
  <c r="H30" i="7"/>
  <c r="AL17" i="12"/>
  <c r="AM32" i="1"/>
  <c r="AM30" i="1"/>
  <c r="AH29" i="1"/>
  <c r="AE17" i="1"/>
  <c r="Y19" i="7"/>
  <c r="AL30" i="7"/>
  <c r="T19" i="7"/>
  <c r="I5" i="1"/>
  <c r="H32" i="1"/>
  <c r="H30" i="1"/>
  <c r="X19" i="7"/>
  <c r="R7" i="2"/>
  <c r="AD31" i="7"/>
  <c r="Q10" i="2"/>
  <c r="R21" i="2"/>
  <c r="AE19" i="7"/>
  <c r="L40" i="1"/>
  <c r="I30" i="7"/>
  <c r="AJ30" i="7"/>
  <c r="C65" i="7"/>
  <c r="F35" i="1"/>
  <c r="Q8" i="1"/>
  <c r="AL19" i="7"/>
  <c r="AH25" i="1"/>
  <c r="O50" i="7"/>
  <c r="I39" i="1"/>
  <c r="AK31" i="7"/>
  <c r="AE31" i="7"/>
  <c r="J19" i="1"/>
  <c r="AE5" i="1"/>
  <c r="L19" i="7"/>
  <c r="AI12" i="2"/>
  <c r="F6" i="1"/>
  <c r="W25" i="1"/>
  <c r="F19" i="7"/>
  <c r="Q14" i="2"/>
  <c r="AA30" i="7"/>
  <c r="E31" i="7"/>
  <c r="N16" i="1"/>
  <c r="AD30" i="7"/>
  <c r="J48" i="7"/>
  <c r="N39" i="1"/>
  <c r="P9" i="2"/>
  <c r="AL30" i="1"/>
  <c r="AB31" i="7"/>
  <c r="Z31" i="7"/>
  <c r="T65" i="7"/>
  <c r="W35" i="1"/>
  <c r="AJ18" i="7"/>
  <c r="S8" i="1"/>
  <c r="N29" i="1"/>
  <c r="N14" i="1"/>
  <c r="AG14" i="1"/>
  <c r="AJ13" i="2"/>
  <c r="AH12" i="2"/>
  <c r="AH59" i="7"/>
  <c r="AK29" i="1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O5" i="1"/>
  <c r="N66" i="7"/>
  <c r="AF34" i="1"/>
  <c r="J15" i="12"/>
  <c r="K15" i="12"/>
  <c r="AJ29" i="1"/>
  <c r="AJ6" i="1"/>
  <c r="AL24" i="7"/>
  <c r="AE6" i="1"/>
  <c r="M19" i="7"/>
  <c r="X14" i="1"/>
  <c r="X8" i="1"/>
  <c r="K66" i="12"/>
  <c r="N19" i="1"/>
  <c r="R30" i="1"/>
  <c r="R29" i="1"/>
  <c r="AD19" i="7"/>
  <c r="AI35" i="1"/>
  <c r="U11" i="2"/>
  <c r="T11" i="2"/>
  <c r="T16" i="12"/>
  <c r="H5" i="1"/>
  <c r="G8" i="1"/>
  <c r="I25" i="1"/>
  <c r="I19" i="1"/>
  <c r="E19" i="1"/>
  <c r="O19" i="7"/>
  <c r="R32" i="1"/>
  <c r="K6" i="1"/>
  <c r="M17" i="1"/>
  <c r="AL27" i="7"/>
  <c r="AI27" i="7"/>
  <c r="AJ27" i="7"/>
  <c r="AK27" i="7"/>
  <c r="AK30" i="7"/>
  <c r="AH32" i="1"/>
  <c r="AH30" i="1"/>
  <c r="AE16" i="1"/>
  <c r="S19" i="1"/>
  <c r="S5" i="1"/>
  <c r="E51" i="7"/>
  <c r="AF18" i="7"/>
  <c r="W19" i="7"/>
  <c r="P25" i="1"/>
  <c r="Q12" i="2"/>
  <c r="R12" i="2"/>
  <c r="D25" i="1"/>
  <c r="K14" i="1"/>
  <c r="K8" i="1"/>
  <c r="U14" i="1"/>
  <c r="U8" i="1"/>
  <c r="O51" i="7"/>
  <c r="R40" i="1"/>
  <c r="F65" i="7"/>
  <c r="I35" i="1"/>
  <c r="I34" i="1"/>
  <c r="AK29" i="1"/>
  <c r="AK6" i="1"/>
  <c r="AE30" i="7"/>
  <c r="V31" i="7"/>
  <c r="AL6" i="2"/>
  <c r="E6" i="1"/>
  <c r="AO19" i="1"/>
  <c r="AI19" i="1"/>
  <c r="AI5" i="1"/>
  <c r="AK16" i="1"/>
  <c r="AL16" i="1"/>
  <c r="M51" i="7"/>
  <c r="P40" i="1"/>
  <c r="I4" i="1"/>
  <c r="O15" i="1"/>
  <c r="O14" i="1"/>
  <c r="O8" i="1"/>
  <c r="AL5" i="1"/>
  <c r="AE8" i="1"/>
  <c r="Y14" i="1"/>
  <c r="P12" i="2"/>
  <c r="AE25" i="1"/>
  <c r="AE19" i="1"/>
  <c r="E30" i="7"/>
  <c r="V30" i="7"/>
  <c r="P7" i="2"/>
  <c r="Q7" i="2"/>
  <c r="C19" i="7"/>
  <c r="K32" i="1"/>
  <c r="K30" i="1"/>
  <c r="K29" i="1"/>
  <c r="AB32" i="1"/>
  <c r="AB30" i="1"/>
  <c r="Z30" i="7"/>
  <c r="R19" i="1"/>
  <c r="Y29" i="1"/>
  <c r="AN25" i="1"/>
  <c r="AK34" i="7"/>
  <c r="AK29" i="7"/>
  <c r="Q65" i="7"/>
  <c r="T35" i="1"/>
  <c r="AG5" i="1"/>
  <c r="AD16" i="1"/>
  <c r="Z19" i="1"/>
  <c r="Z5" i="1"/>
  <c r="J51" i="7"/>
  <c r="M40" i="1"/>
  <c r="M39" i="1"/>
  <c r="H27" i="7"/>
  <c r="I27" i="7"/>
  <c r="J27" i="7"/>
  <c r="J30" i="7"/>
  <c r="J31" i="7"/>
  <c r="W8" i="1"/>
  <c r="AF25" i="1"/>
  <c r="AF19" i="1"/>
  <c r="Z57" i="7"/>
  <c r="Z66" i="7"/>
  <c r="Z90" i="12"/>
  <c r="W29" i="1"/>
  <c r="W6" i="1"/>
  <c r="E29" i="12"/>
  <c r="C15" i="2"/>
  <c r="D15" i="2"/>
  <c r="E15" i="2"/>
  <c r="F15" i="2"/>
  <c r="AI19" i="7"/>
  <c r="AL32" i="1"/>
  <c r="AL90" i="12"/>
  <c r="AG30" i="7"/>
  <c r="AH27" i="7"/>
  <c r="M14" i="1"/>
  <c r="N15" i="1"/>
  <c r="F19" i="1"/>
  <c r="AC19" i="1"/>
  <c r="AC5" i="1"/>
  <c r="AL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K90" i="12"/>
  <c r="AI10" i="2"/>
  <c r="AJ10" i="2"/>
  <c r="AK10" i="2"/>
  <c r="L25" i="1"/>
  <c r="L19" i="1"/>
  <c r="U5" i="1"/>
  <c r="AD4" i="1"/>
  <c r="AI59" i="7"/>
  <c r="V65" i="7"/>
  <c r="Y35" i="1"/>
  <c r="AA4" i="1"/>
  <c r="AD65" i="7"/>
  <c r="AG35" i="1"/>
  <c r="AG34" i="1"/>
  <c r="L66" i="12"/>
  <c r="C5" i="2"/>
  <c r="D5" i="2"/>
  <c r="E5" i="2"/>
  <c r="F5" i="2"/>
  <c r="G5" i="2"/>
  <c r="H5" i="2"/>
  <c r="I5" i="2"/>
  <c r="J5" i="2"/>
  <c r="K5" i="2"/>
  <c r="L5" i="2"/>
  <c r="M5" i="2"/>
  <c r="R14" i="1"/>
  <c r="R8" i="1"/>
  <c r="R4" i="1"/>
  <c r="V6" i="1"/>
  <c r="O34" i="1"/>
  <c r="E50" i="7"/>
  <c r="H41" i="1"/>
  <c r="C57" i="7"/>
  <c r="C66" i="7"/>
  <c r="AJ25" i="1"/>
  <c r="AJ19" i="1"/>
  <c r="N57" i="7"/>
  <c r="AC65" i="7"/>
  <c r="AF35" i="1"/>
  <c r="W8" i="2"/>
  <c r="T8" i="2"/>
  <c r="U8" i="2"/>
  <c r="V8" i="2"/>
  <c r="V5" i="12"/>
  <c r="AG27" i="7"/>
  <c r="AD27" i="7"/>
  <c r="AE27" i="7"/>
  <c r="AF27" i="7"/>
  <c r="AF30" i="7"/>
  <c r="AL34" i="7"/>
  <c r="AL29" i="7"/>
  <c r="N25" i="1"/>
  <c r="G29" i="1"/>
  <c r="AG29" i="1"/>
  <c r="O32" i="1"/>
  <c r="O30" i="1"/>
  <c r="O29" i="1"/>
  <c r="L51" i="7"/>
  <c r="O40" i="1"/>
  <c r="O39" i="1"/>
  <c r="K66" i="7"/>
  <c r="K65" i="7"/>
  <c r="N35" i="1"/>
  <c r="W66" i="7"/>
  <c r="W65" i="7"/>
  <c r="Z35" i="1"/>
  <c r="Q25" i="1"/>
  <c r="F4" i="1"/>
  <c r="X30" i="7"/>
  <c r="AM25" i="1"/>
  <c r="AM19" i="1"/>
  <c r="AM5" i="1"/>
  <c r="V14" i="1"/>
  <c r="V8" i="1"/>
  <c r="V4" i="1"/>
  <c r="AK14" i="7"/>
  <c r="AL14" i="7"/>
  <c r="O48" i="7"/>
  <c r="AL25" i="1"/>
  <c r="AL19" i="1"/>
  <c r="AF6" i="1"/>
  <c r="AB30" i="7"/>
  <c r="AN32" i="1"/>
  <c r="AN30" i="1"/>
  <c r="AN29" i="1"/>
  <c r="AE14" i="1"/>
  <c r="T19" i="1"/>
  <c r="T5" i="1"/>
  <c r="I65" i="7"/>
  <c r="L35" i="1"/>
  <c r="G27" i="7"/>
  <c r="E66" i="7"/>
  <c r="J18" i="7"/>
  <c r="M32" i="1"/>
  <c r="M30" i="1"/>
  <c r="AK7" i="2"/>
  <c r="AH10" i="2"/>
  <c r="AC29" i="1"/>
  <c r="W57" i="7"/>
  <c r="AL26" i="1"/>
  <c r="AM26" i="1"/>
  <c r="AN26" i="1"/>
  <c r="AO26" i="1"/>
  <c r="AO25" i="1"/>
  <c r="L17" i="1"/>
  <c r="AA65" i="7"/>
  <c r="AD35" i="1"/>
  <c r="R66" i="7"/>
  <c r="AG23" i="7"/>
  <c r="AH23" i="7"/>
  <c r="AI23" i="7"/>
  <c r="AJ23" i="7"/>
  <c r="AK23" i="7"/>
  <c r="AL23" i="7"/>
  <c r="AM24" i="7"/>
  <c r="AM42" i="7"/>
  <c r="AF29" i="1"/>
  <c r="M15" i="1"/>
  <c r="AI18" i="7"/>
  <c r="E29" i="1"/>
  <c r="AA6" i="1"/>
  <c r="I40" i="1"/>
  <c r="D66" i="7"/>
  <c r="D65" i="7"/>
  <c r="G35" i="1"/>
  <c r="G34" i="1"/>
  <c r="Z4" i="1"/>
  <c r="I50" i="7"/>
  <c r="I51" i="7"/>
  <c r="O57" i="7"/>
  <c r="O66" i="7"/>
  <c r="AL14" i="1"/>
  <c r="AL8" i="1"/>
  <c r="AL4" i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R90" i="12"/>
  <c r="AF4" i="1"/>
  <c r="K19" i="1"/>
  <c r="K5" i="1"/>
  <c r="Z27" i="7"/>
  <c r="AA27" i="7"/>
  <c r="AB27" i="7"/>
  <c r="AC27" i="7"/>
  <c r="AC30" i="7"/>
  <c r="AC31" i="7"/>
  <c r="T32" i="1"/>
  <c r="T30" i="1"/>
  <c r="D30" i="7"/>
  <c r="D31" i="7"/>
  <c r="AJ26" i="7"/>
  <c r="AK26" i="7"/>
  <c r="AL26" i="7"/>
  <c r="AI14" i="1"/>
  <c r="AI8" i="1"/>
  <c r="K19" i="7"/>
  <c r="AD17" i="1"/>
  <c r="F103" i="1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R103" i="12"/>
  <c r="Z14" i="1"/>
  <c r="Z8" i="1"/>
  <c r="Q14" i="7"/>
  <c r="R14" i="7"/>
  <c r="Y25" i="1"/>
  <c r="Y19" i="1"/>
  <c r="F50" i="7"/>
  <c r="F51" i="7"/>
  <c r="N18" i="7"/>
  <c r="Q32" i="1"/>
  <c r="Q30" i="1"/>
  <c r="M19" i="1"/>
  <c r="M5" i="1"/>
  <c r="AJ14" i="1"/>
  <c r="AJ8" i="1"/>
  <c r="AL15" i="1"/>
  <c r="AM15" i="1"/>
  <c r="AM14" i="1"/>
  <c r="AM8" i="1"/>
  <c r="AD29" i="1"/>
  <c r="AD6" i="1"/>
  <c r="AD22" i="2"/>
  <c r="AD57" i="7"/>
  <c r="AD66" i="7"/>
  <c r="Q21" i="2"/>
  <c r="AE18" i="7"/>
  <c r="AL17" i="1"/>
  <c r="AM17" i="1"/>
  <c r="S25" i="1"/>
  <c r="AA17" i="1"/>
  <c r="AB17" i="1"/>
  <c r="AC17" i="1"/>
  <c r="Q14" i="1"/>
  <c r="N13" i="2"/>
  <c r="O13" i="2"/>
  <c r="P13" i="2"/>
  <c r="J14" i="1"/>
  <c r="J8" i="1"/>
  <c r="J4" i="1"/>
  <c r="E25" i="1"/>
  <c r="W32" i="1"/>
  <c r="W30" i="1"/>
  <c r="AL21" i="2"/>
  <c r="AD25" i="1"/>
  <c r="AD19" i="1"/>
  <c r="AH18" i="7"/>
  <c r="AK32" i="1"/>
  <c r="AK30" i="1"/>
  <c r="X25" i="1"/>
  <c r="X19" i="1"/>
  <c r="J25" i="1"/>
  <c r="C30" i="7"/>
  <c r="L18" i="7"/>
  <c r="D50" i="7"/>
  <c r="K57" i="7"/>
  <c r="F25" i="1"/>
  <c r="T30" i="7"/>
  <c r="F29" i="1"/>
  <c r="M50" i="7"/>
  <c r="P41" i="1"/>
  <c r="Z25" i="1"/>
  <c r="M48" i="7"/>
  <c r="AI25" i="1"/>
  <c r="AI16" i="1"/>
  <c r="AJ16" i="1"/>
  <c r="AC25" i="1"/>
  <c r="AA25" i="1"/>
  <c r="AA19" i="1"/>
  <c r="AH34" i="7"/>
  <c r="AH29" i="7"/>
  <c r="H25" i="1"/>
  <c r="H19" i="1"/>
  <c r="O14" i="2"/>
  <c r="P14" i="2"/>
  <c r="B50" i="7"/>
  <c r="E41" i="1"/>
  <c r="P57" i="7"/>
  <c r="P66" i="7"/>
  <c r="P65" i="7"/>
  <c r="S35" i="1"/>
  <c r="M16" i="1"/>
  <c r="U19" i="1"/>
  <c r="AJ34" i="7"/>
  <c r="AJ29" i="7"/>
  <c r="AM35" i="1"/>
  <c r="W14" i="1"/>
  <c r="AH34" i="1"/>
  <c r="I15" i="12"/>
  <c r="AI15" i="1"/>
  <c r="AJ15" i="1"/>
  <c r="AK15" i="1"/>
  <c r="AK14" i="1"/>
  <c r="AK8" i="1"/>
  <c r="AK4" i="1"/>
  <c r="E18" i="7"/>
  <c r="C27" i="7"/>
  <c r="D27" i="7"/>
  <c r="E27" i="7"/>
  <c r="F27" i="7"/>
  <c r="F30" i="7"/>
  <c r="F31" i="7"/>
  <c r="V57" i="7"/>
  <c r="V66" i="7"/>
  <c r="I57" i="7"/>
  <c r="I66" i="7"/>
  <c r="K51" i="7"/>
  <c r="N40" i="1"/>
  <c r="AG18" i="7"/>
  <c r="AJ32" i="1"/>
  <c r="AJ30" i="1"/>
  <c r="O9" i="2"/>
  <c r="AA14" i="1"/>
  <c r="AA8" i="1"/>
  <c r="AK17" i="1"/>
  <c r="G19" i="1"/>
  <c r="AO6" i="1"/>
  <c r="AB19" i="1"/>
  <c r="R6" i="2"/>
  <c r="Y65" i="7"/>
  <c r="AB35" i="1"/>
  <c r="R25" i="1"/>
  <c r="AK9" i="2"/>
  <c r="K25" i="1"/>
  <c r="U65" i="7"/>
  <c r="X35" i="1"/>
  <c r="AG15" i="1"/>
  <c r="O25" i="1"/>
  <c r="L16" i="1"/>
  <c r="J57" i="7"/>
  <c r="J66" i="7"/>
  <c r="AB65" i="7"/>
  <c r="AE35" i="1"/>
  <c r="AE34" i="1"/>
  <c r="N14" i="2"/>
  <c r="AF12" i="2"/>
  <c r="AG12" i="2"/>
  <c r="AC57" i="7"/>
  <c r="AC66" i="7"/>
  <c r="T25" i="1"/>
  <c r="AI17" i="1"/>
  <c r="AJ17" i="1"/>
  <c r="K16" i="1"/>
  <c r="AK21" i="2"/>
  <c r="AC22" i="2"/>
  <c r="P10" i="2"/>
  <c r="E57" i="7"/>
  <c r="AI26" i="7"/>
  <c r="V27" i="7"/>
  <c r="W27" i="7"/>
  <c r="X27" i="7"/>
  <c r="Y27" i="7"/>
  <c r="Y30" i="7"/>
  <c r="Y31" i="7"/>
  <c r="G25" i="1"/>
  <c r="J34" i="1"/>
  <c r="D57" i="7"/>
  <c r="H18" i="7"/>
  <c r="P34" i="1"/>
  <c r="O12" i="2"/>
  <c r="AI34" i="7"/>
  <c r="AI29" i="7"/>
  <c r="AL35" i="1"/>
  <c r="AJ7" i="2"/>
  <c r="AJ35" i="1"/>
  <c r="C18" i="7"/>
  <c r="F32" i="1"/>
  <c r="F30" i="1"/>
  <c r="O7" i="2"/>
  <c r="AI13" i="2"/>
  <c r="K34" i="1"/>
  <c r="Q18" i="7"/>
  <c r="P21" i="2"/>
  <c r="AK18" i="7"/>
  <c r="AO29" i="1"/>
  <c r="V29" i="1"/>
  <c r="AE29" i="1"/>
  <c r="AK17" i="12"/>
  <c r="AH35" i="1"/>
  <c r="S14" i="1"/>
  <c r="AJ14" i="7"/>
  <c r="AF34" i="7"/>
  <c r="AF29" i="7"/>
  <c r="Q6" i="2"/>
  <c r="O18" i="7"/>
  <c r="S29" i="1"/>
  <c r="T18" i="7"/>
  <c r="AC32" i="1"/>
  <c r="AC30" i="1"/>
  <c r="E39" i="1"/>
  <c r="AM34" i="7"/>
  <c r="AM29" i="7"/>
  <c r="AI6" i="2"/>
  <c r="AJ6" i="2"/>
  <c r="AK6" i="2"/>
  <c r="AH21" i="2"/>
  <c r="AI21" i="2"/>
  <c r="AJ21" i="2"/>
  <c r="AB22" i="2"/>
  <c r="AB57" i="7"/>
  <c r="AB66" i="7"/>
  <c r="F14" i="1"/>
  <c r="F8" i="1"/>
  <c r="AB8" i="1"/>
  <c r="AB4" i="1"/>
  <c r="K18" i="7"/>
  <c r="N32" i="1"/>
  <c r="N30" i="1"/>
  <c r="U29" i="1"/>
  <c r="U6" i="1"/>
  <c r="O14" i="7"/>
  <c r="P14" i="7"/>
  <c r="C52" i="7"/>
  <c r="B52" i="7"/>
  <c r="B51" i="7"/>
  <c r="E40" i="1"/>
  <c r="AD32" i="1"/>
  <c r="AD30" i="1"/>
  <c r="AD14" i="1"/>
  <c r="AD8" i="1"/>
  <c r="L65" i="7"/>
  <c r="O35" i="1"/>
  <c r="AB14" i="1"/>
  <c r="AH26" i="7"/>
  <c r="AE34" i="7"/>
  <c r="AE29" i="7"/>
  <c r="AI9" i="2"/>
  <c r="AJ9" i="2"/>
  <c r="AB25" i="1"/>
  <c r="Z18" i="7"/>
  <c r="G14" i="1"/>
  <c r="Y18" i="7"/>
  <c r="K13" i="2"/>
  <c r="L13" i="2"/>
  <c r="M13" i="2"/>
  <c r="AE58" i="7"/>
  <c r="AF58" i="7"/>
  <c r="AG58" i="7"/>
  <c r="AH58" i="7"/>
  <c r="AI58" i="7"/>
  <c r="AJ58" i="7"/>
  <c r="AK58" i="7"/>
  <c r="AL58" i="7"/>
  <c r="AM59" i="7"/>
  <c r="AM98" i="7"/>
  <c r="T57" i="7"/>
  <c r="T66" i="7"/>
  <c r="Q57" i="7"/>
  <c r="Q66" i="7"/>
  <c r="M18" i="7"/>
  <c r="P32" i="1"/>
  <c r="P30" i="1"/>
  <c r="Z22" i="2"/>
  <c r="AA22" i="2"/>
  <c r="AA57" i="7"/>
  <c r="AA66" i="7"/>
  <c r="AF6" i="2"/>
  <c r="AG6" i="2"/>
  <c r="AH6" i="2"/>
  <c r="G52" i="7"/>
  <c r="F52" i="7"/>
  <c r="E52" i="7"/>
  <c r="D52" i="7"/>
  <c r="D51" i="7"/>
  <c r="G40" i="1"/>
  <c r="G39" i="1"/>
  <c r="I32" i="1"/>
  <c r="I30" i="1"/>
  <c r="I29" i="1"/>
  <c r="W18" i="7"/>
  <c r="Z32" i="1"/>
  <c r="Z30" i="1"/>
  <c r="Z29" i="1"/>
  <c r="Z6" i="1"/>
  <c r="K52" i="7"/>
  <c r="J52" i="7"/>
  <c r="I52" i="7"/>
  <c r="H52" i="7"/>
  <c r="H51" i="7"/>
  <c r="K40" i="1"/>
  <c r="V18" i="7"/>
  <c r="Y32" i="1"/>
  <c r="Y30" i="1"/>
  <c r="J15" i="1"/>
  <c r="K15" i="1"/>
  <c r="L15" i="1"/>
  <c r="L14" i="1"/>
  <c r="L8" i="1"/>
  <c r="O26" i="1"/>
  <c r="P26" i="1"/>
  <c r="Q26" i="1"/>
  <c r="R26" i="1"/>
  <c r="S26" i="1"/>
  <c r="T26" i="1"/>
  <c r="U26" i="1"/>
  <c r="U25" i="1"/>
  <c r="AE10" i="2"/>
  <c r="AF10" i="2"/>
  <c r="AG10" i="2"/>
  <c r="M25" i="1"/>
  <c r="C26" i="1"/>
  <c r="D26" i="1"/>
  <c r="E26" i="1"/>
  <c r="F26" i="1"/>
  <c r="G26" i="1"/>
  <c r="H26" i="1"/>
  <c r="I26" i="1"/>
  <c r="J26" i="1"/>
  <c r="K26" i="1"/>
  <c r="L26" i="1"/>
  <c r="M26" i="1"/>
  <c r="N26" i="1"/>
  <c r="G18" i="7"/>
  <c r="J32" i="1"/>
  <c r="J30" i="1"/>
  <c r="J29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F14" i="1"/>
  <c r="AF8" i="1"/>
  <c r="L32" i="1"/>
  <c r="L30" i="1"/>
  <c r="L29" i="1"/>
  <c r="M12" i="2"/>
  <c r="N12" i="2"/>
  <c r="N22" i="2"/>
  <c r="O22" i="2"/>
  <c r="P22" i="2"/>
  <c r="Q22" i="2"/>
  <c r="R22" i="2"/>
  <c r="R57" i="7"/>
  <c r="F18" i="7"/>
  <c r="AI14" i="2"/>
  <c r="AJ14" i="2"/>
  <c r="AK14" i="2"/>
  <c r="AC18" i="7"/>
  <c r="AF32" i="1"/>
  <c r="AF30" i="1"/>
  <c r="AA18" i="7"/>
  <c r="AB12" i="2"/>
  <c r="AC12" i="2"/>
  <c r="AD12" i="2"/>
  <c r="AE12" i="2"/>
  <c r="J12" i="2"/>
  <c r="K12" i="2"/>
  <c r="L12" i="2"/>
  <c r="AF14" i="2"/>
  <c r="AG14" i="2"/>
  <c r="AH14" i="2"/>
  <c r="U57" i="7"/>
  <c r="U66" i="7"/>
  <c r="I18" i="7"/>
  <c r="H14" i="1"/>
  <c r="H8" i="1"/>
  <c r="H4" i="1"/>
  <c r="P26" i="7"/>
  <c r="Q26" i="7"/>
  <c r="R26" i="7"/>
  <c r="L9" i="2"/>
  <c r="M9" i="2"/>
  <c r="N9" i="2"/>
  <c r="AE26" i="7"/>
  <c r="AF26" i="7"/>
  <c r="AG26" i="7"/>
  <c r="F15" i="1"/>
  <c r="G15" i="1"/>
  <c r="H15" i="1"/>
  <c r="I15" i="1"/>
  <c r="I14" i="1"/>
  <c r="I8" i="1"/>
  <c r="G57" i="7"/>
  <c r="G66" i="7"/>
  <c r="G65" i="7"/>
  <c r="J35" i="1"/>
  <c r="X17" i="1"/>
  <c r="Y17" i="1"/>
  <c r="Z17" i="1"/>
  <c r="J16" i="1"/>
  <c r="M22" i="2"/>
  <c r="M57" i="7"/>
  <c r="M66" i="7"/>
  <c r="M65" i="7"/>
  <c r="P35" i="1"/>
  <c r="T27" i="7"/>
  <c r="U27" i="7"/>
  <c r="U30" i="7"/>
  <c r="U31" i="7"/>
  <c r="F57" i="7"/>
  <c r="F66" i="7"/>
  <c r="L10" i="2"/>
  <c r="M10" i="2"/>
  <c r="N10" i="2"/>
  <c r="O10" i="2"/>
  <c r="Y22" i="2"/>
  <c r="Y57" i="7"/>
  <c r="Y66" i="7"/>
  <c r="AF23" i="7"/>
  <c r="AE23" i="7"/>
  <c r="AE24" i="7"/>
  <c r="AG34" i="7"/>
  <c r="AG29" i="7"/>
  <c r="L7" i="2"/>
  <c r="M7" i="2"/>
  <c r="N7" i="2"/>
  <c r="AH26" i="1"/>
  <c r="AI26" i="1"/>
  <c r="AJ26" i="1"/>
  <c r="AK26" i="1"/>
  <c r="AK25" i="1"/>
  <c r="AK19" i="1"/>
  <c r="AF13" i="2"/>
  <c r="AG13" i="2"/>
  <c r="AH13" i="2"/>
  <c r="AD7" i="2"/>
  <c r="AE7" i="2"/>
  <c r="AF7" i="2"/>
  <c r="AG7" i="2"/>
  <c r="AH7" i="2"/>
  <c r="AI7" i="2"/>
  <c r="H57" i="7"/>
  <c r="H66" i="7"/>
  <c r="H65" i="7"/>
  <c r="K35" i="1"/>
  <c r="Q15" i="7"/>
  <c r="R15" i="7"/>
  <c r="R18" i="7"/>
  <c r="U32" i="1"/>
  <c r="U30" i="1"/>
  <c r="M14" i="7"/>
  <c r="N14" i="7"/>
  <c r="Z10" i="2"/>
  <c r="AA10" i="2"/>
  <c r="AB10" i="2"/>
  <c r="AC10" i="2"/>
  <c r="AD10" i="2"/>
  <c r="T22" i="2"/>
  <c r="U22" i="2"/>
  <c r="V22" i="2"/>
  <c r="W22" i="2"/>
  <c r="X22" i="2"/>
  <c r="X57" i="7"/>
  <c r="X66" i="7"/>
  <c r="X65" i="7"/>
  <c r="AA35" i="1"/>
  <c r="AA34" i="1"/>
  <c r="C22" i="2"/>
  <c r="D22" i="2"/>
  <c r="E22" i="2"/>
  <c r="F22" i="2"/>
  <c r="G22" i="2"/>
  <c r="H22" i="2"/>
  <c r="I22" i="2"/>
  <c r="J22" i="2"/>
  <c r="K22" i="2"/>
  <c r="L22" i="2"/>
  <c r="L57" i="7"/>
  <c r="L66" i="7"/>
  <c r="K21" i="2"/>
  <c r="L21" i="2"/>
  <c r="M21" i="2"/>
  <c r="N21" i="2"/>
  <c r="O21" i="2"/>
  <c r="AD21" i="2"/>
  <c r="AE21" i="2"/>
  <c r="AF21" i="2"/>
  <c r="AG21" i="2"/>
  <c r="AE15" i="7"/>
  <c r="AF15" i="7"/>
  <c r="AG15" i="7"/>
  <c r="AH15" i="7"/>
  <c r="AI15" i="7"/>
  <c r="AJ15" i="7"/>
  <c r="AK15" i="7"/>
  <c r="AL15" i="7"/>
  <c r="AL18" i="7"/>
  <c r="AO32" i="1"/>
  <c r="AO30" i="1"/>
  <c r="N11" i="7"/>
  <c r="O11" i="7"/>
  <c r="P11" i="7"/>
  <c r="Q11" i="7"/>
  <c r="R11" i="7"/>
  <c r="S11" i="7"/>
  <c r="S18" i="7"/>
  <c r="V32" i="1"/>
  <c r="V30" i="1"/>
  <c r="AB18" i="7"/>
  <c r="AE32" i="1"/>
  <c r="AE30" i="1"/>
  <c r="Y21" i="2"/>
  <c r="Z21" i="2"/>
  <c r="AA21" i="2"/>
  <c r="AB21" i="2"/>
  <c r="AC21" i="2"/>
  <c r="AJ17" i="12"/>
  <c r="D18" i="7"/>
  <c r="G32" i="1"/>
  <c r="G30" i="1"/>
  <c r="X18" i="7"/>
  <c r="AA32" i="1"/>
  <c r="AA30" i="1"/>
  <c r="AA29" i="1"/>
  <c r="U18" i="7"/>
  <c r="X32" i="1"/>
  <c r="X30" i="1"/>
  <c r="X29" i="1"/>
  <c r="X6" i="1"/>
  <c r="T10" i="2"/>
  <c r="U10" i="2"/>
  <c r="V10" i="2"/>
  <c r="W10" i="2"/>
  <c r="X10" i="2"/>
  <c r="Y10" i="2"/>
  <c r="AH14" i="7"/>
  <c r="AI14" i="7"/>
  <c r="F13" i="2"/>
  <c r="G13" i="2"/>
  <c r="H13" i="2"/>
  <c r="I13" i="2"/>
  <c r="J13" i="2"/>
  <c r="H14" i="2"/>
  <c r="I14" i="2"/>
  <c r="J14" i="2"/>
  <c r="K14" i="2"/>
  <c r="L14" i="2"/>
  <c r="M14" i="2"/>
  <c r="AE9" i="2"/>
  <c r="AF9" i="2"/>
  <c r="AG9" i="2"/>
  <c r="AH9" i="2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P52" i="7"/>
  <c r="O52" i="7"/>
  <c r="N52" i="7"/>
  <c r="M52" i="7"/>
  <c r="L52" i="7"/>
  <c r="L50" i="7"/>
  <c r="O41" i="1"/>
  <c r="W26" i="1"/>
  <c r="X26" i="1"/>
  <c r="Y26" i="1"/>
  <c r="Z26" i="1"/>
  <c r="AA26" i="1"/>
  <c r="AB26" i="1"/>
  <c r="AC26" i="1"/>
  <c r="AD26" i="1"/>
  <c r="AE26" i="1"/>
  <c r="AF26" i="1"/>
  <c r="AG26" i="1"/>
  <c r="AG25" i="1"/>
  <c r="AG19" i="1"/>
  <c r="H7" i="2"/>
  <c r="I7" i="2"/>
  <c r="J7" i="2"/>
  <c r="K7" i="2"/>
  <c r="T15" i="7"/>
  <c r="U15" i="7"/>
  <c r="V15" i="7"/>
  <c r="W15" i="7"/>
  <c r="X15" i="7"/>
  <c r="Y15" i="7"/>
  <c r="Z15" i="7"/>
  <c r="AA15" i="7"/>
  <c r="AB15" i="7"/>
  <c r="AC15" i="7"/>
  <c r="AD15" i="7"/>
  <c r="AD18" i="7"/>
  <c r="AG32" i="1"/>
  <c r="AG30" i="1"/>
  <c r="F16" i="1"/>
  <c r="G16" i="1"/>
  <c r="H16" i="1"/>
  <c r="I16" i="1"/>
  <c r="V16" i="1"/>
  <c r="W16" i="1"/>
  <c r="X16" i="1"/>
  <c r="Y16" i="1"/>
  <c r="Z16" i="1"/>
  <c r="AA16" i="1"/>
  <c r="AB16" i="1"/>
  <c r="AC16" i="1"/>
  <c r="C12" i="2"/>
  <c r="D12" i="2"/>
  <c r="E12" i="2"/>
  <c r="F12" i="2"/>
  <c r="G12" i="2"/>
  <c r="H12" i="2"/>
  <c r="I12" i="2"/>
  <c r="Y13" i="2"/>
  <c r="Z13" i="2"/>
  <c r="AA13" i="2"/>
  <c r="AB13" i="2"/>
  <c r="AC13" i="2"/>
  <c r="AD13" i="2"/>
  <c r="AE13" i="2"/>
  <c r="Q17" i="1"/>
  <c r="R17" i="1"/>
  <c r="S17" i="1"/>
  <c r="T17" i="1"/>
  <c r="U17" i="1"/>
  <c r="V17" i="1"/>
  <c r="W17" i="1"/>
  <c r="AD14" i="2"/>
  <c r="AE14" i="2"/>
  <c r="Q16" i="1"/>
  <c r="R16" i="1"/>
  <c r="S16" i="1"/>
  <c r="T16" i="1"/>
  <c r="U16" i="1"/>
  <c r="T13" i="2"/>
  <c r="U13" i="2"/>
  <c r="V13" i="2"/>
  <c r="W13" i="2"/>
  <c r="X13" i="2"/>
  <c r="AE17" i="12"/>
  <c r="AF17" i="12"/>
  <c r="AG17" i="12"/>
  <c r="AH17" i="12"/>
  <c r="AI17" i="12"/>
  <c r="H10" i="2"/>
  <c r="I10" i="2"/>
  <c r="J10" i="2"/>
  <c r="K10" i="2"/>
  <c r="T21" i="2"/>
  <c r="U21" i="2"/>
  <c r="V21" i="2"/>
  <c r="W21" i="2"/>
  <c r="X21" i="2"/>
  <c r="AG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8" i="7"/>
  <c r="S32" i="1"/>
  <c r="S30" i="1"/>
  <c r="L14" i="7"/>
  <c r="G6" i="2"/>
  <c r="H6" i="2"/>
  <c r="I6" i="2"/>
  <c r="J6" i="2"/>
  <c r="K6" i="2"/>
  <c r="L6" i="2"/>
  <c r="M6" i="2"/>
  <c r="N6" i="2"/>
  <c r="O6" i="2"/>
  <c r="P6" i="2"/>
  <c r="M26" i="7"/>
  <c r="N26" i="7"/>
  <c r="O26" i="7"/>
  <c r="K9" i="2"/>
  <c r="AA9" i="2"/>
  <c r="AB9" i="2"/>
  <c r="AC9" i="2"/>
  <c r="AD9" i="2"/>
  <c r="J21" i="2"/>
  <c r="C14" i="2"/>
  <c r="D14" i="2"/>
  <c r="E14" i="2"/>
  <c r="F14" i="2"/>
  <c r="G14" i="2"/>
  <c r="AB6" i="2"/>
  <c r="AC6" i="2"/>
  <c r="AD6" i="2"/>
  <c r="AE6" i="2"/>
  <c r="Y14" i="2"/>
  <c r="Z14" i="2"/>
  <c r="AA14" i="2"/>
  <c r="AB14" i="2"/>
  <c r="AC14" i="2"/>
  <c r="E13" i="2"/>
  <c r="D13" i="2"/>
  <c r="C13" i="2"/>
  <c r="C26" i="7"/>
  <c r="D26" i="7"/>
  <c r="E26" i="7"/>
  <c r="F26" i="7"/>
  <c r="G26" i="7"/>
  <c r="H26" i="7"/>
  <c r="I26" i="7"/>
  <c r="J26" i="7"/>
  <c r="K26" i="7"/>
  <c r="L26" i="7"/>
  <c r="X9" i="2"/>
  <c r="Y9" i="2"/>
  <c r="Z9" i="2"/>
  <c r="AC26" i="7"/>
  <c r="AD26" i="7"/>
  <c r="AD14" i="7"/>
  <c r="AE14" i="7"/>
  <c r="AF14" i="7"/>
  <c r="E7" i="2"/>
  <c r="F7" i="2"/>
  <c r="G7" i="2"/>
  <c r="V14" i="2"/>
  <c r="W14" i="2"/>
  <c r="X14" i="2"/>
  <c r="AC17" i="12"/>
  <c r="AD17" i="12"/>
  <c r="G14" i="7"/>
  <c r="H14" i="7"/>
  <c r="I14" i="7"/>
  <c r="J14" i="7"/>
  <c r="K14" i="7"/>
  <c r="E14" i="7"/>
  <c r="F14" i="7"/>
  <c r="C9" i="2"/>
  <c r="D9" i="2"/>
  <c r="E9" i="2"/>
  <c r="F9" i="2"/>
  <c r="G9" i="2"/>
  <c r="H9" i="2"/>
  <c r="I9" i="2"/>
  <c r="J9" i="2"/>
  <c r="T12" i="2"/>
  <c r="U12" i="2"/>
  <c r="V12" i="2"/>
  <c r="W12" i="2"/>
  <c r="X12" i="2"/>
  <c r="Y12" i="2"/>
  <c r="Z12" i="2"/>
  <c r="AA12" i="2"/>
  <c r="T9" i="2"/>
  <c r="U9" i="2"/>
  <c r="V9" i="2"/>
  <c r="W9" i="2"/>
  <c r="AA14" i="7"/>
  <c r="AB14" i="7"/>
  <c r="AC14" i="7"/>
  <c r="C21" i="2"/>
  <c r="D21" i="2"/>
  <c r="E21" i="2"/>
  <c r="F21" i="2"/>
  <c r="G21" i="2"/>
  <c r="H21" i="2"/>
  <c r="I21" i="2"/>
  <c r="C7" i="2"/>
  <c r="D7" i="2"/>
  <c r="F17" i="1"/>
  <c r="G17" i="1"/>
  <c r="H17" i="1"/>
  <c r="I17" i="1"/>
  <c r="J17" i="1"/>
  <c r="K17" i="1"/>
  <c r="T6" i="2"/>
  <c r="U6" i="2"/>
  <c r="V6" i="2"/>
  <c r="W6" i="2"/>
  <c r="X6" i="2"/>
  <c r="Y6" i="2"/>
  <c r="Z6" i="2"/>
  <c r="AA6" i="2"/>
  <c r="T14" i="2"/>
  <c r="U14" i="2"/>
  <c r="C10" i="2"/>
  <c r="D10" i="2"/>
  <c r="E10" i="2"/>
  <c r="F10" i="2"/>
  <c r="G10" i="2"/>
  <c r="C6" i="2"/>
  <c r="D6" i="2"/>
  <c r="E6" i="2"/>
  <c r="F6" i="2"/>
  <c r="T14" i="7"/>
  <c r="U14" i="7"/>
  <c r="V14" i="7"/>
  <c r="W14" i="7"/>
  <c r="X14" i="7"/>
  <c r="Y14" i="7"/>
  <c r="Z14" i="7"/>
  <c r="T26" i="7"/>
  <c r="U26" i="7"/>
  <c r="V26" i="7"/>
  <c r="W26" i="7"/>
  <c r="X26" i="7"/>
  <c r="Y26" i="7"/>
  <c r="Z26" i="7"/>
  <c r="AA26" i="7"/>
  <c r="AB26" i="7"/>
  <c r="T7" i="2"/>
  <c r="U7" i="2"/>
  <c r="V7" i="2"/>
  <c r="W7" i="2"/>
  <c r="X7" i="2"/>
  <c r="Y7" i="2"/>
  <c r="Z7" i="2"/>
  <c r="AA7" i="2"/>
  <c r="AB7" i="2"/>
  <c r="AC7" i="2"/>
  <c r="Q17" i="12"/>
  <c r="R17" i="12"/>
  <c r="S17" i="12"/>
  <c r="T17" i="12"/>
  <c r="U17" i="12"/>
  <c r="V17" i="12"/>
  <c r="W17" i="12"/>
  <c r="X17" i="12"/>
  <c r="Y17" i="12"/>
  <c r="Z17" i="12"/>
  <c r="AA17" i="12"/>
  <c r="AB17" i="12"/>
  <c r="H15" i="12"/>
  <c r="G15" i="12"/>
  <c r="G17" i="12"/>
  <c r="H17" i="12"/>
  <c r="I17" i="12"/>
  <c r="J17" i="12"/>
  <c r="K17" i="12"/>
  <c r="L17" i="12"/>
  <c r="M17" i="12"/>
  <c r="N17" i="12"/>
  <c r="O17" i="12"/>
  <c r="P17" i="12"/>
  <c r="C14" i="7"/>
  <c r="D14" i="7"/>
</calcChain>
</file>

<file path=xl/comments1.xml><?xml version="1.0" encoding="utf-8"?>
<comments xmlns="http://schemas.openxmlformats.org/spreadsheetml/2006/main">
  <authors>
    <author>Auteur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gardés constants en ligne avec hypothèses de l'étude 100% EnR</t>
        </r>
      </text>
    </comment>
    <comment ref="AP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totaux du réseau distribution et transport?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2014 à 2019: montants prévisionnels qui seront imputés au compte régulé de lissage au titre du déploiement des compteurs linky par ErDF (délibaération CRE du 2 juil 2014. P.14.)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• 33,5 M€/an pour les recharges optimisées de véhicules. La trajectoire de pénétration des véhicules électrique est linéaire entre les points de passages suivants (tirés des Visions) : 2010=0% ; 2030=11% soit 3.7M pour un part total de 35M ; 2050=65% soit 14,3 pour parc total de 22 M.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Quelle capex en €/MW/an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Quelle capex en €/MW/an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M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Les TACs d'équilibrage (pas encore au gaz de synthèse)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AM5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TACs 100% gaz de synthèse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d'une progression linéaire entre les coûts 2010 et 2015 tels que localisés sur la courbe d'Artélys (livrable [coût])   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Supposés constants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LCOE supposé constant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15cts/kWh en 2013 à 9,5cts/kWh en 2030 à 8cts/kWh en 2050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d'une comparaison au posé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d'un prix triple de celui du offshore posé (45cts/kWh) en 2013 à un prix double en 2030 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 LCOE de 14cts/kwh en 2013 et 10cts/kwh en 2030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18 et 14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Lu à l'œil nu du rapport [Coûts]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O1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Dont 200€ liés au raccordement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 d'arrivée en 2050 déduit du différentiel coût capacitaire EnR total - coûts toutes filières sauf hydro. Puis trajectoire calquée sur la trajectoire d'évolution du capex (€/kw)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de chiffrages ETSAP/IEA avec un capex de 3077€/kW en 2013 et 2769€/kW en 2020</t>
        </r>
      </text>
    </comment>
    <comment ref="AQ2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Source: IRENA "Electricity storage and RE for Island Power" 2012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Données issues du rapport [Modèle]</t>
        </r>
      </text>
    </comment>
  </commentList>
</comments>
</file>

<file path=xl/sharedStrings.xml><?xml version="1.0" encoding="utf-8"?>
<sst xmlns="http://schemas.openxmlformats.org/spreadsheetml/2006/main" count="402" uniqueCount="209">
  <si>
    <t>Dont coût pour le secteur résidentiel</t>
  </si>
  <si>
    <t>Dont coût des recharges optimisées</t>
  </si>
  <si>
    <t>Dont coût des STEP supplémentaires</t>
  </si>
  <si>
    <t>Dont coût du stockage inter-saisonnier</t>
  </si>
  <si>
    <t>Dont coût du stockage infra-journalier</t>
  </si>
  <si>
    <t>Dont inter-régional</t>
  </si>
  <si>
    <t>CAPEX 2050 (€/kW)</t>
  </si>
  <si>
    <t>OPEX fixe 2050 (€/kW/an)</t>
  </si>
  <si>
    <t>Eolien terrestre NG</t>
  </si>
  <si>
    <t>Eolien terrestre AG</t>
  </si>
  <si>
    <t>Eolien en mer posé</t>
  </si>
  <si>
    <t>Eolien flottant</t>
  </si>
  <si>
    <t>PV au sol</t>
  </si>
  <si>
    <t>PV sur toiture</t>
  </si>
  <si>
    <t>Solaire thermodynamique</t>
  </si>
  <si>
    <t>Marémotrice</t>
  </si>
  <si>
    <t>STEP additionnelles (2,7 GW)</t>
  </si>
  <si>
    <t>STEP additionnelles (+2,3 GW)</t>
  </si>
  <si>
    <t>Géothermie</t>
  </si>
  <si>
    <t>Cogénération à bois</t>
  </si>
  <si>
    <t>OPEX var (c€/kWh)</t>
  </si>
  <si>
    <t>UIOM</t>
  </si>
  <si>
    <t>Méthanisation</t>
  </si>
  <si>
    <t>Production nette 2050 (MWh)</t>
  </si>
  <si>
    <t>Solaire (moyenne pondérée)</t>
  </si>
  <si>
    <t>Dont OPEX</t>
  </si>
  <si>
    <t>Dont CAPEX</t>
  </si>
  <si>
    <t>LCOE filières et sous-filières (PTI)</t>
  </si>
  <si>
    <t>Stockage infra-journalier</t>
  </si>
  <si>
    <t>Stockage inter-saisonnier</t>
  </si>
  <si>
    <t>Durée de vie</t>
  </si>
  <si>
    <t>CAPEX 2050 (€/kW/an)</t>
  </si>
  <si>
    <t>Dont distribution et infra-régional</t>
  </si>
  <si>
    <t>Dotations aux amortissements</t>
  </si>
  <si>
    <t>Charges financières nettes</t>
  </si>
  <si>
    <t>Autres achats (entretien et maintenance)</t>
  </si>
  <si>
    <t>Achats liés à l'équilibre du syst élec (hors pertes)</t>
  </si>
  <si>
    <t>Achats liés aux pertes</t>
  </si>
  <si>
    <t>Autres produits et charges opé</t>
  </si>
  <si>
    <t>Charges de personnel</t>
  </si>
  <si>
    <t>Impôts et taxes</t>
  </si>
  <si>
    <t>CAPEX</t>
  </si>
  <si>
    <t>OPEX</t>
  </si>
  <si>
    <t>Total (hors pertes)</t>
  </si>
  <si>
    <t>Charges nettes à tarifer</t>
  </si>
  <si>
    <t>RTE</t>
  </si>
  <si>
    <t>ERdF</t>
  </si>
  <si>
    <t>Structure des coûts 2013 de RTE et ERdF</t>
  </si>
  <si>
    <t>http://www.cre.fr/documents/consultations-publiques/quatriemes-tarifs-d-utilisation-des-reseaux-publics-d-electricite</t>
  </si>
  <si>
    <t>Part OPEX (hors pertes et services systèmes)</t>
  </si>
  <si>
    <t>Moins charges de pertes, services systèmes et raccordements (PSR)</t>
  </si>
  <si>
    <t>Charges nettes (hors PSR)</t>
  </si>
  <si>
    <t>Part CAPEX (hors raccordement)</t>
  </si>
  <si>
    <t>Part OPEX pour charge de personnel</t>
  </si>
  <si>
    <t>Dont OPEX (charges de personnel)</t>
  </si>
  <si>
    <t>Dont OPEX (hors charges de personnel)</t>
  </si>
  <si>
    <t>Cas de référence</t>
  </si>
  <si>
    <t>Cogénération Bois</t>
  </si>
  <si>
    <t>TAC au gaz de synthèse</t>
  </si>
  <si>
    <t>STEP</t>
  </si>
  <si>
    <t>PowertoHeat</t>
  </si>
  <si>
    <t>PV toiture</t>
  </si>
  <si>
    <t>PV sol</t>
  </si>
  <si>
    <t>Eolien Onshore surtoilé</t>
  </si>
  <si>
    <t>Eolien Onshore classique</t>
  </si>
  <si>
    <t>Eolien Offshore posé</t>
  </si>
  <si>
    <t>Houlomoteur</t>
  </si>
  <si>
    <t>Nucléaire</t>
  </si>
  <si>
    <t>Hydrolienne</t>
  </si>
  <si>
    <t>Hydraulique à réservoirs</t>
  </si>
  <si>
    <t>Fil de l'eau</t>
  </si>
  <si>
    <t>TAC</t>
  </si>
  <si>
    <t>Eolien Offshore flottant</t>
  </si>
  <si>
    <t>Méthanation</t>
  </si>
  <si>
    <t>CSP</t>
  </si>
  <si>
    <t>CCGT</t>
  </si>
  <si>
    <t>CAES</t>
  </si>
  <si>
    <t>Cogénération Méthanisation</t>
  </si>
  <si>
    <t>Chroniques de coûts annuels (M€ 2013)</t>
  </si>
  <si>
    <t>Part EnR en % de la production élec</t>
  </si>
  <si>
    <t>http://www.cre.fr/documents/deliberations/decision/comptage-evolue-erdf2</t>
  </si>
  <si>
    <t>Source: Délibération de la CRE sur le cadre de régulation du déploiement de Linky</t>
  </si>
  <si>
    <t>Coût total sur la période 2015-2021</t>
  </si>
  <si>
    <t>Mds €</t>
  </si>
  <si>
    <t>Année</t>
  </si>
  <si>
    <t>Nombre prévisionnel de compteur Linky installés (millions)</t>
  </si>
  <si>
    <t>Coût annuel moyen sur la période</t>
  </si>
  <si>
    <t>Coût unitaire</t>
  </si>
  <si>
    <t>Coût annuel prévisionnel sur la période</t>
  </si>
  <si>
    <t>CAPEX 2030 (€/kw)</t>
  </si>
  <si>
    <t>Capacité (MW)</t>
  </si>
  <si>
    <t>Total de compteur installés sur la période (millions)</t>
  </si>
  <si>
    <t>Durée de vie d'un compteur (année)</t>
  </si>
  <si>
    <t>Investissements 2015 annualisés</t>
  </si>
  <si>
    <t>" 2017 "</t>
  </si>
  <si>
    <t>" 2016 "</t>
  </si>
  <si>
    <t>"2018 "</t>
  </si>
  <si>
    <t>" 2019 "</t>
  </si>
  <si>
    <t>" 2020 "</t>
  </si>
  <si>
    <t>" 2021 "</t>
  </si>
  <si>
    <t>TOTAL</t>
  </si>
  <si>
    <t>TOTAL (M€)</t>
  </si>
  <si>
    <t>LINKY 2ème génération</t>
  </si>
  <si>
    <t>Stockage infra-jour (CAES)</t>
  </si>
  <si>
    <t>Capex (€/MW/an)</t>
  </si>
  <si>
    <t>Opex fixes (€/MW/an)</t>
  </si>
  <si>
    <t>Capex (€/MW)</t>
  </si>
  <si>
    <t>TOTAL Opex (M€)</t>
  </si>
  <si>
    <t>Cohortes Capex:</t>
  </si>
  <si>
    <t>CAPEX 2013 (€/kw)</t>
  </si>
  <si>
    <t>Installations annuelles</t>
  </si>
  <si>
    <t>TOTAL Capex (M€)</t>
  </si>
  <si>
    <t>Coûts totaux (M€)</t>
  </si>
  <si>
    <t>Coûts annualisés des capacités de stockage</t>
  </si>
  <si>
    <t>Coûts annualisés du pilotage de la demande</t>
  </si>
  <si>
    <t>Coûts annualisés de réseau</t>
  </si>
  <si>
    <t>Chiffrage Artelys (coûts 2050)</t>
  </si>
  <si>
    <t>Courbe d'investissement</t>
  </si>
  <si>
    <t>Capacité En MW</t>
  </si>
  <si>
    <t>Coûts annualisés de l'éolien</t>
  </si>
  <si>
    <t>Coûts annualisés du solaire</t>
  </si>
  <si>
    <t>EOLIEN</t>
  </si>
  <si>
    <t>SOLAIRE</t>
  </si>
  <si>
    <t>Coûts annualisés de la biomasse</t>
  </si>
  <si>
    <t>BIOMASSE</t>
  </si>
  <si>
    <t>Bois énergie</t>
  </si>
  <si>
    <t>Stockage</t>
  </si>
  <si>
    <t>Additions cumulées (MW)</t>
  </si>
  <si>
    <t>EmR</t>
  </si>
  <si>
    <t>Coûts annualisés des énergies marines</t>
  </si>
  <si>
    <t>Géoth</t>
  </si>
  <si>
    <t>Coûts annualisés de la géothermie</t>
  </si>
  <si>
    <t>Coût capacitaire des ENR</t>
  </si>
  <si>
    <t>Coût du combustible Bois</t>
  </si>
  <si>
    <t>Coût capacitaire de la valorisation du surplus</t>
  </si>
  <si>
    <t>Coût capacitaire du réseau (valeur 2013 : 1640 M€)</t>
  </si>
  <si>
    <t>Coût fixe du réseau</t>
  </si>
  <si>
    <t>Coût du stockage intersaisonnier</t>
  </si>
  <si>
    <t>Coût des STEP</t>
  </si>
  <si>
    <t>Coût du stockage infrajournalier</t>
  </si>
  <si>
    <t>Coût capacitaire du thermique</t>
  </si>
  <si>
    <t>Coût de la flexibilité de la consommation</t>
  </si>
  <si>
    <t>Production (MWh)</t>
  </si>
  <si>
    <t>Opex var (€/MWh)</t>
  </si>
  <si>
    <t>Dont OPEX variable</t>
  </si>
  <si>
    <t>Coûts associés (M€)</t>
  </si>
  <si>
    <t>Hydraulique</t>
  </si>
  <si>
    <t>PAC</t>
  </si>
  <si>
    <t>Gain variable  de la valorisation du surplus</t>
  </si>
  <si>
    <t>Coût des combustibles hors enr</t>
  </si>
  <si>
    <t>Coût du CO2</t>
  </si>
  <si>
    <t>Coût total M€/an</t>
  </si>
  <si>
    <t>Coût de l'énergie consommée €/MWh (Coût actuel ~91 €/MWh)</t>
  </si>
  <si>
    <t>Reconstruction</t>
  </si>
  <si>
    <t>Valorisation surplus</t>
  </si>
  <si>
    <t>Hydraulique (induit)</t>
  </si>
  <si>
    <t>Hydraulique (réservoir + fil de l'eau)</t>
  </si>
  <si>
    <t>Reconstitution des coûts capacitaire à partir des LCOE (M€)</t>
  </si>
  <si>
    <t>Production nette (TWh)</t>
  </si>
  <si>
    <t>Historique</t>
  </si>
  <si>
    <t>Mix 100%</t>
  </si>
  <si>
    <t>Eolien terrestre</t>
  </si>
  <si>
    <t>Eolien en mer</t>
  </si>
  <si>
    <t>PV</t>
  </si>
  <si>
    <t>Hydroélectricité</t>
  </si>
  <si>
    <t>Energies marines</t>
  </si>
  <si>
    <t>Chaleur fatale</t>
  </si>
  <si>
    <t>Gaz naturel</t>
  </si>
  <si>
    <t>Fioul</t>
  </si>
  <si>
    <t>Charbon</t>
  </si>
  <si>
    <t>Part EnR (%)</t>
  </si>
  <si>
    <t>Production nette (Mwh)</t>
  </si>
  <si>
    <t>Toutes technos</t>
  </si>
  <si>
    <t>Eolien en mer toutes technos</t>
  </si>
  <si>
    <t>Eolien terrestre AG et NG</t>
  </si>
  <si>
    <t>Hydro</t>
  </si>
  <si>
    <t>Eolien terrestre (moyennes pondérée)</t>
  </si>
  <si>
    <t>LCOE 2050 (€/MWh)</t>
  </si>
  <si>
    <t>Eolien en mer (moyennes pondérées)</t>
  </si>
  <si>
    <t>Thermiques non-EnR</t>
  </si>
  <si>
    <t>EnR</t>
  </si>
  <si>
    <t>Ration solaires de production</t>
  </si>
  <si>
    <t>Production</t>
  </si>
  <si>
    <t>Part</t>
  </si>
  <si>
    <t>Total</t>
  </si>
  <si>
    <t>LCOE (€/MWh)</t>
  </si>
  <si>
    <t>Coûts capacitaires (M€)</t>
  </si>
  <si>
    <t>Coûts total</t>
  </si>
  <si>
    <t>Part opex (en % du LCOE)</t>
  </si>
  <si>
    <t>Opex variable (M€)</t>
  </si>
  <si>
    <t>Coûts annualisés de l'hydraulique</t>
  </si>
  <si>
    <t>Coûts capacitaires totaux EnR (hors opex var)</t>
  </si>
  <si>
    <t>95%ENR</t>
  </si>
  <si>
    <t>80%ENR</t>
  </si>
  <si>
    <t>40%ENR</t>
  </si>
  <si>
    <t>TAC au gaz de synthèse (GtP)</t>
  </si>
  <si>
    <t>Production 2050 (MWh)</t>
  </si>
  <si>
    <t>Part opex (% du coût annuel)</t>
  </si>
  <si>
    <t>TOTAL Opex fixe (M€)</t>
  </si>
  <si>
    <t>Total opex var (M€)</t>
  </si>
  <si>
    <t>Dont OPEX fixes</t>
  </si>
  <si>
    <t>Dont OPEX variables</t>
  </si>
  <si>
    <t>Coût du combustible bois</t>
  </si>
  <si>
    <t>Coût du réseau</t>
  </si>
  <si>
    <t>Coût du pilotage de la demande</t>
  </si>
  <si>
    <t>Coût du stockage</t>
  </si>
  <si>
    <t xml:space="preserve">Durée de vie </t>
  </si>
  <si>
    <t>Cas accept mod</t>
  </si>
  <si>
    <t>Méthanisation + gaz de synthèse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</si>
</sst>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#,##0\ &quot;€&quot;"/>
    <numFmt numFmtId="166" formatCode="0.0%"/>
    <numFmt numFmtId="167" formatCode="#,##0.00\ &quot;€&quot;"/>
    <numFmt numFmtId="168" formatCode="0.000"/>
    <numFmt numFmtId="169" formatCode="_-* #,##0\ _€_-;\-* #,##0\ _€_-;_-* &quot;-&quot;??\ _€_-;_-@_-"/>
    <numFmt numFmtId="170" formatCode="#,##0.0"/>
    <numFmt numFmtId="171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164" fontId="6" fillId="0" borderId="0" applyFont="0" applyFill="0" applyBorder="0" applyAlignment="0" applyProtection="0"/>
    <xf numFmtId="0" fontId="9" fillId="13" borderId="0" applyNumberFormat="0" applyBorder="0" applyAlignment="0" applyProtection="0"/>
    <xf numFmtId="0" fontId="12" fillId="0" borderId="0"/>
    <xf numFmtId="0" fontId="12" fillId="0" borderId="0"/>
  </cellStyleXfs>
  <cellXfs count="123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7" xfId="0" applyFont="1" applyBorder="1"/>
    <xf numFmtId="4" fontId="0" fillId="0" borderId="0" xfId="0" applyNumberFormat="1" applyBorder="1"/>
    <xf numFmtId="4" fontId="0" fillId="0" borderId="6" xfId="0" applyNumberForma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165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6" fontId="0" fillId="0" borderId="0" xfId="1" applyNumberFormat="1" applyFont="1"/>
    <xf numFmtId="166" fontId="0" fillId="0" borderId="0" xfId="0" applyNumberFormat="1"/>
    <xf numFmtId="165" fontId="3" fillId="0" borderId="0" xfId="0" applyNumberFormat="1" applyFont="1" applyAlignment="1">
      <alignment horizontal="right"/>
    </xf>
    <xf numFmtId="0" fontId="0" fillId="0" borderId="0" xfId="0" applyFill="1"/>
    <xf numFmtId="0" fontId="0" fillId="0" borderId="1" xfId="0" applyBorder="1"/>
    <xf numFmtId="167" fontId="3" fillId="0" borderId="0" xfId="0" applyNumberFormat="1" applyFont="1" applyAlignment="1">
      <alignment horizontal="right"/>
    </xf>
    <xf numFmtId="165" fontId="3" fillId="0" borderId="0" xfId="0" applyNumberFormat="1" applyFont="1"/>
    <xf numFmtId="165" fontId="0" fillId="0" borderId="1" xfId="0" applyNumberFormat="1" applyFont="1" applyBorder="1" applyAlignment="1">
      <alignment horizontal="right"/>
    </xf>
    <xf numFmtId="165" fontId="3" fillId="0" borderId="0" xfId="0" applyNumberFormat="1" applyFont="1" applyFill="1"/>
    <xf numFmtId="0" fontId="8" fillId="4" borderId="0" xfId="0" applyFont="1" applyFill="1"/>
    <xf numFmtId="9" fontId="8" fillId="4" borderId="0" xfId="0" applyNumberFormat="1" applyFont="1" applyFill="1"/>
    <xf numFmtId="0" fontId="3" fillId="5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5" fontId="3" fillId="0" borderId="0" xfId="0" applyNumberFormat="1" applyFont="1" applyFill="1" applyAlignment="1">
      <alignment horizontal="right"/>
    </xf>
    <xf numFmtId="168" fontId="0" fillId="0" borderId="0" xfId="0" applyNumberFormat="1"/>
    <xf numFmtId="167" fontId="0" fillId="0" borderId="0" xfId="0" applyNumberFormat="1"/>
    <xf numFmtId="0" fontId="9" fillId="2" borderId="0" xfId="0" applyFont="1" applyFill="1"/>
    <xf numFmtId="0" fontId="2" fillId="6" borderId="1" xfId="0" applyFont="1" applyFill="1" applyBorder="1"/>
    <xf numFmtId="165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165" fontId="0" fillId="0" borderId="0" xfId="0" applyNumberFormat="1" applyFill="1"/>
    <xf numFmtId="3" fontId="0" fillId="0" borderId="0" xfId="0" applyNumberFormat="1"/>
    <xf numFmtId="3" fontId="0" fillId="3" borderId="0" xfId="0" applyNumberFormat="1" applyFill="1"/>
    <xf numFmtId="165" fontId="0" fillId="7" borderId="0" xfId="0" applyNumberFormat="1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NumberFormat="1" applyFill="1"/>
    <xf numFmtId="0" fontId="0" fillId="8" borderId="0" xfId="0" applyFill="1"/>
    <xf numFmtId="0" fontId="3" fillId="0" borderId="0" xfId="0" applyFont="1" applyFill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10" fillId="3" borderId="0" xfId="0" applyNumberFormat="1" applyFont="1" applyFill="1"/>
    <xf numFmtId="165" fontId="0" fillId="0" borderId="1" xfId="0" applyNumberFormat="1" applyFill="1" applyBorder="1"/>
    <xf numFmtId="3" fontId="10" fillId="0" borderId="0" xfId="0" applyNumberFormat="1" applyFont="1" applyFill="1"/>
    <xf numFmtId="0" fontId="0" fillId="0" borderId="0" xfId="0" applyNumberFormat="1"/>
    <xf numFmtId="4" fontId="0" fillId="9" borderId="0" xfId="0" applyNumberFormat="1" applyFill="1" applyBorder="1"/>
    <xf numFmtId="3" fontId="0" fillId="0" borderId="0" xfId="0" applyNumberFormat="1" applyFill="1" applyAlignment="1">
      <alignment horizontal="center"/>
    </xf>
    <xf numFmtId="165" fontId="2" fillId="6" borderId="1" xfId="0" applyNumberFormat="1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0" fillId="9" borderId="0" xfId="0" applyFill="1"/>
    <xf numFmtId="1" fontId="0" fillId="0" borderId="0" xfId="0" applyNumberFormat="1" applyFill="1"/>
    <xf numFmtId="0" fontId="0" fillId="1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9" fontId="0" fillId="0" borderId="0" xfId="3" applyNumberFormat="1" applyFont="1"/>
    <xf numFmtId="9" fontId="0" fillId="0" borderId="0" xfId="1" applyFont="1"/>
    <xf numFmtId="1" fontId="0" fillId="0" borderId="0" xfId="1" applyNumberFormat="1" applyFont="1"/>
    <xf numFmtId="164" fontId="0" fillId="0" borderId="0" xfId="0" applyNumberFormat="1"/>
    <xf numFmtId="0" fontId="1" fillId="2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ill="1" applyBorder="1"/>
    <xf numFmtId="1" fontId="0" fillId="0" borderId="0" xfId="0" applyNumberFormat="1"/>
    <xf numFmtId="0" fontId="6" fillId="11" borderId="0" xfId="5"/>
    <xf numFmtId="169" fontId="6" fillId="10" borderId="0" xfId="4" applyNumberFormat="1"/>
    <xf numFmtId="0" fontId="0" fillId="11" borderId="0" xfId="5" applyFont="1"/>
    <xf numFmtId="169" fontId="6" fillId="4" borderId="0" xfId="4" applyNumberFormat="1" applyFill="1"/>
    <xf numFmtId="0" fontId="9" fillId="13" borderId="0" xfId="7"/>
    <xf numFmtId="169" fontId="6" fillId="14" borderId="0" xfId="4" applyNumberFormat="1" applyFill="1"/>
    <xf numFmtId="165" fontId="0" fillId="0" borderId="0" xfId="1" applyNumberFormat="1" applyFont="1"/>
    <xf numFmtId="165" fontId="0" fillId="0" borderId="0" xfId="3" applyNumberFormat="1" applyFont="1"/>
    <xf numFmtId="0" fontId="2" fillId="0" borderId="8" xfId="0" applyFont="1" applyBorder="1"/>
    <xf numFmtId="0" fontId="0" fillId="0" borderId="0" xfId="0" applyBorder="1"/>
    <xf numFmtId="0" fontId="0" fillId="3" borderId="0" xfId="0" applyFill="1" applyBorder="1"/>
    <xf numFmtId="4" fontId="0" fillId="3" borderId="0" xfId="0" applyNumberFormat="1" applyFill="1" applyBorder="1"/>
    <xf numFmtId="171" fontId="0" fillId="0" borderId="0" xfId="0" applyNumberFormat="1" applyBorder="1"/>
    <xf numFmtId="1" fontId="0" fillId="3" borderId="0" xfId="0" applyNumberFormat="1" applyFill="1" applyBorder="1"/>
    <xf numFmtId="171" fontId="0" fillId="3" borderId="0" xfId="0" applyNumberFormat="1" applyFill="1" applyBorder="1"/>
    <xf numFmtId="169" fontId="0" fillId="15" borderId="0" xfId="3" applyNumberFormat="1" applyFont="1" applyFill="1"/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171" fontId="0" fillId="0" borderId="12" xfId="0" applyNumberFormat="1" applyBorder="1" applyAlignment="1">
      <alignment horizontal="center"/>
    </xf>
    <xf numFmtId="171" fontId="2" fillId="0" borderId="14" xfId="0" applyNumberFormat="1" applyFont="1" applyBorder="1" applyAlignment="1">
      <alignment horizontal="center"/>
    </xf>
    <xf numFmtId="0" fontId="3" fillId="0" borderId="0" xfId="0" applyFont="1"/>
    <xf numFmtId="166" fontId="3" fillId="0" borderId="15" xfId="1" applyNumberFormat="1" applyFont="1" applyBorder="1" applyAlignment="1">
      <alignment horizontal="center"/>
    </xf>
    <xf numFmtId="0" fontId="0" fillId="15" borderId="0" xfId="0" applyFill="1"/>
    <xf numFmtId="171" fontId="0" fillId="15" borderId="13" xfId="0" applyNumberFormat="1" applyFill="1" applyBorder="1" applyAlignment="1">
      <alignment horizontal="center"/>
    </xf>
    <xf numFmtId="171" fontId="2" fillId="15" borderId="14" xfId="0" applyNumberFormat="1" applyFont="1" applyFill="1" applyBorder="1" applyAlignment="1">
      <alignment horizontal="center"/>
    </xf>
    <xf numFmtId="166" fontId="3" fillId="15" borderId="15" xfId="1" applyNumberFormat="1" applyFont="1" applyFill="1" applyBorder="1" applyAlignment="1">
      <alignment horizontal="center"/>
    </xf>
    <xf numFmtId="9" fontId="0" fillId="3" borderId="0" xfId="1" applyFont="1" applyFill="1"/>
    <xf numFmtId="3" fontId="0" fillId="12" borderId="0" xfId="0" applyNumberFormat="1" applyFill="1" applyAlignment="1">
      <alignment horizontal="center"/>
    </xf>
    <xf numFmtId="0" fontId="8" fillId="0" borderId="0" xfId="0" applyFont="1" applyFill="1"/>
    <xf numFmtId="9" fontId="8" fillId="0" borderId="0" xfId="0" applyNumberFormat="1" applyFont="1" applyFill="1"/>
    <xf numFmtId="165" fontId="8" fillId="0" borderId="0" xfId="0" applyNumberFormat="1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165" fontId="0" fillId="15" borderId="0" xfId="0" applyNumberFormat="1" applyFill="1"/>
    <xf numFmtId="9" fontId="10" fillId="3" borderId="0" xfId="1" applyFont="1" applyFill="1"/>
    <xf numFmtId="4" fontId="0" fillId="0" borderId="0" xfId="0" applyNumberFormat="1"/>
    <xf numFmtId="165" fontId="0" fillId="0" borderId="10" xfId="0" applyNumberFormat="1" applyFill="1" applyBorder="1"/>
    <xf numFmtId="167" fontId="3" fillId="0" borderId="0" xfId="0" applyNumberFormat="1" applyFont="1" applyFill="1" applyAlignment="1">
      <alignment horizontal="right"/>
    </xf>
    <xf numFmtId="0" fontId="0" fillId="15" borderId="0" xfId="0" applyNumberFormat="1" applyFill="1"/>
    <xf numFmtId="3" fontId="13" fillId="15" borderId="0" xfId="0" applyNumberFormat="1" applyFont="1" applyFill="1"/>
    <xf numFmtId="171" fontId="0" fillId="0" borderId="0" xfId="0" applyNumberFormat="1" applyAlignment="1">
      <alignment horizontal="center"/>
    </xf>
    <xf numFmtId="171" fontId="0" fillId="0" borderId="16" xfId="0" applyNumberFormat="1" applyBorder="1" applyAlignment="1">
      <alignment horizontal="center"/>
    </xf>
    <xf numFmtId="171" fontId="2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</cellXfs>
  <cellStyles count="10">
    <cellStyle name="20 % - Accent1" xfId="4" builtinId="30"/>
    <cellStyle name="40 % - Accent1" xfId="5" builtinId="31"/>
    <cellStyle name="Accent1" xfId="7" builtinId="29"/>
    <cellStyle name="Lien hypertexte" xfId="2" builtinId="8"/>
    <cellStyle name="Milliers" xfId="3" builtinId="3"/>
    <cellStyle name="Milliers 2" xfId="6"/>
    <cellStyle name="Normal" xfId="0" builtinId="0"/>
    <cellStyle name="Normal 2 2" xfId="8"/>
    <cellStyle name="Normal 5" xfId="9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1800225</xdr:colOff>
      <xdr:row>0</xdr:row>
      <xdr:rowOff>95250</xdr:rowOff>
    </xdr:from>
    <xdr:ext cx="8938986" cy="311496"/>
    <xdr:sp macro="" textlink="">
      <xdr:nvSpPr>
        <xdr:cNvPr id="3" name="ZoneTexte 2"/>
        <xdr:cNvSpPr txBox="1"/>
      </xdr:nvSpPr>
      <xdr:spPr>
        <a:xfrm>
          <a:off x="1800225" y="95250"/>
          <a:ext cx="8938986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"Chronique d'investissement" qui se trouve dans le dossier parent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95250</xdr:rowOff>
    </xdr:from>
    <xdr:ext cx="10334625" cy="1407308"/>
    <xdr:sp macro="" textlink="">
      <xdr:nvSpPr>
        <xdr:cNvPr id="3" name="ZoneTexte 2"/>
        <xdr:cNvSpPr txBox="1"/>
      </xdr:nvSpPr>
      <xdr:spPr>
        <a:xfrm>
          <a:off x="1828800" y="95250"/>
          <a:ext cx="10334625" cy="140730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bleutées.</a:t>
          </a:r>
        </a:p>
        <a:p>
          <a:endParaRPr lang="fr-FR" sz="1400" b="1" baseline="0">
            <a:solidFill>
              <a:srgbClr val="FF0000"/>
            </a:solidFill>
          </a:endParaRPr>
        </a:p>
        <a:p>
          <a:r>
            <a:rPr lang="fr-FR" sz="1400" b="1" baseline="0">
              <a:solidFill>
                <a:srgbClr val="FF0000"/>
              </a:solidFill>
            </a:rPr>
            <a:t>Pour les données de capacité, commencer par définir les années points de passage à partir du taux de pénétration EnR tel que calculé à l'onglet "Linéarisation mix" et répercuter les parcs installées correspondant tirés de l'onglet "capacités installées"</a:t>
          </a:r>
        </a:p>
        <a:p>
          <a:endParaRPr lang="fr-FR" sz="1400" b="1" baseline="0">
            <a:solidFill>
              <a:srgbClr val="FF0000"/>
            </a:solidFill>
          </a:endParaRPr>
        </a:p>
        <a:p>
          <a:r>
            <a:rPr lang="fr-FR" sz="1400" b="1" baseline="0">
              <a:solidFill>
                <a:srgbClr val="FF0000"/>
              </a:solidFill>
            </a:rPr>
            <a:t>Pour les données de coûts, utiliser les fichiers de calcul des coûts "chronique d'investissement" qui se trouvent dans le dossier parent.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25</xdr:row>
      <xdr:rowOff>38100</xdr:rowOff>
    </xdr:from>
    <xdr:ext cx="8343053" cy="311496"/>
    <xdr:sp macro="" textlink="">
      <xdr:nvSpPr>
        <xdr:cNvPr id="2" name="ZoneTexte 1"/>
        <xdr:cNvSpPr txBox="1"/>
      </xdr:nvSpPr>
      <xdr:spPr>
        <a:xfrm>
          <a:off x="838200" y="4800600"/>
          <a:ext cx="8343053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"Toutesvariantes" qui se trouve dans le dossier ressources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1</xdr:row>
      <xdr:rowOff>38100</xdr:rowOff>
    </xdr:from>
    <xdr:ext cx="6731330" cy="311496"/>
    <xdr:sp macro="" textlink="">
      <xdr:nvSpPr>
        <xdr:cNvPr id="2" name="ZoneTexte 1"/>
        <xdr:cNvSpPr txBox="1"/>
      </xdr:nvSpPr>
      <xdr:spPr>
        <a:xfrm>
          <a:off x="5391150" y="228600"/>
          <a:ext cx="6731330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scénario concerné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20</xdr:row>
      <xdr:rowOff>133350</xdr:rowOff>
    </xdr:from>
    <xdr:ext cx="12836784" cy="311496"/>
    <xdr:sp macro="" textlink="">
      <xdr:nvSpPr>
        <xdr:cNvPr id="2" name="ZoneTexte 1"/>
        <xdr:cNvSpPr txBox="1"/>
      </xdr:nvSpPr>
      <xdr:spPr>
        <a:xfrm>
          <a:off x="209550" y="3971925"/>
          <a:ext cx="12836784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fichier excel "Graphe d'étape 2030". Utiliser les données de production nette exports non-soustraits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ICES/SRER/ECHANGES/ECHANGES_GUILAIN_CALS/02%20-%20Etudes/Vers%201%20mix%20100%25%20EnR/Simulation%20macro/Ressources/analyseToutesVariantes_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és installées"/>
      <sheetName val="Production"/>
      <sheetName val="Consommation"/>
      <sheetName val="Frontière"/>
      <sheetName val="Analy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.fr/documents/consultations-publiques/quatriemes-tarifs-d-utilisation-des-reseaux-publics-d-electricit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1"/>
  <sheetViews>
    <sheetView tabSelected="1" workbookViewId="0">
      <selection activeCell="F31" sqref="F31"/>
    </sheetView>
  </sheetViews>
  <sheetFormatPr baseColWidth="10" defaultRowHeight="15" x14ac:dyDescent="0.25"/>
  <cols>
    <col min="1" max="1" width="40.5703125" bestFit="1" customWidth="1"/>
  </cols>
  <sheetData>
    <row r="1" spans="1:42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</row>
    <row r="2" spans="1:42" x14ac:dyDescent="0.25">
      <c r="A2" s="29" t="s">
        <v>79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>
        <v>0.4</v>
      </c>
      <c r="Q2" s="30"/>
      <c r="R2" s="29"/>
      <c r="S2" s="29"/>
      <c r="T2" s="30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0">
        <v>0.8</v>
      </c>
      <c r="AI2" s="29"/>
      <c r="AJ2" s="29"/>
      <c r="AK2" s="29"/>
      <c r="AL2" s="29"/>
      <c r="AM2" s="29"/>
      <c r="AN2" s="30">
        <v>0.95</v>
      </c>
      <c r="AO2" s="29"/>
      <c r="AP2" s="30">
        <v>1</v>
      </c>
    </row>
    <row r="3" spans="1:42" s="23" customForma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7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7"/>
      <c r="AI3" s="106"/>
      <c r="AJ3" s="106"/>
      <c r="AK3" s="106"/>
      <c r="AL3" s="106"/>
      <c r="AM3" s="106"/>
      <c r="AN3" s="107"/>
      <c r="AO3" s="106"/>
      <c r="AP3" s="107"/>
    </row>
    <row r="4" spans="1:42" s="23" customFormat="1" x14ac:dyDescent="0.25">
      <c r="A4" s="106" t="s">
        <v>191</v>
      </c>
      <c r="B4" s="106"/>
      <c r="C4" s="106"/>
      <c r="D4" s="106"/>
      <c r="E4" s="108">
        <f>E7+E17+E22-E26+E37+E43+E49</f>
        <v>7794.9326434332788</v>
      </c>
      <c r="F4" s="108">
        <f t="shared" ref="F4:AP4" si="0">F7+F17+F22-F26+F37+F43+F49</f>
        <v>8759.0484584020251</v>
      </c>
      <c r="G4" s="108">
        <f t="shared" si="0"/>
        <v>9710.6336950068526</v>
      </c>
      <c r="H4" s="108">
        <f t="shared" si="0"/>
        <v>10645.944356631033</v>
      </c>
      <c r="I4" s="108">
        <f t="shared" si="0"/>
        <v>11564.980665659568</v>
      </c>
      <c r="J4" s="108">
        <f t="shared" si="0"/>
        <v>13190.437832482687</v>
      </c>
      <c r="K4" s="108">
        <f t="shared" si="0"/>
        <v>14782.146749163889</v>
      </c>
      <c r="L4" s="108">
        <f t="shared" si="0"/>
        <v>16340.10836613715</v>
      </c>
      <c r="M4" s="108">
        <f t="shared" si="0"/>
        <v>17864.323620626292</v>
      </c>
      <c r="N4" s="108">
        <f t="shared" si="0"/>
        <v>19354.793408392779</v>
      </c>
      <c r="O4" s="108">
        <f t="shared" si="0"/>
        <v>20811.51855716619</v>
      </c>
      <c r="P4" s="108">
        <f t="shared" si="0"/>
        <v>21987.366276149274</v>
      </c>
      <c r="Q4" s="108">
        <f t="shared" si="0"/>
        <v>23136.460966048046</v>
      </c>
      <c r="R4" s="108">
        <f t="shared" si="0"/>
        <v>24258.80287676592</v>
      </c>
      <c r="S4" s="108">
        <f t="shared" si="0"/>
        <v>25354.392133159989</v>
      </c>
      <c r="T4" s="108">
        <f t="shared" si="0"/>
        <v>26423.228732765445</v>
      </c>
      <c r="U4" s="108">
        <f t="shared" si="0"/>
        <v>27465.31254668878</v>
      </c>
      <c r="V4" s="108">
        <f t="shared" si="0"/>
        <v>28480.643323624899</v>
      </c>
      <c r="W4" s="108">
        <f t="shared" si="0"/>
        <v>29484.469536683522</v>
      </c>
      <c r="X4" s="108">
        <f t="shared" si="0"/>
        <v>30476.792000664762</v>
      </c>
      <c r="Y4" s="108">
        <f t="shared" si="0"/>
        <v>31386.471294850002</v>
      </c>
      <c r="Z4" s="108">
        <f t="shared" si="0"/>
        <v>32311.420799202016</v>
      </c>
      <c r="AA4" s="108">
        <f t="shared" si="0"/>
        <v>33226.65228966852</v>
      </c>
      <c r="AB4" s="108">
        <f t="shared" si="0"/>
        <v>34132.167888247386</v>
      </c>
      <c r="AC4" s="108">
        <f t="shared" si="0"/>
        <v>35027.969899765398</v>
      </c>
      <c r="AD4" s="108">
        <f t="shared" si="0"/>
        <v>35914.060746822834</v>
      </c>
      <c r="AE4" s="108">
        <f t="shared" si="0"/>
        <v>36563.957960709085</v>
      </c>
      <c r="AF4" s="108">
        <f t="shared" si="0"/>
        <v>37207.897329659689</v>
      </c>
      <c r="AG4" s="108">
        <f t="shared" si="0"/>
        <v>37845.881127824003</v>
      </c>
      <c r="AH4" s="108">
        <f t="shared" si="0"/>
        <v>38477.911495262728</v>
      </c>
      <c r="AI4" s="108">
        <f t="shared" si="0"/>
        <v>39103.990381776348</v>
      </c>
      <c r="AJ4" s="108">
        <f t="shared" si="0"/>
        <v>39701.602262198932</v>
      </c>
      <c r="AK4" s="108">
        <f t="shared" si="0"/>
        <v>40300.833048700486</v>
      </c>
      <c r="AL4" s="108">
        <f t="shared" si="0"/>
        <v>40896.60345191088</v>
      </c>
      <c r="AM4" s="108">
        <f t="shared" si="0"/>
        <v>41488.914226985515</v>
      </c>
      <c r="AN4" s="108">
        <f t="shared" si="0"/>
        <v>41795.160467876871</v>
      </c>
      <c r="AO4" s="108">
        <f t="shared" si="0"/>
        <v>42111.397189887393</v>
      </c>
      <c r="AP4" s="108">
        <f t="shared" si="0"/>
        <v>42437.623259193468</v>
      </c>
    </row>
    <row r="5" spans="1:42" s="23" customFormat="1" x14ac:dyDescent="0.25">
      <c r="A5" s="106" t="s">
        <v>202</v>
      </c>
      <c r="B5" s="106"/>
      <c r="C5" s="106"/>
      <c r="D5" s="106"/>
      <c r="E5" s="108">
        <f>E26</f>
        <v>27.266116320000005</v>
      </c>
      <c r="F5" s="108">
        <f t="shared" ref="F5:AP5" si="1">F26</f>
        <v>36.606315850826675</v>
      </c>
      <c r="G5" s="108">
        <f t="shared" si="1"/>
        <v>45.946516118763533</v>
      </c>
      <c r="H5" s="108">
        <f t="shared" si="1"/>
        <v>55.28671748176302</v>
      </c>
      <c r="I5" s="108">
        <f t="shared" si="1"/>
        <v>64.626920287327408</v>
      </c>
      <c r="J5" s="108">
        <f t="shared" si="1"/>
        <v>73.96712487008476</v>
      </c>
      <c r="K5" s="108">
        <f t="shared" si="1"/>
        <v>83.30733154947481</v>
      </c>
      <c r="L5" s="108">
        <f t="shared" si="1"/>
        <v>92.647540627560772</v>
      </c>
      <c r="M5" s="108">
        <f t="shared" si="1"/>
        <v>101.98775238698191</v>
      </c>
      <c r="N5" s="108">
        <f t="shared" si="1"/>
        <v>111.32796708906042</v>
      </c>
      <c r="O5" s="108">
        <f t="shared" si="1"/>
        <v>120.66818497207537</v>
      </c>
      <c r="P5" s="108">
        <f t="shared" si="1"/>
        <v>130.00840624971468</v>
      </c>
      <c r="Q5" s="108">
        <f t="shared" si="1"/>
        <v>139.34863110971506</v>
      </c>
      <c r="R5" s="108">
        <f t="shared" si="1"/>
        <v>148.68885971269856</v>
      </c>
      <c r="S5" s="108">
        <f t="shared" si="1"/>
        <v>158.02909219121233</v>
      </c>
      <c r="T5" s="108">
        <f t="shared" si="1"/>
        <v>167.36932864897722</v>
      </c>
      <c r="U5" s="108">
        <f t="shared" si="1"/>
        <v>176.70956916034919</v>
      </c>
      <c r="V5" s="108">
        <f t="shared" si="1"/>
        <v>186.04981376999569</v>
      </c>
      <c r="W5" s="108">
        <f t="shared" si="1"/>
        <v>195.39006249278796</v>
      </c>
      <c r="X5" s="108">
        <f t="shared" si="1"/>
        <v>204.73031531390833</v>
      </c>
      <c r="Y5" s="108">
        <f t="shared" si="1"/>
        <v>214.07057218917038</v>
      </c>
      <c r="Z5" s="108">
        <f t="shared" si="1"/>
        <v>223.41083304554783</v>
      </c>
      <c r="AA5" s="108">
        <f t="shared" si="1"/>
        <v>232.75109778190736</v>
      </c>
      <c r="AB5" s="108">
        <f t="shared" si="1"/>
        <v>242.09136626993796</v>
      </c>
      <c r="AC5" s="108">
        <f t="shared" si="1"/>
        <v>251.4316383552692</v>
      </c>
      <c r="AD5" s="108">
        <f t="shared" si="1"/>
        <v>260.77191385876898</v>
      </c>
      <c r="AE5" s="108">
        <f t="shared" si="1"/>
        <v>270.11219257800985</v>
      </c>
      <c r="AF5" s="108">
        <f t="shared" si="1"/>
        <v>279.45247428889263</v>
      </c>
      <c r="AG5" s="108">
        <f t="shared" si="1"/>
        <v>288.7927587474137</v>
      </c>
      <c r="AH5" s="108">
        <f t="shared" si="1"/>
        <v>298.13304569156321</v>
      </c>
      <c r="AI5" s="108">
        <f t="shared" si="1"/>
        <v>307.47333484333905</v>
      </c>
      <c r="AJ5" s="108">
        <f t="shared" si="1"/>
        <v>316.81362591086099</v>
      </c>
      <c r="AK5" s="108">
        <f t="shared" si="1"/>
        <v>326.15391859057007</v>
      </c>
      <c r="AL5" s="108">
        <f t="shared" si="1"/>
        <v>335.4942125694954</v>
      </c>
      <c r="AM5" s="108">
        <f t="shared" si="1"/>
        <v>344.83450752757324</v>
      </c>
      <c r="AN5" s="108">
        <f t="shared" si="1"/>
        <v>354.17480313999937</v>
      </c>
      <c r="AO5" s="108">
        <f t="shared" si="1"/>
        <v>363.51509907959974</v>
      </c>
      <c r="AP5" s="108">
        <f t="shared" si="1"/>
        <v>372.85539501920005</v>
      </c>
    </row>
    <row r="6" spans="1:42" s="23" customForma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  <c r="Q6" s="107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7"/>
      <c r="AI6" s="106"/>
      <c r="AJ6" s="106"/>
      <c r="AK6" s="106"/>
      <c r="AL6" s="106"/>
      <c r="AM6" s="106"/>
      <c r="AN6" s="107"/>
      <c r="AO6" s="106"/>
      <c r="AP6" s="107"/>
    </row>
    <row r="7" spans="1:42" x14ac:dyDescent="0.25">
      <c r="A7" s="40" t="s">
        <v>119</v>
      </c>
      <c r="B7" s="40"/>
      <c r="C7" s="40"/>
      <c r="D7" s="40"/>
      <c r="E7" s="61">
        <f>E8+E12</f>
        <v>1272</v>
      </c>
      <c r="F7" s="61">
        <f t="shared" ref="F7:AP7" si="2">F8+F12</f>
        <v>1509.8313304526882</v>
      </c>
      <c r="G7" s="61">
        <f t="shared" si="2"/>
        <v>1748.6096211513009</v>
      </c>
      <c r="H7" s="61">
        <f t="shared" si="2"/>
        <v>1985.1547716372734</v>
      </c>
      <c r="I7" s="61">
        <f t="shared" si="2"/>
        <v>2219.4666867942096</v>
      </c>
      <c r="J7" s="61">
        <f t="shared" si="2"/>
        <v>3174.2402912319508</v>
      </c>
      <c r="K7" s="61">
        <f t="shared" si="2"/>
        <v>4109.3062243225368</v>
      </c>
      <c r="L7" s="61">
        <f t="shared" si="2"/>
        <v>5024.6652179349067</v>
      </c>
      <c r="M7" s="61">
        <f t="shared" si="2"/>
        <v>5920.3180255608077</v>
      </c>
      <c r="N7" s="61">
        <f t="shared" si="2"/>
        <v>6796.265394440501</v>
      </c>
      <c r="O7" s="61">
        <f t="shared" si="2"/>
        <v>7652.5080390476105</v>
      </c>
      <c r="P7" s="61">
        <f t="shared" si="2"/>
        <v>8241.9130903329951</v>
      </c>
      <c r="Q7" s="61">
        <f t="shared" si="2"/>
        <v>8818.6049051885166</v>
      </c>
      <c r="R7" s="61">
        <f t="shared" si="2"/>
        <v>9382.5837232827507</v>
      </c>
      <c r="S7" s="61">
        <f t="shared" si="2"/>
        <v>9933.8496916819804</v>
      </c>
      <c r="T7" s="61">
        <f t="shared" si="2"/>
        <v>10472.402861179935</v>
      </c>
      <c r="U7" s="61">
        <f t="shared" si="2"/>
        <v>10998.243185556177</v>
      </c>
      <c r="V7" s="61">
        <f t="shared" si="2"/>
        <v>11511.370523739388</v>
      </c>
      <c r="W7" s="61">
        <f t="shared" si="2"/>
        <v>12021.100727021756</v>
      </c>
      <c r="X7" s="61">
        <f t="shared" si="2"/>
        <v>12527.434702589289</v>
      </c>
      <c r="Y7" s="61">
        <f t="shared" si="2"/>
        <v>12969.953774136098</v>
      </c>
      <c r="Z7" s="61">
        <f t="shared" si="2"/>
        <v>13435.543641828426</v>
      </c>
      <c r="AA7" s="61">
        <f t="shared" si="2"/>
        <v>13899.224972344229</v>
      </c>
      <c r="AB7" s="61">
        <f t="shared" si="2"/>
        <v>14361.000058234487</v>
      </c>
      <c r="AC7" s="61">
        <f t="shared" si="2"/>
        <v>14820.871389971457</v>
      </c>
      <c r="AD7" s="61">
        <f t="shared" si="2"/>
        <v>15278.841588940551</v>
      </c>
      <c r="AE7" s="61">
        <f t="shared" si="2"/>
        <v>15734.913338731274</v>
      </c>
      <c r="AF7" s="61">
        <f t="shared" si="2"/>
        <v>16189.089316465068</v>
      </c>
      <c r="AG7" s="61">
        <f t="shared" si="2"/>
        <v>16641.372125855374</v>
      </c>
      <c r="AH7" s="61">
        <f t="shared" si="2"/>
        <v>17091.764233611819</v>
      </c>
      <c r="AI7" s="61">
        <f t="shared" si="2"/>
        <v>17540.267910679577</v>
      </c>
      <c r="AJ7" s="61">
        <f t="shared" si="2"/>
        <v>17986.885179650511</v>
      </c>
      <c r="AK7" s="61">
        <f t="shared" si="2"/>
        <v>18431.617769498862</v>
      </c>
      <c r="AL7" s="61">
        <f t="shared" si="2"/>
        <v>18874.467078586826</v>
      </c>
      <c r="AM7" s="61">
        <f t="shared" si="2"/>
        <v>19315.434146659471</v>
      </c>
      <c r="AN7" s="61">
        <f t="shared" si="2"/>
        <v>19471.91433143938</v>
      </c>
      <c r="AO7" s="61">
        <f t="shared" si="2"/>
        <v>19639.962889636001</v>
      </c>
      <c r="AP7" s="61">
        <f t="shared" si="2"/>
        <v>19819.578905174953</v>
      </c>
    </row>
    <row r="8" spans="1:42" x14ac:dyDescent="0.25">
      <c r="A8" s="18" t="s">
        <v>161</v>
      </c>
      <c r="B8" s="27"/>
      <c r="C8" s="27"/>
      <c r="D8" s="27"/>
      <c r="E8" s="27">
        <f t="shared" ref="E8:AO8" si="3">E9+E10</f>
        <v>1272</v>
      </c>
      <c r="F8" s="27">
        <f t="shared" si="3"/>
        <v>1509.8313304526882</v>
      </c>
      <c r="G8" s="27">
        <f t="shared" si="3"/>
        <v>1748.6096211513009</v>
      </c>
      <c r="H8" s="27">
        <f t="shared" si="3"/>
        <v>1985.1547716372734</v>
      </c>
      <c r="I8" s="27">
        <f t="shared" si="3"/>
        <v>2219.4666867942096</v>
      </c>
      <c r="J8" s="27">
        <f t="shared" si="3"/>
        <v>2451.5452774483579</v>
      </c>
      <c r="K8" s="27">
        <f t="shared" si="3"/>
        <v>2681.3904609115466</v>
      </c>
      <c r="L8" s="27">
        <f t="shared" si="3"/>
        <v>2909.0021614635671</v>
      </c>
      <c r="M8" s="27">
        <f t="shared" si="3"/>
        <v>3134.3803107715075</v>
      </c>
      <c r="N8" s="27">
        <f t="shared" si="3"/>
        <v>3357.5248482440938</v>
      </c>
      <c r="O8" s="27">
        <f t="shared" si="3"/>
        <v>3578.4357213196135</v>
      </c>
      <c r="P8" s="27">
        <f t="shared" si="3"/>
        <v>3797.1128856865621</v>
      </c>
      <c r="Q8" s="27">
        <f t="shared" si="3"/>
        <v>4013.5563054366648</v>
      </c>
      <c r="R8" s="27">
        <f t="shared" si="3"/>
        <v>4227.7659531504905</v>
      </c>
      <c r="S8" s="27">
        <f t="shared" si="3"/>
        <v>4439.7418099163624</v>
      </c>
      <c r="T8" s="27">
        <f t="shared" si="3"/>
        <v>4649.4838652837907</v>
      </c>
      <c r="U8" s="27">
        <f t="shared" si="3"/>
        <v>4856.9921171531441</v>
      </c>
      <c r="V8" s="27">
        <f t="shared" si="3"/>
        <v>5062.2665716037191</v>
      </c>
      <c r="W8" s="27">
        <f t="shared" si="3"/>
        <v>5266.5910552548521</v>
      </c>
      <c r="X8" s="27">
        <f t="shared" si="3"/>
        <v>5469.9655795319595</v>
      </c>
      <c r="Y8" s="27">
        <f t="shared" si="3"/>
        <v>5611.9701633481236</v>
      </c>
      <c r="Z8" s="27">
        <f t="shared" si="3"/>
        <v>5779.4888362008851</v>
      </c>
      <c r="AA8" s="27">
        <f t="shared" si="3"/>
        <v>5947.540279529775</v>
      </c>
      <c r="AB8" s="27">
        <f t="shared" si="3"/>
        <v>6116.1245441074088</v>
      </c>
      <c r="AC8" s="27">
        <f t="shared" si="3"/>
        <v>6285.241685226003</v>
      </c>
      <c r="AD8" s="27">
        <f t="shared" si="3"/>
        <v>6454.8917622453055</v>
      </c>
      <c r="AE8" s="27">
        <f t="shared" si="3"/>
        <v>6625.0748381229278</v>
      </c>
      <c r="AF8" s="27">
        <f t="shared" si="3"/>
        <v>6795.7909789306323</v>
      </c>
      <c r="AG8" s="27">
        <f t="shared" si="3"/>
        <v>6967.0402533601055</v>
      </c>
      <c r="AH8" s="27">
        <f t="shared" si="3"/>
        <v>7138.8227322218236</v>
      </c>
      <c r="AI8" s="27">
        <f t="shared" si="3"/>
        <v>7311.138487940425</v>
      </c>
      <c r="AJ8" s="27">
        <f t="shared" si="3"/>
        <v>7483.9875940501315</v>
      </c>
      <c r="AK8" s="27">
        <f t="shared" si="3"/>
        <v>7657.3701246935525</v>
      </c>
      <c r="AL8" s="27">
        <f t="shared" si="3"/>
        <v>7831.2861541271186</v>
      </c>
      <c r="AM8" s="27">
        <f t="shared" si="3"/>
        <v>8005.7357562363231</v>
      </c>
      <c r="AN8" s="27">
        <f t="shared" si="3"/>
        <v>8180.7190040637724</v>
      </c>
      <c r="AO8" s="27">
        <f t="shared" si="3"/>
        <v>8356.2359693528851</v>
      </c>
      <c r="AP8" s="27">
        <f>AP9+AP10</f>
        <v>8532.2867221098932</v>
      </c>
    </row>
    <row r="9" spans="1:42" x14ac:dyDescent="0.25">
      <c r="A9" s="1" t="s">
        <v>26</v>
      </c>
      <c r="B9" s="52"/>
      <c r="C9" s="13"/>
      <c r="D9" s="13"/>
      <c r="E9" s="26">
        <f>'Données capacités de production'!B10</f>
        <v>899.15056436629607</v>
      </c>
      <c r="F9" s="26">
        <f>'Données capacités de production'!C10</f>
        <v>1067.2686264736244</v>
      </c>
      <c r="G9" s="26">
        <f>'Données capacités de production'!D10</f>
        <v>1236.0560752472697</v>
      </c>
      <c r="H9" s="26">
        <f>'Données capacités de production'!E10</f>
        <v>1403.2649632642294</v>
      </c>
      <c r="I9" s="26">
        <f>'Données capacités de production'!F10</f>
        <v>1568.8952232886845</v>
      </c>
      <c r="J9" s="26">
        <f>'Données capacités de production'!G10</f>
        <v>1732.9467922855492</v>
      </c>
      <c r="K9" s="26">
        <f>'Données capacités de production'!H10</f>
        <v>1895.4196118042607</v>
      </c>
      <c r="L9" s="26">
        <f>'Données capacités de production'!I10</f>
        <v>2056.313628319765</v>
      </c>
      <c r="M9" s="26">
        <f>'Données capacités de production'!J10</f>
        <v>2215.6287935289365</v>
      </c>
      <c r="N9" s="26">
        <f>'Données capacités de production'!K10</f>
        <v>2373.3650646010528</v>
      </c>
      <c r="O9" s="26">
        <f>'Données capacités de production'!L10</f>
        <v>2529.5224043813241</v>
      </c>
      <c r="P9" s="26">
        <f>'Données capacités de production'!M10</f>
        <v>2684.1007815468611</v>
      </c>
      <c r="Q9" s="26">
        <f>'Données capacités de production'!N10</f>
        <v>2837.1001707148453</v>
      </c>
      <c r="R9" s="26">
        <f>'Données capacités de production'!O10</f>
        <v>2988.5205525030465</v>
      </c>
      <c r="S9" s="26">
        <f>'Données capacités de production'!P10</f>
        <v>3138.36191354319</v>
      </c>
      <c r="T9" s="26">
        <f>'Données capacités de production'!Q10</f>
        <v>3286.624246448041</v>
      </c>
      <c r="U9" s="26">
        <f>'Données capacités de production'!R10</f>
        <v>3433.3075497334121</v>
      </c>
      <c r="V9" s="26">
        <f>'Données capacités de production'!S10</f>
        <v>3578.4118276966337</v>
      </c>
      <c r="W9" s="26">
        <f>'Données capacités de production'!T10</f>
        <v>3722.8445908953513</v>
      </c>
      <c r="X9" s="26">
        <f>'Données capacités de production'!U10</f>
        <v>3866.605847405955</v>
      </c>
      <c r="Y9" s="26">
        <f>'Données capacités de production'!V10</f>
        <v>3966.9859587903143</v>
      </c>
      <c r="Z9" s="26">
        <f>'Données capacités de production'!W10</f>
        <v>4085.4014534738471</v>
      </c>
      <c r="AA9" s="26">
        <f>'Données capacités de production'!X10</f>
        <v>4204.1935526182979</v>
      </c>
      <c r="AB9" s="26">
        <f>'Données capacités de production'!Y10</f>
        <v>4323.362292113783</v>
      </c>
      <c r="AC9" s="26">
        <f>'Données capacités de production'!Z10</f>
        <v>4442.9077110452281</v>
      </c>
      <c r="AD9" s="26">
        <f>'Données capacités de production'!AA10</f>
        <v>4562.8298513728159</v>
      </c>
      <c r="AE9" s="26">
        <f>'Données capacités de production'!AB10</f>
        <v>4683.1287575999822</v>
      </c>
      <c r="AF9" s="26">
        <f>'Données capacités de production'!AC10</f>
        <v>4803.8044764314945</v>
      </c>
      <c r="AG9" s="26">
        <f>'Données capacités de production'!AD10</f>
        <v>4924.857056424089</v>
      </c>
      <c r="AH9" s="26">
        <f>'Données capacités de production'!AE10</f>
        <v>5046.2865476322295</v>
      </c>
      <c r="AI9" s="26">
        <f>'Données capacités de production'!AF10</f>
        <v>5168.0930012514</v>
      </c>
      <c r="AJ9" s="26">
        <f>'Données capacités de production'!AG10</f>
        <v>5290.2764692614255</v>
      </c>
      <c r="AK9" s="26">
        <f>'Données capacités de production'!AH10</f>
        <v>5412.8370040721875</v>
      </c>
      <c r="AL9" s="26">
        <f>'Données capacités de production'!AI10</f>
        <v>5535.7746581740239</v>
      </c>
      <c r="AM9" s="26">
        <f>'Données capacités de production'!AJ10</f>
        <v>5659.0894837950673</v>
      </c>
      <c r="AN9" s="26">
        <f>'Données capacités de production'!AK10</f>
        <v>5782.7815325676293</v>
      </c>
      <c r="AO9" s="26">
        <f>'Données capacités de production'!AL10</f>
        <v>5906.8508552056519</v>
      </c>
      <c r="AP9" s="26">
        <f>'Données capacités de production'!AM10</f>
        <v>6031.2975011950975</v>
      </c>
    </row>
    <row r="10" spans="1:42" x14ac:dyDescent="0.25">
      <c r="A10" s="1" t="s">
        <v>25</v>
      </c>
      <c r="B10" s="52"/>
      <c r="C10" s="13"/>
      <c r="D10" s="13"/>
      <c r="E10" s="26">
        <f>'Données capacités de production'!B9</f>
        <v>372.84943563370399</v>
      </c>
      <c r="F10" s="26">
        <f>'Données capacités de production'!C9</f>
        <v>442.56270397906388</v>
      </c>
      <c r="G10" s="26">
        <f>'Données capacités de production'!D9</f>
        <v>512.55354590403101</v>
      </c>
      <c r="H10" s="26">
        <f>'Données capacités de production'!E9</f>
        <v>581.88980837304393</v>
      </c>
      <c r="I10" s="26">
        <f>'Données capacités de production'!F9</f>
        <v>650.57146350552512</v>
      </c>
      <c r="J10" s="26">
        <f>'Données capacités de production'!G9</f>
        <v>718.59848516280852</v>
      </c>
      <c r="K10" s="26">
        <f>'Données capacités de production'!H9</f>
        <v>785.97084910728586</v>
      </c>
      <c r="L10" s="26">
        <f>'Données capacités de production'!I9</f>
        <v>852.68853314380192</v>
      </c>
      <c r="M10" s="26">
        <f>'Données capacités de production'!J9</f>
        <v>918.75151724257103</v>
      </c>
      <c r="N10" s="26">
        <f>'Données capacités de production'!K9</f>
        <v>984.1597836430409</v>
      </c>
      <c r="O10" s="26">
        <f>'Données capacités de production'!L9</f>
        <v>1048.9133169382897</v>
      </c>
      <c r="P10" s="26">
        <f>'Données capacités de production'!M9</f>
        <v>1113.012104139701</v>
      </c>
      <c r="Q10" s="26">
        <f>'Données capacités de production'!N9</f>
        <v>1176.4561347218194</v>
      </c>
      <c r="R10" s="26">
        <f>'Données capacités de production'!O9</f>
        <v>1239.2454006474441</v>
      </c>
      <c r="S10" s="26">
        <f>'Données capacités de production'!P9</f>
        <v>1301.3798963731724</v>
      </c>
      <c r="T10" s="26">
        <f>'Données capacités de production'!Q9</f>
        <v>1362.8596188357499</v>
      </c>
      <c r="U10" s="26">
        <f>'Données capacités de production'!R9</f>
        <v>1423.6845674197318</v>
      </c>
      <c r="V10" s="26">
        <f>'Données capacités de production'!S9</f>
        <v>1483.8547439070851</v>
      </c>
      <c r="W10" s="26">
        <f>'Données capacités de production'!T9</f>
        <v>1543.7464643595008</v>
      </c>
      <c r="X10" s="26">
        <f>'Données capacités de production'!U9</f>
        <v>1603.3597321260045</v>
      </c>
      <c r="Y10" s="26">
        <f>'Données capacités de production'!V9</f>
        <v>1644.9842045578093</v>
      </c>
      <c r="Z10" s="26">
        <f>'Données capacités de production'!W9</f>
        <v>1694.0873827270382</v>
      </c>
      <c r="AA10" s="26">
        <f>'Données capacités de production'!X9</f>
        <v>1743.3467269114769</v>
      </c>
      <c r="AB10" s="26">
        <f>'Données capacités de production'!Y9</f>
        <v>1792.762251993626</v>
      </c>
      <c r="AC10" s="26">
        <f>'Données capacités de production'!Z9</f>
        <v>1842.3339741807749</v>
      </c>
      <c r="AD10" s="26">
        <f>'Données capacités de production'!AA9</f>
        <v>1892.0619108724898</v>
      </c>
      <c r="AE10" s="26">
        <f>'Données capacités de production'!AB9</f>
        <v>1941.9460805229453</v>
      </c>
      <c r="AF10" s="26">
        <f>'Données capacités de production'!AC9</f>
        <v>1991.9865024991373</v>
      </c>
      <c r="AG10" s="26">
        <f>'Données capacités de production'!AD9</f>
        <v>2042.1831969360167</v>
      </c>
      <c r="AH10" s="26">
        <f>'Données capacités de production'!AE9</f>
        <v>2092.5361845895941</v>
      </c>
      <c r="AI10" s="26">
        <f>'Données capacités de production'!AF9</f>
        <v>2143.0454866890245</v>
      </c>
      <c r="AJ10" s="26">
        <f>'Données capacités de production'!AG9</f>
        <v>2193.7111247887055</v>
      </c>
      <c r="AK10" s="26">
        <f>'Données capacités de production'!AH9</f>
        <v>2244.5331206213655</v>
      </c>
      <c r="AL10" s="26">
        <f>'Données capacités de production'!AI9</f>
        <v>2295.5114959530947</v>
      </c>
      <c r="AM10" s="26">
        <f>'Données capacités de production'!AJ9</f>
        <v>2346.6462724412554</v>
      </c>
      <c r="AN10" s="26">
        <f>'Données capacités de production'!AK9</f>
        <v>2397.9374714961436</v>
      </c>
      <c r="AO10" s="26">
        <f>'Données capacités de production'!AL9</f>
        <v>2449.3851141472333</v>
      </c>
      <c r="AP10" s="26">
        <f>'Données capacités de production'!AM9</f>
        <v>2500.9892209147956</v>
      </c>
    </row>
    <row r="11" spans="1:42" x14ac:dyDescent="0.25">
      <c r="A11" s="1"/>
      <c r="B11" s="5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52"/>
      <c r="AI11" s="52"/>
      <c r="AJ11" s="52"/>
      <c r="AK11" s="52"/>
      <c r="AL11" s="52"/>
      <c r="AM11" s="52"/>
      <c r="AN11" s="52"/>
      <c r="AO11" s="1"/>
      <c r="AP11" s="13"/>
    </row>
    <row r="12" spans="1:42" x14ac:dyDescent="0.25">
      <c r="A12" s="16" t="s">
        <v>162</v>
      </c>
      <c r="B12" s="53"/>
      <c r="C12" s="27"/>
      <c r="D12" s="27"/>
      <c r="E12" s="27">
        <f t="shared" ref="E12" si="4">E13+E14</f>
        <v>0</v>
      </c>
      <c r="F12" s="27">
        <f t="shared" ref="F12" si="5">F13+F14</f>
        <v>0</v>
      </c>
      <c r="G12" s="27">
        <f t="shared" ref="G12" si="6">G13+G14</f>
        <v>0</v>
      </c>
      <c r="H12" s="27">
        <f t="shared" ref="H12" si="7">H13+H14</f>
        <v>0</v>
      </c>
      <c r="I12" s="27">
        <f t="shared" ref="I12" si="8">I13+I14</f>
        <v>0</v>
      </c>
      <c r="J12" s="27">
        <f t="shared" ref="J12" si="9">J13+J14</f>
        <v>722.69501378359291</v>
      </c>
      <c r="K12" s="27">
        <f t="shared" ref="K12" si="10">K13+K14</f>
        <v>1427.9157634109904</v>
      </c>
      <c r="L12" s="27">
        <f t="shared" ref="L12" si="11">L13+L14</f>
        <v>2115.6630564713396</v>
      </c>
      <c r="M12" s="27">
        <f t="shared" ref="M12" si="12">M13+M14</f>
        <v>2785.9377147893006</v>
      </c>
      <c r="N12" s="27">
        <f t="shared" ref="N12" si="13">N13+N14</f>
        <v>3438.7405461964072</v>
      </c>
      <c r="O12" s="27">
        <f t="shared" ref="O12" si="14">O13+O14</f>
        <v>4074.0723177279974</v>
      </c>
      <c r="P12" s="27">
        <f t="shared" ref="P12" si="15">P13+P14</f>
        <v>4444.8002046464335</v>
      </c>
      <c r="Q12" s="27">
        <f t="shared" ref="Q12" si="16">Q13+Q14</f>
        <v>4805.0485997518526</v>
      </c>
      <c r="R12" s="27">
        <f t="shared" ref="R12" si="17">R13+R14</f>
        <v>5154.8177701322602</v>
      </c>
      <c r="S12" s="27">
        <f t="shared" ref="S12" si="18">S13+S14</f>
        <v>5494.107881765618</v>
      </c>
      <c r="T12" s="27">
        <f t="shared" ref="T12" si="19">T13+T14</f>
        <v>5822.9189958961442</v>
      </c>
      <c r="U12" s="27">
        <f t="shared" ref="U12" si="20">U13+U14</f>
        <v>6141.2510684030331</v>
      </c>
      <c r="V12" s="27">
        <f t="shared" ref="V12" si="21">V13+V14</f>
        <v>6449.1039521356679</v>
      </c>
      <c r="W12" s="27">
        <f t="shared" ref="W12" si="22">W13+W14</f>
        <v>6754.509671766903</v>
      </c>
      <c r="X12" s="27">
        <f t="shared" ref="X12" si="23">X13+X14</f>
        <v>7057.4691230573289</v>
      </c>
      <c r="Y12" s="27">
        <f t="shared" ref="Y12" si="24">Y13+Y14</f>
        <v>7357.9836107879746</v>
      </c>
      <c r="Z12" s="27">
        <f t="shared" ref="Z12" si="25">Z13+Z14</f>
        <v>7656.0548056275402</v>
      </c>
      <c r="AA12" s="27">
        <f t="shared" ref="AA12" si="26">AA13+AA14</f>
        <v>7951.684692814455</v>
      </c>
      <c r="AB12" s="27">
        <f t="shared" ref="AB12" si="27">AB13+AB14</f>
        <v>8244.8755141270794</v>
      </c>
      <c r="AC12" s="27">
        <f t="shared" ref="AC12" si="28">AC13+AC14</f>
        <v>8535.6297047454536</v>
      </c>
      <c r="AD12" s="27">
        <f t="shared" ref="AD12" si="29">AD13+AD14</f>
        <v>8823.9498266952469</v>
      </c>
      <c r="AE12" s="27">
        <f t="shared" ref="AE12" si="30">AE13+AE14</f>
        <v>9109.8385006083463</v>
      </c>
      <c r="AF12" s="27">
        <f t="shared" ref="AF12" si="31">AF13+AF14</f>
        <v>9393.2983375344356</v>
      </c>
      <c r="AG12" s="27">
        <f t="shared" ref="AG12" si="32">AG13+AG14</f>
        <v>9674.3318724952696</v>
      </c>
      <c r="AH12" s="53">
        <f t="shared" ref="AH12" si="33">AH13+AH14</f>
        <v>9952.9415013899961</v>
      </c>
      <c r="AI12" s="53">
        <f t="shared" ref="AI12" si="34">AI13+AI14</f>
        <v>10229.129422739154</v>
      </c>
      <c r="AJ12" s="53">
        <f t="shared" ref="AJ12" si="35">AJ13+AJ14</f>
        <v>10502.897585600378</v>
      </c>
      <c r="AK12" s="53">
        <f t="shared" ref="AK12" si="36">AK13+AK14</f>
        <v>10774.247644805309</v>
      </c>
      <c r="AL12" s="53">
        <f t="shared" ref="AL12" si="37">AL13+AL14</f>
        <v>11043.180924459706</v>
      </c>
      <c r="AM12" s="53">
        <f t="shared" ref="AM12" si="38">AM13+AM14</f>
        <v>11309.698390423146</v>
      </c>
      <c r="AN12" s="53">
        <f t="shared" ref="AN12" si="39">AN13+AN14</f>
        <v>11291.195327375608</v>
      </c>
      <c r="AO12" s="27">
        <f t="shared" ref="AO12" si="40">AO13+AO14</f>
        <v>11283.726920283116</v>
      </c>
      <c r="AP12" s="27">
        <f>AP13+AP14</f>
        <v>11287.292183065059</v>
      </c>
    </row>
    <row r="13" spans="1:42" x14ac:dyDescent="0.25">
      <c r="A13" s="1" t="s">
        <v>26</v>
      </c>
      <c r="B13" s="52"/>
      <c r="C13" s="25"/>
      <c r="D13" s="25"/>
      <c r="E13" s="22">
        <f>'Données capacités de production'!B21</f>
        <v>0</v>
      </c>
      <c r="F13" s="22">
        <f>'Données capacités de production'!C21</f>
        <v>0</v>
      </c>
      <c r="G13" s="22">
        <f>'Données capacités de production'!D21</f>
        <v>0</v>
      </c>
      <c r="H13" s="22">
        <f>'Données capacités de production'!E21</f>
        <v>0</v>
      </c>
      <c r="I13" s="22">
        <f>'Données capacités de production'!F21</f>
        <v>0</v>
      </c>
      <c r="J13" s="22">
        <f>'Données capacités de production'!G21</f>
        <v>418.69345396576972</v>
      </c>
      <c r="K13" s="22">
        <f>'Données capacités de production'!H21</f>
        <v>827.26319062959806</v>
      </c>
      <c r="L13" s="22">
        <f>'Données capacités de production'!I21</f>
        <v>1225.7096778683667</v>
      </c>
      <c r="M13" s="22">
        <f>'Données capacités de production'!J21</f>
        <v>1614.0333918063034</v>
      </c>
      <c r="N13" s="22">
        <f>'Données capacités de production'!K21</f>
        <v>1992.2348004607168</v>
      </c>
      <c r="O13" s="22">
        <f>'Données capacités de production'!L21</f>
        <v>2360.3143482136334</v>
      </c>
      <c r="P13" s="22">
        <f>'Données capacités de production'!M21</f>
        <v>2575.0955996334633</v>
      </c>
      <c r="Q13" s="22">
        <f>'Données capacités de production'!N21</f>
        <v>2783.8055560542771</v>
      </c>
      <c r="R13" s="22">
        <f>'Données capacités de production'!O21</f>
        <v>2986.4443722135475</v>
      </c>
      <c r="S13" s="22">
        <f>'Données capacités de production'!P21</f>
        <v>3183.0121442706281</v>
      </c>
      <c r="T13" s="22">
        <f>'Données capacités de production'!Q21</f>
        <v>3373.5089077073658</v>
      </c>
      <c r="U13" s="22">
        <f>'Données capacités de production'!R21</f>
        <v>3557.9346369623654</v>
      </c>
      <c r="V13" s="22">
        <f>'Données capacités de production'!S21</f>
        <v>3736.2892467838974</v>
      </c>
      <c r="W13" s="22">
        <f>'Données capacités de production'!T21</f>
        <v>3913.2260917523527</v>
      </c>
      <c r="X13" s="22">
        <f>'Données capacités de production'!U21</f>
        <v>4088.7456908267509</v>
      </c>
      <c r="Y13" s="22">
        <f>'Données capacités de production'!V21</f>
        <v>4262.8487999321569</v>
      </c>
      <c r="Z13" s="22">
        <f>'Données capacités de production'!W21</f>
        <v>4435.5363869707089</v>
      </c>
      <c r="AA13" s="22">
        <f>'Données capacités de production'!X21</f>
        <v>4606.8096020905587</v>
      </c>
      <c r="AB13" s="22">
        <f>'Données capacités de production'!Y21</f>
        <v>4776.6697440663029</v>
      </c>
      <c r="AC13" s="22">
        <f>'Données capacités de production'!Z21</f>
        <v>4945.1182237198273</v>
      </c>
      <c r="AD13" s="22">
        <f>'Données capacités de production'!AA21</f>
        <v>5112.1565253610497</v>
      </c>
      <c r="AE13" s="22">
        <f>'Données capacités de production'!AB21</f>
        <v>5277.7861672534073</v>
      </c>
      <c r="AF13" s="22">
        <f>'Données capacités de production'!AC21</f>
        <v>5442.0086621088885</v>
      </c>
      <c r="AG13" s="22">
        <f>'Données capacités de production'!AD21</f>
        <v>5604.8254785926893</v>
      </c>
      <c r="AH13" s="34">
        <f>'Données capacités de production'!AE21</f>
        <v>5766.2380047693059</v>
      </c>
      <c r="AI13" s="34">
        <f>'Données capacités de production'!AF21</f>
        <v>5926.2475143519086</v>
      </c>
      <c r="AJ13" s="34">
        <f>'Données capacités de production'!AG21</f>
        <v>6084.8551365273033</v>
      </c>
      <c r="AK13" s="34">
        <f>'Données capacités de production'!AH21</f>
        <v>6242.0618300224232</v>
      </c>
      <c r="AL13" s="34">
        <f>'Données capacités de production'!AI21</f>
        <v>6397.8683619581188</v>
      </c>
      <c r="AM13" s="34">
        <f>'Données capacités de production'!AJ21</f>
        <v>6552.2752919052682</v>
      </c>
      <c r="AN13" s="34">
        <f>'Données capacités de production'!AK21</f>
        <v>6541.5555398265024</v>
      </c>
      <c r="AO13" s="22">
        <f>'Données capacités de production'!AL21</f>
        <v>6537.2287171675125</v>
      </c>
      <c r="AP13" s="22">
        <f>'Données capacités de production'!AM21</f>
        <v>6539.2942526423631</v>
      </c>
    </row>
    <row r="14" spans="1:42" x14ac:dyDescent="0.25">
      <c r="A14" s="1" t="s">
        <v>25</v>
      </c>
      <c r="B14" s="52"/>
      <c r="C14" s="25"/>
      <c r="D14" s="25"/>
      <c r="E14" s="22">
        <f>'Données capacités de production'!B20</f>
        <v>0</v>
      </c>
      <c r="F14" s="22">
        <f>'Données capacités de production'!C20</f>
        <v>0</v>
      </c>
      <c r="G14" s="22">
        <f>'Données capacités de production'!D20</f>
        <v>0</v>
      </c>
      <c r="H14" s="22">
        <f>'Données capacités de production'!E20</f>
        <v>0</v>
      </c>
      <c r="I14" s="22">
        <f>'Données capacités de production'!F20</f>
        <v>0</v>
      </c>
      <c r="J14" s="22">
        <f>'Données capacités de production'!G20</f>
        <v>304.00155981782319</v>
      </c>
      <c r="K14" s="22">
        <f>'Données capacités de production'!H20</f>
        <v>600.65257278139234</v>
      </c>
      <c r="L14" s="22">
        <f>'Données capacités de production'!I20</f>
        <v>889.95337860297298</v>
      </c>
      <c r="M14" s="22">
        <f>'Données capacités de production'!J20</f>
        <v>1171.9043229829972</v>
      </c>
      <c r="N14" s="22">
        <f>'Données capacités de production'!K20</f>
        <v>1446.5057457356904</v>
      </c>
      <c r="O14" s="22">
        <f>'Données capacités de production'!L20</f>
        <v>1713.757969514364</v>
      </c>
      <c r="P14" s="22">
        <f>'Données capacités de production'!M20</f>
        <v>1869.7046050129702</v>
      </c>
      <c r="Q14" s="22">
        <f>'Données capacités de production'!N20</f>
        <v>2021.2430436975753</v>
      </c>
      <c r="R14" s="22">
        <f>'Données capacités de production'!O20</f>
        <v>2168.3733979187127</v>
      </c>
      <c r="S14" s="22">
        <f>'Données capacités de production'!P20</f>
        <v>2311.0957374949899</v>
      </c>
      <c r="T14" s="22">
        <f>'Données capacités de production'!Q20</f>
        <v>2449.4100881887784</v>
      </c>
      <c r="U14" s="22">
        <f>'Données capacités de production'!R20</f>
        <v>2583.3164314406677</v>
      </c>
      <c r="V14" s="22">
        <f>'Données capacités de production'!S20</f>
        <v>2712.8147053517705</v>
      </c>
      <c r="W14" s="22">
        <f>'Données capacités de production'!T20</f>
        <v>2841.2835800145504</v>
      </c>
      <c r="X14" s="22">
        <f>'Données capacités de production'!U20</f>
        <v>2968.7234322305781</v>
      </c>
      <c r="Y14" s="22">
        <f>'Données capacités de production'!V20</f>
        <v>3095.1348108558172</v>
      </c>
      <c r="Z14" s="22">
        <f>'Données capacités de production'!W20</f>
        <v>3220.5184186568317</v>
      </c>
      <c r="AA14" s="22">
        <f>'Données capacités de production'!X20</f>
        <v>3344.8750907238964</v>
      </c>
      <c r="AB14" s="22">
        <f>'Données capacités de production'!Y20</f>
        <v>3468.2057700607766</v>
      </c>
      <c r="AC14" s="22">
        <f>'Données capacités de production'!Z20</f>
        <v>3590.5114810256264</v>
      </c>
      <c r="AD14" s="22">
        <f>'Données capacités de production'!AA20</f>
        <v>3711.7933013341976</v>
      </c>
      <c r="AE14" s="22">
        <f>'Données capacités de production'!AB20</f>
        <v>3832.052333354939</v>
      </c>
      <c r="AF14" s="22">
        <f>'Données capacités de production'!AC20</f>
        <v>3951.2896754255471</v>
      </c>
      <c r="AG14" s="22">
        <f>'Données capacités de production'!AD20</f>
        <v>4069.5063939025799</v>
      </c>
      <c r="AH14" s="34">
        <f>'Données capacités de production'!AE20</f>
        <v>4186.7034966206902</v>
      </c>
      <c r="AI14" s="34">
        <f>'Données capacités de production'!AF20</f>
        <v>4302.8819083872449</v>
      </c>
      <c r="AJ14" s="34">
        <f>'Données capacités de production'!AG20</f>
        <v>4418.0424490730747</v>
      </c>
      <c r="AK14" s="34">
        <f>'Données capacités de production'!AH20</f>
        <v>4532.1858147828862</v>
      </c>
      <c r="AL14" s="34">
        <f>'Données capacités de production'!AI20</f>
        <v>4645.3125625015873</v>
      </c>
      <c r="AM14" s="34">
        <f>'Données capacités de production'!AJ20</f>
        <v>4757.4230985178774</v>
      </c>
      <c r="AN14" s="34">
        <f>'Données capacités de production'!AK20</f>
        <v>4749.6397875491057</v>
      </c>
      <c r="AO14" s="22">
        <f>'Données capacités de production'!AL20</f>
        <v>4746.4982031156032</v>
      </c>
      <c r="AP14" s="22">
        <f>'Données capacités de production'!AM20</f>
        <v>4747.9979304226963</v>
      </c>
    </row>
    <row r="15" spans="1:42" x14ac:dyDescent="0.25">
      <c r="A15" s="1"/>
      <c r="B15" s="5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52"/>
      <c r="AI15" s="52"/>
      <c r="AJ15" s="52"/>
      <c r="AK15" s="52"/>
      <c r="AL15" s="52"/>
      <c r="AM15" s="52"/>
      <c r="AN15" s="52"/>
      <c r="AO15" s="1"/>
      <c r="AP15" s="13"/>
    </row>
    <row r="17" spans="1:43" x14ac:dyDescent="0.25">
      <c r="A17" s="40" t="s">
        <v>120</v>
      </c>
      <c r="B17" s="40"/>
      <c r="C17" s="40"/>
      <c r="D17" s="40"/>
      <c r="E17" s="61">
        <f>E18+E19</f>
        <v>825.56192536506228</v>
      </c>
      <c r="F17" s="61">
        <f t="shared" ref="F17:AP17" si="41">F18+F19</f>
        <v>1378.3142471151803</v>
      </c>
      <c r="G17" s="61">
        <f t="shared" si="41"/>
        <v>1920.2511187422499</v>
      </c>
      <c r="H17" s="61">
        <f t="shared" si="41"/>
        <v>2451.3727847979148</v>
      </c>
      <c r="I17" s="61">
        <f t="shared" si="41"/>
        <v>2971.6794669590008</v>
      </c>
      <c r="J17" s="61">
        <f t="shared" si="41"/>
        <v>3481.1713628928173</v>
      </c>
      <c r="K17" s="61">
        <f t="shared" si="41"/>
        <v>3979.8486453717505</v>
      </c>
      <c r="L17" s="61">
        <f t="shared" si="41"/>
        <v>4467.711461638617</v>
      </c>
      <c r="M17" s="61">
        <f t="shared" si="41"/>
        <v>4944.7599330219855</v>
      </c>
      <c r="N17" s="61">
        <f t="shared" si="41"/>
        <v>5410.9941547984454</v>
      </c>
      <c r="O17" s="61">
        <f t="shared" si="41"/>
        <v>5866.4141962967151</v>
      </c>
      <c r="P17" s="61">
        <f t="shared" si="41"/>
        <v>6311.0201012363295</v>
      </c>
      <c r="Q17" s="61">
        <f t="shared" si="41"/>
        <v>6744.8118882918243</v>
      </c>
      <c r="R17" s="61">
        <f t="shared" si="41"/>
        <v>7167.7895518713576</v>
      </c>
      <c r="S17" s="61">
        <f t="shared" si="41"/>
        <v>7579.9530630971358</v>
      </c>
      <c r="T17" s="61">
        <f t="shared" si="41"/>
        <v>7981.3023709733679</v>
      </c>
      <c r="U17" s="61">
        <f t="shared" si="41"/>
        <v>8371.8374037261092</v>
      </c>
      <c r="V17" s="61">
        <f t="shared" si="41"/>
        <v>8751.5580702981242</v>
      </c>
      <c r="W17" s="61">
        <f t="shared" si="41"/>
        <v>9123.7989790283427</v>
      </c>
      <c r="X17" s="61">
        <f t="shared" si="41"/>
        <v>9488.5600412450422</v>
      </c>
      <c r="Y17" s="61">
        <f t="shared" si="41"/>
        <v>9845.8411536433832</v>
      </c>
      <c r="Z17" s="61">
        <f t="shared" si="41"/>
        <v>10195.642199707245</v>
      </c>
      <c r="AA17" s="61">
        <f t="shared" si="41"/>
        <v>10537.963051205534</v>
      </c>
      <c r="AB17" s="61">
        <f t="shared" si="41"/>
        <v>10872.803569747641</v>
      </c>
      <c r="AC17" s="61">
        <f t="shared" si="41"/>
        <v>11200.163608382658</v>
      </c>
      <c r="AD17" s="61">
        <f t="shared" si="41"/>
        <v>11520.043013226794</v>
      </c>
      <c r="AE17" s="61">
        <f t="shared" si="41"/>
        <v>11605.956682720505</v>
      </c>
      <c r="AF17" s="61">
        <f t="shared" si="41"/>
        <v>11688.13778415076</v>
      </c>
      <c r="AG17" s="61">
        <f t="shared" si="41"/>
        <v>11766.586049115542</v>
      </c>
      <c r="AH17" s="61">
        <f t="shared" si="41"/>
        <v>11841.301216641503</v>
      </c>
      <c r="AI17" s="61">
        <f t="shared" si="41"/>
        <v>11912.283035268143</v>
      </c>
      <c r="AJ17" s="61">
        <f t="shared" si="41"/>
        <v>11979.531264988142</v>
      </c>
      <c r="AK17" s="61">
        <f t="shared" si="41"/>
        <v>12043.045679029949</v>
      </c>
      <c r="AL17" s="61">
        <f t="shared" si="41"/>
        <v>12102.826065470332</v>
      </c>
      <c r="AM17" s="61">
        <f t="shared" si="41"/>
        <v>12158.872228666465</v>
      </c>
      <c r="AN17" s="61">
        <f t="shared" si="41"/>
        <v>12211.183990498854</v>
      </c>
      <c r="AO17" s="61">
        <f t="shared" si="41"/>
        <v>12259.761191418325</v>
      </c>
      <c r="AP17" s="61">
        <f t="shared" si="41"/>
        <v>12304.603691292168</v>
      </c>
    </row>
    <row r="18" spans="1:43" x14ac:dyDescent="0.25">
      <c r="A18" s="1" t="s">
        <v>26</v>
      </c>
      <c r="B18" s="52"/>
      <c r="C18" s="13"/>
      <c r="D18" s="13"/>
      <c r="E18" s="26">
        <f>'Données capacités de production'!B34</f>
        <v>726.59330801079659</v>
      </c>
      <c r="F18" s="26">
        <f>'Données capacités de production'!C34</f>
        <v>1213.0815115377068</v>
      </c>
      <c r="G18" s="26">
        <f>'Données capacités de production'!D34</f>
        <v>1690.0508244265145</v>
      </c>
      <c r="H18" s="26">
        <f>'Données capacités de production'!E34</f>
        <v>2157.501461911937</v>
      </c>
      <c r="I18" s="26">
        <f>'Données capacités de production'!F34</f>
        <v>2615.4336190961139</v>
      </c>
      <c r="J18" s="26">
        <f>'Données capacités de production'!G34</f>
        <v>3063.8474699499375</v>
      </c>
      <c r="K18" s="26">
        <f>'Données capacités de production'!H34</f>
        <v>3502.7431665337863</v>
      </c>
      <c r="L18" s="26">
        <f>'Données capacités de production'!I34</f>
        <v>3932.1208384389633</v>
      </c>
      <c r="M18" s="26">
        <f>'Données capacités de production'!J34</f>
        <v>4351.9805924491311</v>
      </c>
      <c r="N18" s="26">
        <f>'Données capacités de production'!K34</f>
        <v>4762.3225124190922</v>
      </c>
      <c r="O18" s="26">
        <f>'Données capacités de production'!L34</f>
        <v>5163.1466593664172</v>
      </c>
      <c r="P18" s="26">
        <f>'Données capacités de production'!M34</f>
        <v>5554.4530717695288</v>
      </c>
      <c r="Q18" s="26">
        <f>'Données capacités de production'!N34</f>
        <v>5936.241766064255</v>
      </c>
      <c r="R18" s="26">
        <f>'Données capacités de production'!O34</f>
        <v>6308.5127373291043</v>
      </c>
      <c r="S18" s="26">
        <f>'Données capacités de production'!P34</f>
        <v>6671.2659601481628</v>
      </c>
      <c r="T18" s="26">
        <f>'Données capacités de production'!Q34</f>
        <v>7024.5013896390301</v>
      </c>
      <c r="U18" s="26">
        <f>'Données capacités de production'!R34</f>
        <v>7368.2189626320442</v>
      </c>
      <c r="V18" s="26">
        <f>'Données capacités de production'!S34</f>
        <v>7702.4185989859388</v>
      </c>
      <c r="W18" s="26">
        <f>'Données capacités de production'!T34</f>
        <v>8030.0351531670613</v>
      </c>
      <c r="X18" s="26">
        <f>'Données capacités de production'!U34</f>
        <v>8351.0685471336819</v>
      </c>
      <c r="Y18" s="26">
        <f>'Données capacités de production'!V34</f>
        <v>8665.5186899651762</v>
      </c>
      <c r="Z18" s="26">
        <f>'Données capacités de production'!W34</f>
        <v>8973.3854791134127</v>
      </c>
      <c r="AA18" s="26">
        <f>'Données capacités de production'!X34</f>
        <v>9274.6688017196811</v>
      </c>
      <c r="AB18" s="26">
        <f>'Données capacités de production'!Y34</f>
        <v>9569.3685359836818</v>
      </c>
      <c r="AC18" s="26">
        <f>'Données capacités de production'!Z34</f>
        <v>9857.4845525710243</v>
      </c>
      <c r="AD18" s="26">
        <f>'Données capacités de production'!AA34</f>
        <v>10139.016716045557</v>
      </c>
      <c r="AE18" s="26">
        <f>'Données capacités de production'!AB34</f>
        <v>10214.631028434271</v>
      </c>
      <c r="AF18" s="26">
        <f>'Données capacités de production'!AC34</f>
        <v>10286.960234166203</v>
      </c>
      <c r="AG18" s="26">
        <f>'Données capacités de production'!AD34</f>
        <v>10356.004097015453</v>
      </c>
      <c r="AH18" s="26">
        <f>'Données capacités de production'!AE34</f>
        <v>10421.762387294239</v>
      </c>
      <c r="AI18" s="26">
        <f>'Données capacités de production'!AF34</f>
        <v>10484.234883687221</v>
      </c>
      <c r="AJ18" s="26">
        <f>'Données capacités de production'!AG34</f>
        <v>10543.421374959233</v>
      </c>
      <c r="AK18" s="26">
        <f>'Données capacités de production'!AH34</f>
        <v>10599.321661524164</v>
      </c>
      <c r="AL18" s="26">
        <f>'Données capacités de production'!AI34</f>
        <v>10651.935556864208</v>
      </c>
      <c r="AM18" s="26">
        <f>'Données capacités de production'!AJ34</f>
        <v>10701.262888790257</v>
      </c>
      <c r="AN18" s="26">
        <f>'Données capacités de production'!AK34</f>
        <v>10747.30350053584</v>
      </c>
      <c r="AO18" s="26">
        <f>'Données capacités de production'!AL34</f>
        <v>10790.057251678585</v>
      </c>
      <c r="AP18" s="26">
        <f>'Données capacités de production'!AM34</f>
        <v>10829.524018884935</v>
      </c>
    </row>
    <row r="19" spans="1:43" x14ac:dyDescent="0.25">
      <c r="A19" s="1" t="s">
        <v>25</v>
      </c>
      <c r="B19" s="52"/>
      <c r="C19" s="13"/>
      <c r="D19" s="13"/>
      <c r="E19" s="26">
        <f>'Données capacités de production'!B33</f>
        <v>98.968617354265746</v>
      </c>
      <c r="F19" s="26">
        <f>'Données capacités de production'!C33</f>
        <v>165.23273557747339</v>
      </c>
      <c r="G19" s="26">
        <f>'Données capacités de production'!D33</f>
        <v>230.20029431573531</v>
      </c>
      <c r="H19" s="26">
        <f>'Données capacités de production'!E33</f>
        <v>293.87132288597775</v>
      </c>
      <c r="I19" s="26">
        <f>'Données capacités de production'!F33</f>
        <v>356.24584786288665</v>
      </c>
      <c r="J19" s="26">
        <f>'Données capacités de production'!G33</f>
        <v>417.32389294287987</v>
      </c>
      <c r="K19" s="26">
        <f>'Données capacités de production'!H33</f>
        <v>477.10547883796414</v>
      </c>
      <c r="L19" s="26">
        <f>'Données capacités de production'!I33</f>
        <v>535.59062319965358</v>
      </c>
      <c r="M19" s="26">
        <f>'Données capacités de production'!J33</f>
        <v>592.77934057285427</v>
      </c>
      <c r="N19" s="26">
        <f>'Données capacités de production'!K33</f>
        <v>648.6716423793531</v>
      </c>
      <c r="O19" s="26">
        <f>'Données capacités de production'!L33</f>
        <v>703.26753693029821</v>
      </c>
      <c r="P19" s="26">
        <f>'Données capacités de production'!M33</f>
        <v>756.56702946680059</v>
      </c>
      <c r="Q19" s="26">
        <f>'Données capacités de production'!N33</f>
        <v>808.57012222756964</v>
      </c>
      <c r="R19" s="26">
        <f>'Données capacités de production'!O33</f>
        <v>859.27681454225342</v>
      </c>
      <c r="S19" s="26">
        <f>'Données capacités de production'!P33</f>
        <v>908.68710294897335</v>
      </c>
      <c r="T19" s="26">
        <f>'Données capacités de production'!Q33</f>
        <v>956.80098133433808</v>
      </c>
      <c r="U19" s="26">
        <f>'Données capacités de production'!R33</f>
        <v>1003.6184410940652</v>
      </c>
      <c r="V19" s="26">
        <f>'Données capacités de production'!S33</f>
        <v>1049.1394713121854</v>
      </c>
      <c r="W19" s="26">
        <f>'Données capacités de production'!T33</f>
        <v>1093.7638258612817</v>
      </c>
      <c r="X19" s="26">
        <f>'Données capacités de production'!U33</f>
        <v>1137.4914941113609</v>
      </c>
      <c r="Y19" s="26">
        <f>'Données capacités de production'!V33</f>
        <v>1180.322463678207</v>
      </c>
      <c r="Z19" s="26">
        <f>'Données capacités de production'!W33</f>
        <v>1222.2567205938317</v>
      </c>
      <c r="AA19" s="26">
        <f>'Données capacités de production'!X33</f>
        <v>1263.2942494858519</v>
      </c>
      <c r="AB19" s="26">
        <f>'Données capacités de production'!Y33</f>
        <v>1303.4350337639589</v>
      </c>
      <c r="AC19" s="26">
        <f>'Données capacités de production'!Z33</f>
        <v>1342.6790558116329</v>
      </c>
      <c r="AD19" s="26">
        <f>'Données capacités de production'!AA33</f>
        <v>1381.0262971812374</v>
      </c>
      <c r="AE19" s="26">
        <f>'Données capacités de production'!AB33</f>
        <v>1391.3256542862348</v>
      </c>
      <c r="AF19" s="26">
        <f>'Données capacités de production'!AC33</f>
        <v>1401.1775499845576</v>
      </c>
      <c r="AG19" s="26">
        <f>'Données capacités de production'!AD33</f>
        <v>1410.581952100089</v>
      </c>
      <c r="AH19" s="26">
        <f>'Données capacités de production'!AE33</f>
        <v>1419.5388293472645</v>
      </c>
      <c r="AI19" s="26">
        <f>'Données capacités de production'!AF33</f>
        <v>1428.0481515809217</v>
      </c>
      <c r="AJ19" s="26">
        <f>'Données capacités de production'!AG33</f>
        <v>1436.1098900289096</v>
      </c>
      <c r="AK19" s="26">
        <f>'Données capacités de production'!AH33</f>
        <v>1443.7240175057846</v>
      </c>
      <c r="AL19" s="26">
        <f>'Données capacités de production'!AI33</f>
        <v>1450.8905086061247</v>
      </c>
      <c r="AM19" s="26">
        <f>'Données capacités de production'!AJ33</f>
        <v>1457.609339876208</v>
      </c>
      <c r="AN19" s="26">
        <f>'Données capacités de production'!AK33</f>
        <v>1463.8804899630143</v>
      </c>
      <c r="AO19" s="26">
        <f>'Données capacités de production'!AL33</f>
        <v>1469.7039397397402</v>
      </c>
      <c r="AP19" s="26">
        <f>'Données capacités de production'!AM33</f>
        <v>1475.0796724072327</v>
      </c>
    </row>
    <row r="20" spans="1:43" x14ac:dyDescent="0.25">
      <c r="A20" s="1"/>
      <c r="B20" s="5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52"/>
      <c r="AI20" s="52"/>
      <c r="AJ20" s="52"/>
      <c r="AK20" s="52"/>
      <c r="AL20" s="52"/>
      <c r="AM20" s="52"/>
      <c r="AN20" s="52"/>
      <c r="AO20" s="52"/>
      <c r="AP20" s="13"/>
    </row>
    <row r="22" spans="1:43" x14ac:dyDescent="0.25">
      <c r="A22" s="40" t="s">
        <v>123</v>
      </c>
      <c r="B22" s="40"/>
      <c r="C22" s="40"/>
      <c r="D22" s="40"/>
      <c r="E22" s="61">
        <f t="shared" ref="E22:AP22" si="42">E23+E28+E32</f>
        <v>472.47128100000009</v>
      </c>
      <c r="F22" s="61">
        <f t="shared" si="42"/>
        <v>541.69687265571929</v>
      </c>
      <c r="G22" s="61">
        <f t="shared" si="42"/>
        <v>610.74531796089241</v>
      </c>
      <c r="H22" s="61">
        <f t="shared" si="42"/>
        <v>679.05411848151766</v>
      </c>
      <c r="I22" s="61">
        <f t="shared" si="42"/>
        <v>746.62327573787752</v>
      </c>
      <c r="J22" s="61">
        <f t="shared" si="42"/>
        <v>813.45279119393535</v>
      </c>
      <c r="K22" s="61">
        <f t="shared" si="42"/>
        <v>879.54266624720935</v>
      </c>
      <c r="L22" s="61">
        <f t="shared" si="42"/>
        <v>944.89290221920101</v>
      </c>
      <c r="M22" s="61">
        <f t="shared" si="42"/>
        <v>1009.5035003464361</v>
      </c>
      <c r="N22" s="61">
        <f t="shared" si="42"/>
        <v>1073.3744617721841</v>
      </c>
      <c r="O22" s="61">
        <f t="shared" si="42"/>
        <v>1136.5057875389048</v>
      </c>
      <c r="P22" s="61">
        <f t="shared" si="42"/>
        <v>1198.8974785814769</v>
      </c>
      <c r="Q22" s="61">
        <f t="shared" si="42"/>
        <v>1260.5495357212462</v>
      </c>
      <c r="R22" s="61">
        <f t="shared" si="42"/>
        <v>1321.4619596609386</v>
      </c>
      <c r="S22" s="61">
        <f t="shared" si="42"/>
        <v>1381.6347509804541</v>
      </c>
      <c r="T22" s="61">
        <f t="shared" si="42"/>
        <v>1441.0679101335827</v>
      </c>
      <c r="U22" s="61">
        <f t="shared" si="42"/>
        <v>1499.7614374456471</v>
      </c>
      <c r="V22" s="61">
        <f t="shared" si="42"/>
        <v>1557.7153331120853</v>
      </c>
      <c r="W22" s="61">
        <f t="shared" si="42"/>
        <v>1615.0405446342556</v>
      </c>
      <c r="X22" s="61">
        <f t="shared" si="42"/>
        <v>1671.7370719473513</v>
      </c>
      <c r="Y22" s="61">
        <f t="shared" si="42"/>
        <v>1717.1174148580801</v>
      </c>
      <c r="Z22" s="61">
        <f t="shared" si="42"/>
        <v>1762.1448712861156</v>
      </c>
      <c r="AA22" s="61">
        <f t="shared" si="42"/>
        <v>1806.8420899862235</v>
      </c>
      <c r="AB22" s="61">
        <f t="shared" si="42"/>
        <v>1851.2090703970916</v>
      </c>
      <c r="AC22" s="61">
        <f t="shared" si="42"/>
        <v>1895.2458118433951</v>
      </c>
      <c r="AD22" s="61">
        <f t="shared" si="42"/>
        <v>1938.9523135414793</v>
      </c>
      <c r="AE22" s="61">
        <f t="shared" si="42"/>
        <v>1982.3285746057704</v>
      </c>
      <c r="AF22" s="61">
        <f t="shared" si="42"/>
        <v>2025.3745940558792</v>
      </c>
      <c r="AG22" s="61">
        <f t="shared" si="42"/>
        <v>2068.0903708243331</v>
      </c>
      <c r="AH22" s="61">
        <f t="shared" si="42"/>
        <v>2110.475903764881</v>
      </c>
      <c r="AI22" s="61">
        <f t="shared" si="42"/>
        <v>2152.5311916613018</v>
      </c>
      <c r="AJ22" s="61">
        <f t="shared" si="42"/>
        <v>2194.2562332366583</v>
      </c>
      <c r="AK22" s="61">
        <f t="shared" si="42"/>
        <v>2235.6510271629118</v>
      </c>
      <c r="AL22" s="61">
        <f t="shared" si="42"/>
        <v>2276.7155720708447</v>
      </c>
      <c r="AM22" s="61">
        <f t="shared" si="42"/>
        <v>2317.4498665602064</v>
      </c>
      <c r="AN22" s="61">
        <f t="shared" si="42"/>
        <v>2357.8539092100013</v>
      </c>
      <c r="AO22" s="61">
        <f t="shared" si="42"/>
        <v>2397.9276985888628</v>
      </c>
      <c r="AP22" s="61">
        <f t="shared" si="42"/>
        <v>2437.6712332654188</v>
      </c>
    </row>
    <row r="23" spans="1:43" x14ac:dyDescent="0.25">
      <c r="A23" s="18" t="s">
        <v>125</v>
      </c>
      <c r="B23" s="27"/>
      <c r="C23" s="27"/>
      <c r="D23" s="27"/>
      <c r="E23" s="27">
        <f t="shared" ref="E23:AO23" si="43">E24+E25+E26</f>
        <v>119.28925890000002</v>
      </c>
      <c r="F23" s="27">
        <f t="shared" si="43"/>
        <v>160.15263184736671</v>
      </c>
      <c r="G23" s="27">
        <f t="shared" si="43"/>
        <v>201.01600801959049</v>
      </c>
      <c r="H23" s="27">
        <f t="shared" si="43"/>
        <v>241.87938898271324</v>
      </c>
      <c r="I23" s="27">
        <f t="shared" si="43"/>
        <v>282.74277625705741</v>
      </c>
      <c r="J23" s="27">
        <f t="shared" si="43"/>
        <v>323.60617130662092</v>
      </c>
      <c r="K23" s="27">
        <f t="shared" si="43"/>
        <v>364.46957552895242</v>
      </c>
      <c r="L23" s="27">
        <f t="shared" si="43"/>
        <v>405.33299024557851</v>
      </c>
      <c r="M23" s="27">
        <f t="shared" si="43"/>
        <v>446.19641669304593</v>
      </c>
      <c r="N23" s="27">
        <f t="shared" si="43"/>
        <v>487.05985601463942</v>
      </c>
      <c r="O23" s="27">
        <f t="shared" si="43"/>
        <v>527.92330925282988</v>
      </c>
      <c r="P23" s="27">
        <f t="shared" si="43"/>
        <v>568.78677734250186</v>
      </c>
      <c r="Q23" s="27">
        <f t="shared" si="43"/>
        <v>609.65026110500344</v>
      </c>
      <c r="R23" s="27">
        <f t="shared" si="43"/>
        <v>650.51376124305625</v>
      </c>
      <c r="S23" s="27">
        <f t="shared" si="43"/>
        <v>691.37727833655413</v>
      </c>
      <c r="T23" s="27">
        <f t="shared" si="43"/>
        <v>732.24081283927546</v>
      </c>
      <c r="U23" s="27">
        <f t="shared" si="43"/>
        <v>773.10436507652798</v>
      </c>
      <c r="V23" s="27">
        <f t="shared" si="43"/>
        <v>813.96793524373129</v>
      </c>
      <c r="W23" s="27">
        <f t="shared" si="43"/>
        <v>854.83152340594745</v>
      </c>
      <c r="X23" s="27">
        <f t="shared" si="43"/>
        <v>895.69512949834916</v>
      </c>
      <c r="Y23" s="27">
        <f t="shared" si="43"/>
        <v>936.55875332762048</v>
      </c>
      <c r="Z23" s="27">
        <f t="shared" si="43"/>
        <v>977.42239457427183</v>
      </c>
      <c r="AA23" s="27">
        <f t="shared" si="43"/>
        <v>1018.2860527958445</v>
      </c>
      <c r="AB23" s="27">
        <f t="shared" si="43"/>
        <v>1059.1497274309786</v>
      </c>
      <c r="AC23" s="27">
        <f t="shared" si="43"/>
        <v>1100.0134178043027</v>
      </c>
      <c r="AD23" s="27">
        <f t="shared" si="43"/>
        <v>1140.8771231321141</v>
      </c>
      <c r="AE23" s="27">
        <f t="shared" si="43"/>
        <v>1181.7408425287929</v>
      </c>
      <c r="AF23" s="27">
        <f t="shared" si="43"/>
        <v>1222.6045750139051</v>
      </c>
      <c r="AG23" s="27">
        <f t="shared" si="43"/>
        <v>1263.4683195199348</v>
      </c>
      <c r="AH23" s="27">
        <f t="shared" si="43"/>
        <v>1304.3320749005889</v>
      </c>
      <c r="AI23" s="27">
        <f t="shared" si="43"/>
        <v>1345.195839939608</v>
      </c>
      <c r="AJ23" s="27">
        <f t="shared" si="43"/>
        <v>1386.0596133600168</v>
      </c>
      <c r="AK23" s="27">
        <f t="shared" si="43"/>
        <v>1426.9233938337441</v>
      </c>
      <c r="AL23" s="27">
        <f t="shared" si="43"/>
        <v>1467.7871799915422</v>
      </c>
      <c r="AM23" s="27">
        <f t="shared" si="43"/>
        <v>1508.6509704331329</v>
      </c>
      <c r="AN23" s="27">
        <f t="shared" si="43"/>
        <v>1549.5147637374971</v>
      </c>
      <c r="AO23" s="27">
        <f t="shared" si="43"/>
        <v>1590.3785584732486</v>
      </c>
      <c r="AP23" s="27">
        <f>AP24+AP25+AP26</f>
        <v>1631.2423532089997</v>
      </c>
    </row>
    <row r="24" spans="1:43" x14ac:dyDescent="0.25">
      <c r="A24" s="1" t="s">
        <v>26</v>
      </c>
      <c r="B24" s="52"/>
      <c r="C24" s="13"/>
      <c r="D24" s="13"/>
      <c r="E24" s="26">
        <f>'Données capacités de production'!B48</f>
        <v>73.81430597906953</v>
      </c>
      <c r="F24" s="26">
        <f>'Données capacités de production'!C48</f>
        <v>99.099914607104665</v>
      </c>
      <c r="G24" s="26">
        <f>'Données capacités de production'!D48</f>
        <v>124.38552523063035</v>
      </c>
      <c r="H24" s="26">
        <f>'Données capacités de production'!E48</f>
        <v>149.67113881868849</v>
      </c>
      <c r="I24" s="26">
        <f>'Données capacités de production'!F48</f>
        <v>174.95675631203062</v>
      </c>
      <c r="J24" s="26">
        <f>'Données capacités de production'!G48</f>
        <v>200.24237861655544</v>
      </c>
      <c r="K24" s="26">
        <f>'Données capacités de production'!H48</f>
        <v>225.52800659704394</v>
      </c>
      <c r="L24" s="26">
        <f>'Données capacités de production'!I48</f>
        <v>250.81364107123593</v>
      </c>
      <c r="M24" s="26">
        <f>'Données capacités de production'!J48</f>
        <v>276.09928280428687</v>
      </c>
      <c r="N24" s="26">
        <f>'Données capacités de production'!K48</f>
        <v>301.38493250364343</v>
      </c>
      <c r="O24" s="26">
        <f>'Données capacités de production'!L48</f>
        <v>326.67059081436986</v>
      </c>
      <c r="P24" s="26">
        <f>'Données capacités de production'!M48</f>
        <v>351.95625831495818</v>
      </c>
      <c r="Q24" s="26">
        <f>'Données capacités de production'!N48</f>
        <v>377.24193551364544</v>
      </c>
      <c r="R24" s="26">
        <f>'Données capacités de production'!O48</f>
        <v>402.52762284526466</v>
      </c>
      <c r="S24" s="26">
        <f>'Données capacités de production'!P48</f>
        <v>427.81332066864502</v>
      </c>
      <c r="T24" s="26">
        <f>'Données capacités de production'!Q48</f>
        <v>453.0990292645775</v>
      </c>
      <c r="U24" s="26">
        <f>'Données capacités de production'!R48</f>
        <v>478.3847488343572</v>
      </c>
      <c r="V24" s="26">
        <f>'Données capacités de production'!S48</f>
        <v>503.67047949890673</v>
      </c>
      <c r="W24" s="26">
        <f>'Données capacités de production'!T48</f>
        <v>528.95622129848562</v>
      </c>
      <c r="X24" s="26">
        <f>'Données capacités de production'!U48</f>
        <v>554.24197419297946</v>
      </c>
      <c r="Y24" s="26">
        <f>'Données capacités de production'!V48</f>
        <v>579.52773806276764</v>
      </c>
      <c r="Z24" s="26">
        <f>'Données capacités de production'!W48</f>
        <v>604.81351271015501</v>
      </c>
      <c r="AA24" s="26">
        <f>'Données capacités de production'!X48</f>
        <v>630.09929786135513</v>
      </c>
      <c r="AB24" s="26">
        <f>'Données capacités de production'!Y48</f>
        <v>655.3850931690074</v>
      </c>
      <c r="AC24" s="26">
        <f>'Données capacités de production'!Z48</f>
        <v>680.67089821520244</v>
      </c>
      <c r="AD24" s="26">
        <f>'Données capacités de production'!AA48</f>
        <v>705.95671251499766</v>
      </c>
      <c r="AE24" s="26">
        <f>'Données capacités de production'!AB48</f>
        <v>731.24253552038556</v>
      </c>
      <c r="AF24" s="26">
        <f>'Données capacités de production'!AC48</f>
        <v>756.52836662468894</v>
      </c>
      <c r="AG24" s="26">
        <f>'Données capacités de production'!AD48</f>
        <v>781.81420516734579</v>
      </c>
      <c r="AH24" s="26">
        <f>'Données capacités de production'!AE48</f>
        <v>807.10005043904823</v>
      </c>
      <c r="AI24" s="26">
        <f>'Données capacités de production'!AF48</f>
        <v>832.38590168719418</v>
      </c>
      <c r="AJ24" s="26">
        <f>'Données capacités de production'!AG48</f>
        <v>857.67175812161133</v>
      </c>
      <c r="AK24" s="26">
        <f>'Données capacités de production'!AH48</f>
        <v>882.95761892051041</v>
      </c>
      <c r="AL24" s="26">
        <f>'Données capacités de production'!AI48</f>
        <v>908.24348323662252</v>
      </c>
      <c r="AM24" s="26">
        <f>'Données capacités de production'!AJ48</f>
        <v>933.52935020347775</v>
      </c>
      <c r="AN24" s="26">
        <f>'Données capacités de production'!AK48</f>
        <v>958.81521894177206</v>
      </c>
      <c r="AO24" s="26">
        <f>'Données capacités de production'!AL48</f>
        <v>984.10108856578609</v>
      </c>
      <c r="AP24" s="26">
        <f>'Données capacités de production'!AM48</f>
        <v>1009.3869581897998</v>
      </c>
    </row>
    <row r="25" spans="1:43" x14ac:dyDescent="0.25">
      <c r="A25" s="1" t="s">
        <v>25</v>
      </c>
      <c r="B25" s="52"/>
      <c r="C25" s="13"/>
      <c r="D25" s="13"/>
      <c r="E25" s="26">
        <f>'Données capacités de production'!B47</f>
        <v>18.208836600930482</v>
      </c>
      <c r="F25" s="26">
        <f>'Données capacités de production'!C47</f>
        <v>24.446401389435369</v>
      </c>
      <c r="G25" s="26">
        <f>'Données capacités de production'!D47</f>
        <v>30.683966670196611</v>
      </c>
      <c r="H25" s="26">
        <f>'Données capacités de production'!E47</f>
        <v>36.92153268226172</v>
      </c>
      <c r="I25" s="26">
        <f>'Données capacités de production'!F47</f>
        <v>43.159099657699393</v>
      </c>
      <c r="J25" s="26">
        <f>'Données capacités de production'!G47</f>
        <v>49.396667819980713</v>
      </c>
      <c r="K25" s="26">
        <f>'Données capacités de production'!H47</f>
        <v>55.634237382433639</v>
      </c>
      <c r="L25" s="26">
        <f>'Données capacités de production'!I47</f>
        <v>61.871808546781807</v>
      </c>
      <c r="M25" s="26">
        <f>'Données capacités de production'!J47</f>
        <v>68.109381501777136</v>
      </c>
      <c r="N25" s="26">
        <f>'Données capacités de production'!K47</f>
        <v>74.34695642193563</v>
      </c>
      <c r="O25" s="26">
        <f>'Données capacités de production'!L47</f>
        <v>80.584533466384627</v>
      </c>
      <c r="P25" s="26">
        <f>'Données capacités de production'!M47</f>
        <v>86.82211277782902</v>
      </c>
      <c r="Q25" s="26">
        <f>'Données capacités de production'!N47</f>
        <v>93.059694481642993</v>
      </c>
      <c r="R25" s="26">
        <f>'Données capacités de production'!O47</f>
        <v>99.297278685093033</v>
      </c>
      <c r="S25" s="26">
        <f>'Données capacités de production'!P47</f>
        <v>105.53486547669672</v>
      </c>
      <c r="T25" s="26">
        <f>'Données capacités de production'!Q47</f>
        <v>111.77245492572077</v>
      </c>
      <c r="U25" s="26">
        <f>'Données capacités de production'!R47</f>
        <v>118.01004708182157</v>
      </c>
      <c r="V25" s="26">
        <f>'Données capacités de production'!S47</f>
        <v>124.24764197482885</v>
      </c>
      <c r="W25" s="26">
        <f>'Données capacités de production'!T47</f>
        <v>130.48523961467396</v>
      </c>
      <c r="X25" s="26">
        <f>'Données capacités de production'!U47</f>
        <v>136.72283999146134</v>
      </c>
      <c r="Y25" s="26">
        <f>'Données capacités de production'!V47</f>
        <v>142.96044307568246</v>
      </c>
      <c r="Z25" s="26">
        <f>'Données capacités de production'!W47</f>
        <v>149.19804881856899</v>
      </c>
      <c r="AA25" s="26">
        <f>'Données capacités de production'!X47</f>
        <v>155.43565715258211</v>
      </c>
      <c r="AB25" s="26">
        <f>'Données capacités de production'!Y47</f>
        <v>161.67326799203332</v>
      </c>
      <c r="AC25" s="26">
        <f>'Données capacités de production'!Z47</f>
        <v>167.91088123383099</v>
      </c>
      <c r="AD25" s="26">
        <f>'Données capacités de production'!AA47</f>
        <v>174.14849675834733</v>
      </c>
      <c r="AE25" s="26">
        <f>'Données capacités de production'!AB47</f>
        <v>180.38611443039744</v>
      </c>
      <c r="AF25" s="26">
        <f>'Données capacités de production'!AC47</f>
        <v>186.6237341003235</v>
      </c>
      <c r="AG25" s="26">
        <f>'Données capacités de production'!AD47</f>
        <v>192.86135560517522</v>
      </c>
      <c r="AH25" s="26">
        <f>'Données capacités de production'!AE47</f>
        <v>199.09897876997741</v>
      </c>
      <c r="AI25" s="26">
        <f>'Données capacités de production'!AF47</f>
        <v>205.33660340907488</v>
      </c>
      <c r="AJ25" s="26">
        <f>'Données capacités de production'!AG47</f>
        <v>211.57422932754446</v>
      </c>
      <c r="AK25" s="26">
        <f>'Données capacités de production'!AH47</f>
        <v>217.81185632266357</v>
      </c>
      <c r="AL25" s="26">
        <f>'Données capacités de production'!AI47</f>
        <v>224.04948418542423</v>
      </c>
      <c r="AM25" s="26">
        <f>'Données capacités de production'!AJ47</f>
        <v>230.2871127020818</v>
      </c>
      <c r="AN25" s="26">
        <f>'Données capacités de production'!AK47</f>
        <v>236.52474165572576</v>
      </c>
      <c r="AO25" s="26">
        <f>'Données capacités de production'!AL47</f>
        <v>242.76237082786292</v>
      </c>
      <c r="AP25" s="26">
        <f>'Données capacités de production'!AM47</f>
        <v>249</v>
      </c>
    </row>
    <row r="26" spans="1:43" x14ac:dyDescent="0.25">
      <c r="A26" s="1" t="s">
        <v>144</v>
      </c>
      <c r="B26" s="52"/>
      <c r="C26" s="13"/>
      <c r="D26" s="13"/>
      <c r="E26" s="26">
        <f>'Données capacités de production'!B50</f>
        <v>27.266116320000005</v>
      </c>
      <c r="F26" s="26">
        <f>'Données capacités de production'!C50</f>
        <v>36.606315850826675</v>
      </c>
      <c r="G26" s="26">
        <f>'Données capacités de production'!D50</f>
        <v>45.946516118763533</v>
      </c>
      <c r="H26" s="26">
        <f>'Données capacités de production'!E50</f>
        <v>55.28671748176302</v>
      </c>
      <c r="I26" s="26">
        <f>'Données capacités de production'!F50</f>
        <v>64.626920287327408</v>
      </c>
      <c r="J26" s="26">
        <f>'Données capacités de production'!G50</f>
        <v>73.96712487008476</v>
      </c>
      <c r="K26" s="26">
        <f>'Données capacités de production'!H50</f>
        <v>83.30733154947481</v>
      </c>
      <c r="L26" s="26">
        <f>'Données capacités de production'!I50</f>
        <v>92.647540627560772</v>
      </c>
      <c r="M26" s="26">
        <f>'Données capacités de production'!J50</f>
        <v>101.98775238698191</v>
      </c>
      <c r="N26" s="26">
        <f>'Données capacités de production'!K50</f>
        <v>111.32796708906042</v>
      </c>
      <c r="O26" s="26">
        <f>'Données capacités de production'!L50</f>
        <v>120.66818497207537</v>
      </c>
      <c r="P26" s="26">
        <f>'Données capacités de production'!M50</f>
        <v>130.00840624971468</v>
      </c>
      <c r="Q26" s="26">
        <f>'Données capacités de production'!N50</f>
        <v>139.34863110971506</v>
      </c>
      <c r="R26" s="26">
        <f>'Données capacités de production'!O50</f>
        <v>148.68885971269856</v>
      </c>
      <c r="S26" s="26">
        <f>'Données capacités de production'!P50</f>
        <v>158.02909219121233</v>
      </c>
      <c r="T26" s="26">
        <f>'Données capacités de production'!Q50</f>
        <v>167.36932864897722</v>
      </c>
      <c r="U26" s="26">
        <f>'Données capacités de production'!R50</f>
        <v>176.70956916034919</v>
      </c>
      <c r="V26" s="26">
        <f>'Données capacités de production'!S50</f>
        <v>186.04981376999569</v>
      </c>
      <c r="W26" s="26">
        <f>'Données capacités de production'!T50</f>
        <v>195.39006249278796</v>
      </c>
      <c r="X26" s="26">
        <f>'Données capacités de production'!U50</f>
        <v>204.73031531390833</v>
      </c>
      <c r="Y26" s="26">
        <f>'Données capacités de production'!V50</f>
        <v>214.07057218917038</v>
      </c>
      <c r="Z26" s="26">
        <f>'Données capacités de production'!W50</f>
        <v>223.41083304554783</v>
      </c>
      <c r="AA26" s="26">
        <f>'Données capacités de production'!X50</f>
        <v>232.75109778190736</v>
      </c>
      <c r="AB26" s="26">
        <f>'Données capacités de production'!Y50</f>
        <v>242.09136626993796</v>
      </c>
      <c r="AC26" s="26">
        <f>'Données capacités de production'!Z50</f>
        <v>251.4316383552692</v>
      </c>
      <c r="AD26" s="26">
        <f>'Données capacités de production'!AA50</f>
        <v>260.77191385876898</v>
      </c>
      <c r="AE26" s="26">
        <f>'Données capacités de production'!AB50</f>
        <v>270.11219257800985</v>
      </c>
      <c r="AF26" s="26">
        <f>'Données capacités de production'!AC50</f>
        <v>279.45247428889263</v>
      </c>
      <c r="AG26" s="26">
        <f>'Données capacités de production'!AD50</f>
        <v>288.7927587474137</v>
      </c>
      <c r="AH26" s="26">
        <f>'Données capacités de production'!AE50</f>
        <v>298.13304569156321</v>
      </c>
      <c r="AI26" s="26">
        <f>'Données capacités de production'!AF50</f>
        <v>307.47333484333905</v>
      </c>
      <c r="AJ26" s="26">
        <f>'Données capacités de production'!AG50</f>
        <v>316.81362591086099</v>
      </c>
      <c r="AK26" s="26">
        <f>'Données capacités de production'!AH50</f>
        <v>326.15391859057007</v>
      </c>
      <c r="AL26" s="26">
        <f>'Données capacités de production'!AI50</f>
        <v>335.4942125694954</v>
      </c>
      <c r="AM26" s="26">
        <f>'Données capacités de production'!AJ50</f>
        <v>344.83450752757324</v>
      </c>
      <c r="AN26" s="26">
        <f>'Données capacités de production'!AK50</f>
        <v>354.17480313999937</v>
      </c>
      <c r="AO26" s="26">
        <f>'Données capacités de production'!AL50</f>
        <v>363.51509907959974</v>
      </c>
      <c r="AP26" s="26">
        <f>'Données capacités de production'!AM50</f>
        <v>372.85539501920005</v>
      </c>
    </row>
    <row r="27" spans="1:43" x14ac:dyDescent="0.25">
      <c r="A27" s="1"/>
      <c r="B27" s="5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52"/>
      <c r="AI27" s="52"/>
      <c r="AJ27" s="52"/>
      <c r="AK27" s="52"/>
      <c r="AL27" s="52"/>
      <c r="AM27" s="52"/>
      <c r="AN27" s="52"/>
      <c r="AO27" s="1"/>
      <c r="AP27" s="13"/>
    </row>
    <row r="28" spans="1:43" x14ac:dyDescent="0.25">
      <c r="A28" s="16" t="s">
        <v>21</v>
      </c>
      <c r="B28" s="53"/>
      <c r="C28" s="27"/>
      <c r="D28" s="27"/>
      <c r="E28" s="27">
        <f t="shared" ref="E28:AO28" si="44">E29+E30</f>
        <v>128.18202210000004</v>
      </c>
      <c r="F28" s="27">
        <f t="shared" si="44"/>
        <v>130.81176204324356</v>
      </c>
      <c r="G28" s="27">
        <f t="shared" si="44"/>
        <v>133.44150198648708</v>
      </c>
      <c r="H28" s="27">
        <f t="shared" si="44"/>
        <v>136.0712419297306</v>
      </c>
      <c r="I28" s="27">
        <f t="shared" si="44"/>
        <v>138.7009818729741</v>
      </c>
      <c r="J28" s="27">
        <f t="shared" si="44"/>
        <v>141.33072181621759</v>
      </c>
      <c r="K28" s="27">
        <f t="shared" si="44"/>
        <v>143.96046175946108</v>
      </c>
      <c r="L28" s="27">
        <f t="shared" si="44"/>
        <v>146.59020170270452</v>
      </c>
      <c r="M28" s="27">
        <f t="shared" si="44"/>
        <v>149.21994164594796</v>
      </c>
      <c r="N28" s="27">
        <f t="shared" si="44"/>
        <v>151.84968158919139</v>
      </c>
      <c r="O28" s="27">
        <f t="shared" si="44"/>
        <v>154.47942153243477</v>
      </c>
      <c r="P28" s="27">
        <f t="shared" si="44"/>
        <v>157.10916147567818</v>
      </c>
      <c r="Q28" s="27">
        <f t="shared" si="44"/>
        <v>159.73890141892153</v>
      </c>
      <c r="R28" s="27">
        <f t="shared" si="44"/>
        <v>162.36864136216491</v>
      </c>
      <c r="S28" s="27">
        <f t="shared" si="44"/>
        <v>164.99838130540823</v>
      </c>
      <c r="T28" s="27">
        <f t="shared" si="44"/>
        <v>167.62812124865158</v>
      </c>
      <c r="U28" s="27">
        <f t="shared" si="44"/>
        <v>170.2578611918949</v>
      </c>
      <c r="V28" s="27">
        <f t="shared" si="44"/>
        <v>172.88760113513817</v>
      </c>
      <c r="W28" s="27">
        <f t="shared" si="44"/>
        <v>175.51734107838146</v>
      </c>
      <c r="X28" s="27">
        <f t="shared" si="44"/>
        <v>178.14708102162473</v>
      </c>
      <c r="Y28" s="27">
        <f t="shared" si="44"/>
        <v>180.77682096486794</v>
      </c>
      <c r="Z28" s="27">
        <f t="shared" si="44"/>
        <v>183.40656090811117</v>
      </c>
      <c r="AA28" s="27">
        <f t="shared" si="44"/>
        <v>186.03630085135438</v>
      </c>
      <c r="AB28" s="27">
        <f t="shared" si="44"/>
        <v>188.66604079459756</v>
      </c>
      <c r="AC28" s="27">
        <f t="shared" si="44"/>
        <v>191.29578073784074</v>
      </c>
      <c r="AD28" s="27">
        <f t="shared" si="44"/>
        <v>193.92552068108387</v>
      </c>
      <c r="AE28" s="27">
        <f t="shared" si="44"/>
        <v>196.55526062432699</v>
      </c>
      <c r="AF28" s="27">
        <f t="shared" si="44"/>
        <v>199.18500056757011</v>
      </c>
      <c r="AG28" s="27">
        <f t="shared" si="44"/>
        <v>201.81474051081321</v>
      </c>
      <c r="AH28" s="53">
        <f t="shared" si="44"/>
        <v>204.44448045405628</v>
      </c>
      <c r="AI28" s="53">
        <f t="shared" si="44"/>
        <v>207.07422039729934</v>
      </c>
      <c r="AJ28" s="53">
        <f t="shared" si="44"/>
        <v>209.70396034054241</v>
      </c>
      <c r="AK28" s="53">
        <f t="shared" si="44"/>
        <v>212.33370028378542</v>
      </c>
      <c r="AL28" s="53">
        <f t="shared" si="44"/>
        <v>214.96344022702843</v>
      </c>
      <c r="AM28" s="53">
        <f t="shared" si="44"/>
        <v>217.59318017027141</v>
      </c>
      <c r="AN28" s="53">
        <f t="shared" si="44"/>
        <v>220.22292011351436</v>
      </c>
      <c r="AO28" s="27">
        <f t="shared" si="44"/>
        <v>222.85266005675732</v>
      </c>
      <c r="AP28" s="27">
        <f>AP29+AP30</f>
        <v>225.4824000000003</v>
      </c>
    </row>
    <row r="29" spans="1:43" x14ac:dyDescent="0.25">
      <c r="A29" s="1" t="s">
        <v>26</v>
      </c>
      <c r="B29" s="52"/>
      <c r="C29" s="25"/>
      <c r="D29" s="25"/>
      <c r="E29" s="22">
        <f>'Données capacités de production'!B60</f>
        <v>104.28202558972609</v>
      </c>
      <c r="F29" s="22">
        <f>'Données capacités de production'!C60</f>
        <v>106.42144111432832</v>
      </c>
      <c r="G29" s="22">
        <f>'Données capacités de production'!D60</f>
        <v>108.56085663893055</v>
      </c>
      <c r="H29" s="22">
        <f>'Données capacités de production'!E60</f>
        <v>110.70027216353277</v>
      </c>
      <c r="I29" s="22">
        <f>'Données capacités de production'!F60</f>
        <v>112.83968768813497</v>
      </c>
      <c r="J29" s="22">
        <f>'Données capacités de production'!G60</f>
        <v>114.97910321273717</v>
      </c>
      <c r="K29" s="22">
        <f>'Données capacités de production'!H60</f>
        <v>117.11851873733937</v>
      </c>
      <c r="L29" s="22">
        <f>'Données capacités de production'!I60</f>
        <v>119.25793426194153</v>
      </c>
      <c r="M29" s="22">
        <f>'Données capacités de production'!J60</f>
        <v>121.39734978654369</v>
      </c>
      <c r="N29" s="22">
        <f>'Données capacités de production'!K60</f>
        <v>123.53676531114584</v>
      </c>
      <c r="O29" s="22">
        <f>'Données capacités de production'!L60</f>
        <v>125.67618083574796</v>
      </c>
      <c r="P29" s="22">
        <f>'Données capacités de production'!M60</f>
        <v>127.8155963603501</v>
      </c>
      <c r="Q29" s="22">
        <f>'Données capacités de production'!N60</f>
        <v>129.95501188495217</v>
      </c>
      <c r="R29" s="22">
        <f>'Données capacités de production'!O60</f>
        <v>132.0944274095543</v>
      </c>
      <c r="S29" s="22">
        <f>'Données capacités de production'!P60</f>
        <v>134.23384293415634</v>
      </c>
      <c r="T29" s="22">
        <f>'Données capacités de production'!Q60</f>
        <v>136.37325845875844</v>
      </c>
      <c r="U29" s="22">
        <f>'Données capacités de production'!R60</f>
        <v>138.51267398336051</v>
      </c>
      <c r="V29" s="22">
        <f>'Données capacités de production'!S60</f>
        <v>140.65208950796253</v>
      </c>
      <c r="W29" s="22">
        <f>'Données capacités de production'!T60</f>
        <v>142.79150503256457</v>
      </c>
      <c r="X29" s="22">
        <f>'Données capacités de production'!U60</f>
        <v>144.93092055716659</v>
      </c>
      <c r="Y29" s="22">
        <f>'Données capacités de production'!V60</f>
        <v>147.07033608176855</v>
      </c>
      <c r="Z29" s="22">
        <f>'Données capacités de production'!W60</f>
        <v>149.20975160637056</v>
      </c>
      <c r="AA29" s="22">
        <f>'Données capacités de production'!X60</f>
        <v>151.34916713097252</v>
      </c>
      <c r="AB29" s="22">
        <f>'Données capacités de production'!Y60</f>
        <v>153.48858265557448</v>
      </c>
      <c r="AC29" s="22">
        <f>'Données capacités de production'!Z60</f>
        <v>155.62799818017641</v>
      </c>
      <c r="AD29" s="22">
        <f>'Données capacités de production'!AA60</f>
        <v>157.76741370477833</v>
      </c>
      <c r="AE29" s="22">
        <f>'Données capacités de production'!AB60</f>
        <v>159.90682922938021</v>
      </c>
      <c r="AF29" s="22">
        <f>'Données capacités de production'!AC60</f>
        <v>162.04624475398214</v>
      </c>
      <c r="AG29" s="22">
        <f>'Données capacités de production'!AD60</f>
        <v>164.18566027858401</v>
      </c>
      <c r="AH29" s="34">
        <f>'Données capacités de production'!AE60</f>
        <v>166.32507580318585</v>
      </c>
      <c r="AI29" s="34">
        <f>'Données capacités de production'!AF60</f>
        <v>168.46449132778773</v>
      </c>
      <c r="AJ29" s="34">
        <f>'Données capacités de production'!AG60</f>
        <v>170.60390685238957</v>
      </c>
      <c r="AK29" s="34">
        <f>'Données capacités de production'!AH60</f>
        <v>172.74332237699139</v>
      </c>
      <c r="AL29" s="34">
        <f>'Données capacités de production'!AI60</f>
        <v>174.8827379015932</v>
      </c>
      <c r="AM29" s="34">
        <f>'Données capacités de production'!AJ60</f>
        <v>177.02215342619499</v>
      </c>
      <c r="AN29" s="34">
        <f>'Données capacités de production'!AK60</f>
        <v>179.16156895079675</v>
      </c>
      <c r="AO29" s="22">
        <f>'Données capacités de production'!AL60</f>
        <v>181.30098447539851</v>
      </c>
      <c r="AP29" s="22">
        <f>'Données capacités de production'!AM60</f>
        <v>183.4404000000003</v>
      </c>
      <c r="AQ29" s="22"/>
    </row>
    <row r="30" spans="1:43" x14ac:dyDescent="0.25">
      <c r="A30" s="1" t="s">
        <v>25</v>
      </c>
      <c r="B30" s="52"/>
      <c r="C30" s="25"/>
      <c r="D30" s="25"/>
      <c r="E30" s="22">
        <f>'Données capacités de production'!B59</f>
        <v>23.899996510273951</v>
      </c>
      <c r="F30" s="22">
        <f>'Données capacités de production'!C59</f>
        <v>24.390320928915244</v>
      </c>
      <c r="G30" s="22">
        <f>'Données capacités de production'!D59</f>
        <v>24.880645347556541</v>
      </c>
      <c r="H30" s="22">
        <f>'Données capacités de production'!E59</f>
        <v>25.370969766197835</v>
      </c>
      <c r="I30" s="22">
        <f>'Données capacités de production'!F59</f>
        <v>25.861294184839124</v>
      </c>
      <c r="J30" s="22">
        <f>'Données capacités de production'!G59</f>
        <v>26.351618603480414</v>
      </c>
      <c r="K30" s="22">
        <f>'Données capacités de production'!H59</f>
        <v>26.841943022121704</v>
      </c>
      <c r="L30" s="22">
        <f>'Données capacités de production'!I59</f>
        <v>27.332267440762983</v>
      </c>
      <c r="M30" s="22">
        <f>'Données capacités de production'!J59</f>
        <v>27.822591859404266</v>
      </c>
      <c r="N30" s="22">
        <f>'Données capacités de production'!K59</f>
        <v>28.312916278045545</v>
      </c>
      <c r="O30" s="22">
        <f>'Données capacités de production'!L59</f>
        <v>28.803240696686814</v>
      </c>
      <c r="P30" s="22">
        <f>'Données capacités de production'!M59</f>
        <v>29.293565115328086</v>
      </c>
      <c r="Q30" s="22">
        <f>'Données capacités de production'!N59</f>
        <v>29.783889533969351</v>
      </c>
      <c r="R30" s="22">
        <f>'Données capacités de production'!O59</f>
        <v>30.274213952610619</v>
      </c>
      <c r="S30" s="22">
        <f>'Données capacités de production'!P59</f>
        <v>30.764538371251877</v>
      </c>
      <c r="T30" s="22">
        <f>'Données capacités de production'!Q59</f>
        <v>31.254862789893139</v>
      </c>
      <c r="U30" s="22">
        <f>'Données capacités de production'!R59</f>
        <v>31.7451872085344</v>
      </c>
      <c r="V30" s="22">
        <f>'Données capacités de production'!S59</f>
        <v>32.235511627175647</v>
      </c>
      <c r="W30" s="22">
        <f>'Données capacités de production'!T59</f>
        <v>32.725836045816898</v>
      </c>
      <c r="X30" s="22">
        <f>'Données capacités de production'!U59</f>
        <v>33.216160464458149</v>
      </c>
      <c r="Y30" s="22">
        <f>'Données capacités de production'!V59</f>
        <v>33.706484883099385</v>
      </c>
      <c r="Z30" s="22">
        <f>'Données capacités de production'!W59</f>
        <v>34.196809301740622</v>
      </c>
      <c r="AA30" s="22">
        <f>'Données capacités de production'!X59</f>
        <v>34.687133720381865</v>
      </c>
      <c r="AB30" s="22">
        <f>'Données capacités de production'!Y59</f>
        <v>35.177458139023095</v>
      </c>
      <c r="AC30" s="22">
        <f>'Données capacités de production'!Z59</f>
        <v>35.667782557664324</v>
      </c>
      <c r="AD30" s="22">
        <f>'Données capacités de production'!AA59</f>
        <v>36.158106976305547</v>
      </c>
      <c r="AE30" s="22">
        <f>'Données capacités de production'!AB59</f>
        <v>36.648431394946769</v>
      </c>
      <c r="AF30" s="22">
        <f>'Données capacités de production'!AC59</f>
        <v>37.138755813587991</v>
      </c>
      <c r="AG30" s="22">
        <f>'Données capacités de production'!AD59</f>
        <v>37.629080232229207</v>
      </c>
      <c r="AH30" s="34">
        <f>'Données capacités de production'!AE59</f>
        <v>38.119404650870415</v>
      </c>
      <c r="AI30" s="34">
        <f>'Données capacités de production'!AF59</f>
        <v>38.609729069511623</v>
      </c>
      <c r="AJ30" s="34">
        <f>'Données capacités de production'!AG59</f>
        <v>39.100053488152838</v>
      </c>
      <c r="AK30" s="34">
        <f>'Données capacités de production'!AH59</f>
        <v>39.590377906794032</v>
      </c>
      <c r="AL30" s="34">
        <f>'Données capacités de production'!AI59</f>
        <v>40.080702325435233</v>
      </c>
      <c r="AM30" s="34">
        <f>'Données capacités de production'!AJ59</f>
        <v>40.571026744076427</v>
      </c>
      <c r="AN30" s="34">
        <f>'Données capacités de production'!AK59</f>
        <v>41.061351162717621</v>
      </c>
      <c r="AO30" s="22">
        <f>'Données capacités de production'!AL59</f>
        <v>41.551675581358808</v>
      </c>
      <c r="AP30" s="22">
        <f>'Données capacités de production'!AM59</f>
        <v>42.042000000000002</v>
      </c>
      <c r="AQ30" s="22"/>
    </row>
    <row r="31" spans="1:43" x14ac:dyDescent="0.25">
      <c r="A31" s="1"/>
      <c r="B31" s="5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52"/>
      <c r="AI31" s="52"/>
      <c r="AJ31" s="52"/>
      <c r="AK31" s="52"/>
      <c r="AL31" s="52"/>
      <c r="AM31" s="52"/>
      <c r="AN31" s="52"/>
      <c r="AO31" s="1"/>
      <c r="AP31" s="13"/>
    </row>
    <row r="32" spans="1:43" x14ac:dyDescent="0.25">
      <c r="A32" s="16" t="s">
        <v>22</v>
      </c>
      <c r="B32" s="54"/>
      <c r="C32" s="17"/>
      <c r="D32" s="17"/>
      <c r="E32" s="27">
        <f t="shared" ref="E32:AO32" si="45">E33+E34</f>
        <v>225</v>
      </c>
      <c r="F32" s="27">
        <f t="shared" si="45"/>
        <v>250.73247876510899</v>
      </c>
      <c r="G32" s="27">
        <f t="shared" si="45"/>
        <v>276.28780795481487</v>
      </c>
      <c r="H32" s="27">
        <f t="shared" si="45"/>
        <v>301.10348756907376</v>
      </c>
      <c r="I32" s="27">
        <f t="shared" si="45"/>
        <v>325.17951760784598</v>
      </c>
      <c r="J32" s="27">
        <f t="shared" si="45"/>
        <v>348.51589807109679</v>
      </c>
      <c r="K32" s="27">
        <f t="shared" si="45"/>
        <v>371.11262895879594</v>
      </c>
      <c r="L32" s="27">
        <f t="shared" si="45"/>
        <v>392.96971027091797</v>
      </c>
      <c r="M32" s="27">
        <f t="shared" si="45"/>
        <v>414.08714200744231</v>
      </c>
      <c r="N32" s="27">
        <f t="shared" si="45"/>
        <v>434.46492416835338</v>
      </c>
      <c r="O32" s="27">
        <f t="shared" si="45"/>
        <v>454.1030567536402</v>
      </c>
      <c r="P32" s="27">
        <f t="shared" si="45"/>
        <v>473.00153976329682</v>
      </c>
      <c r="Q32" s="27">
        <f t="shared" si="45"/>
        <v>491.16037319732141</v>
      </c>
      <c r="R32" s="27">
        <f t="shared" si="45"/>
        <v>508.57955705571737</v>
      </c>
      <c r="S32" s="27">
        <f t="shared" si="45"/>
        <v>525.25909133849177</v>
      </c>
      <c r="T32" s="27">
        <f t="shared" si="45"/>
        <v>541.19897604565574</v>
      </c>
      <c r="U32" s="27">
        <f t="shared" si="45"/>
        <v>556.39921117722429</v>
      </c>
      <c r="V32" s="27">
        <f t="shared" si="45"/>
        <v>570.85979673321583</v>
      </c>
      <c r="W32" s="27">
        <f t="shared" si="45"/>
        <v>584.69168014992658</v>
      </c>
      <c r="X32" s="27">
        <f t="shared" si="45"/>
        <v>597.89486142737746</v>
      </c>
      <c r="Y32" s="27">
        <f t="shared" si="45"/>
        <v>599.78184056559166</v>
      </c>
      <c r="Z32" s="27">
        <f t="shared" si="45"/>
        <v>601.31591580373254</v>
      </c>
      <c r="AA32" s="27">
        <f t="shared" si="45"/>
        <v>602.51973633902469</v>
      </c>
      <c r="AB32" s="27">
        <f t="shared" si="45"/>
        <v>603.3933021715153</v>
      </c>
      <c r="AC32" s="27">
        <f t="shared" si="45"/>
        <v>603.9366133012519</v>
      </c>
      <c r="AD32" s="27">
        <f t="shared" si="45"/>
        <v>604.14966972828154</v>
      </c>
      <c r="AE32" s="27">
        <f t="shared" si="45"/>
        <v>604.0324714526505</v>
      </c>
      <c r="AF32" s="27">
        <f t="shared" si="45"/>
        <v>603.58501847440391</v>
      </c>
      <c r="AG32" s="27">
        <f t="shared" si="45"/>
        <v>602.80731079358497</v>
      </c>
      <c r="AH32" s="53">
        <f t="shared" si="45"/>
        <v>601.69934841023564</v>
      </c>
      <c r="AI32" s="53">
        <f t="shared" si="45"/>
        <v>600.26113132439468</v>
      </c>
      <c r="AJ32" s="53">
        <f t="shared" si="45"/>
        <v>598.49265953609904</v>
      </c>
      <c r="AK32" s="53">
        <f t="shared" si="45"/>
        <v>596.39393304538214</v>
      </c>
      <c r="AL32" s="53">
        <f t="shared" si="45"/>
        <v>593.96495185227411</v>
      </c>
      <c r="AM32" s="53">
        <f t="shared" si="45"/>
        <v>591.20571595680224</v>
      </c>
      <c r="AN32" s="53">
        <f t="shared" si="45"/>
        <v>588.11622535898994</v>
      </c>
      <c r="AO32" s="27">
        <f t="shared" si="45"/>
        <v>584.69648005885699</v>
      </c>
      <c r="AP32" s="27">
        <f>AP33+AP34</f>
        <v>580.94648005641886</v>
      </c>
    </row>
    <row r="33" spans="1:42" x14ac:dyDescent="0.25">
      <c r="A33" s="1" t="s">
        <v>26</v>
      </c>
      <c r="B33" s="1"/>
      <c r="C33" s="1"/>
      <c r="D33" s="1"/>
      <c r="E33" s="26">
        <f>'Données capacités de production'!B71</f>
        <v>160.74217817125705</v>
      </c>
      <c r="F33" s="26">
        <f>'Données capacités de production'!C71</f>
        <v>179.12571011103145</v>
      </c>
      <c r="G33" s="26">
        <f>'Données capacités de production'!D71</f>
        <v>197.38268467919511</v>
      </c>
      <c r="H33" s="26">
        <f>'Données capacités de production'!E71</f>
        <v>215.11124643028862</v>
      </c>
      <c r="I33" s="26">
        <f>'Données capacités de production'!F71</f>
        <v>232.31139536428356</v>
      </c>
      <c r="J33" s="26">
        <f>'Données capacités de production'!G71</f>
        <v>248.98313148115511</v>
      </c>
      <c r="K33" s="26">
        <f>'Données capacités de production'!H71</f>
        <v>265.12645478088172</v>
      </c>
      <c r="L33" s="26">
        <f>'Données capacités de production'!I71</f>
        <v>280.74136526344518</v>
      </c>
      <c r="M33" s="26">
        <f>'Données capacités de production'!J71</f>
        <v>295.82786292883071</v>
      </c>
      <c r="N33" s="26">
        <f>'Données capacités de production'!K71</f>
        <v>310.3859477770273</v>
      </c>
      <c r="O33" s="26">
        <f>'Données capacités de production'!L71</f>
        <v>324.41561980802703</v>
      </c>
      <c r="P33" s="26">
        <f>'Données capacités de production'!M71</f>
        <v>337.91687902182571</v>
      </c>
      <c r="Q33" s="26">
        <f>'Données capacités de production'!N71</f>
        <v>350.88972541842202</v>
      </c>
      <c r="R33" s="26">
        <f>'Données capacités de production'!O71</f>
        <v>363.33415899781829</v>
      </c>
      <c r="S33" s="26">
        <f>'Données capacités de production'!P71</f>
        <v>375.25017976001971</v>
      </c>
      <c r="T33" s="26">
        <f>'Données capacités de production'!Q71</f>
        <v>386.6377877050341</v>
      </c>
      <c r="U33" s="26">
        <f>'Données capacités de production'!R71</f>
        <v>397.49698283287228</v>
      </c>
      <c r="V33" s="26">
        <f>'Données capacités de production'!S71</f>
        <v>407.82776514354737</v>
      </c>
      <c r="W33" s="26">
        <f>'Données capacités de production'!T71</f>
        <v>417.70939655960507</v>
      </c>
      <c r="X33" s="26">
        <f>'Données capacités de production'!U71</f>
        <v>427.14187708106022</v>
      </c>
      <c r="Y33" s="26">
        <f>'Données capacités de production'!V71</f>
        <v>428.48995324479483</v>
      </c>
      <c r="Z33" s="26">
        <f>'Données capacités de production'!W71</f>
        <v>429.58591144593856</v>
      </c>
      <c r="AA33" s="26">
        <f>'Données capacités de production'!X71</f>
        <v>430.44593249025036</v>
      </c>
      <c r="AB33" s="26">
        <f>'Données capacités de production'!Y71</f>
        <v>431.07001637776386</v>
      </c>
      <c r="AC33" s="26">
        <f>'Données capacités de production'!Z71</f>
        <v>431.45816310851291</v>
      </c>
      <c r="AD33" s="26">
        <f>'Données capacités de production'!AA71</f>
        <v>431.61037268253131</v>
      </c>
      <c r="AE33" s="26">
        <f>'Données capacités de production'!AB71</f>
        <v>431.52664509985198</v>
      </c>
      <c r="AF33" s="26">
        <f>'Données capacités de production'!AC71</f>
        <v>431.20698036050715</v>
      </c>
      <c r="AG33" s="26">
        <f>'Données capacités de production'!AD71</f>
        <v>430.65137846452785</v>
      </c>
      <c r="AH33" s="28">
        <f>'Données capacités de production'!AE71</f>
        <v>429.85983941194388</v>
      </c>
      <c r="AI33" s="28">
        <f>'Données capacités de production'!AF71</f>
        <v>428.83236320278303</v>
      </c>
      <c r="AJ33" s="28">
        <f>'Données capacités de production'!AG71</f>
        <v>427.56894983707161</v>
      </c>
      <c r="AK33" s="28">
        <f>'Données capacités de production'!AH71</f>
        <v>426.06959931483362</v>
      </c>
      <c r="AL33" s="28">
        <f>'Données capacités de production'!AI71</f>
        <v>424.33431163609055</v>
      </c>
      <c r="AM33" s="28">
        <f>'Données capacités de production'!AJ71</f>
        <v>422.36308680086177</v>
      </c>
      <c r="AN33" s="28">
        <f>'Données capacités de production'!AK71</f>
        <v>420.15592480916416</v>
      </c>
      <c r="AO33" s="26">
        <f>'Données capacités de production'!AL71</f>
        <v>417.71282566101172</v>
      </c>
      <c r="AP33" s="26">
        <f>'Données capacités de production'!AM71</f>
        <v>415.03378935641558</v>
      </c>
    </row>
    <row r="34" spans="1:42" x14ac:dyDescent="0.25">
      <c r="A34" s="1" t="s">
        <v>25</v>
      </c>
      <c r="B34" s="1"/>
      <c r="C34" s="1"/>
      <c r="D34" s="1"/>
      <c r="E34" s="26">
        <f>'Données capacités de production'!B70</f>
        <v>64.257821828742948</v>
      </c>
      <c r="F34" s="26">
        <f>'Données capacités de production'!C70</f>
        <v>71.606768654077541</v>
      </c>
      <c r="G34" s="26">
        <f>'Données capacités de production'!D70</f>
        <v>78.905123275619744</v>
      </c>
      <c r="H34" s="26">
        <f>'Données capacités de production'!E70</f>
        <v>85.992241138785147</v>
      </c>
      <c r="I34" s="26">
        <f>'Données capacités de production'!F70</f>
        <v>92.868122243562425</v>
      </c>
      <c r="J34" s="26">
        <f>'Données capacités de production'!G70</f>
        <v>99.532766589941659</v>
      </c>
      <c r="K34" s="26">
        <f>'Données capacités de production'!H70</f>
        <v>105.98617417791421</v>
      </c>
      <c r="L34" s="26">
        <f>'Données capacités de production'!I70</f>
        <v>112.22834500747281</v>
      </c>
      <c r="M34" s="26">
        <f>'Données capacités de production'!J70</f>
        <v>118.25927907861158</v>
      </c>
      <c r="N34" s="26">
        <f>'Données capacités de production'!K70</f>
        <v>124.07897639132607</v>
      </c>
      <c r="O34" s="26">
        <f>'Données capacités de production'!L70</f>
        <v>129.68743694561314</v>
      </c>
      <c r="P34" s="26">
        <f>'Données capacités de production'!M70</f>
        <v>135.08466074147108</v>
      </c>
      <c r="Q34" s="26">
        <f>'Données capacités de production'!N70</f>
        <v>140.27064777889942</v>
      </c>
      <c r="R34" s="26">
        <f>'Données capacités de production'!O70</f>
        <v>145.24539805789908</v>
      </c>
      <c r="S34" s="26">
        <f>'Données capacités de production'!P70</f>
        <v>150.00891157847209</v>
      </c>
      <c r="T34" s="26">
        <f>'Données capacités de production'!Q70</f>
        <v>154.56118834062164</v>
      </c>
      <c r="U34" s="26">
        <f>'Données capacités de production'!R70</f>
        <v>158.90222834435198</v>
      </c>
      <c r="V34" s="26">
        <f>'Données capacités de production'!S70</f>
        <v>163.03203158966843</v>
      </c>
      <c r="W34" s="26">
        <f>'Données capacités de production'!T70</f>
        <v>166.98228359032152</v>
      </c>
      <c r="X34" s="26">
        <f>'Données capacités de production'!U70</f>
        <v>170.75298434631722</v>
      </c>
      <c r="Y34" s="26">
        <f>'Données capacités de production'!V70</f>
        <v>171.29188732079686</v>
      </c>
      <c r="Z34" s="26">
        <f>'Données capacités de production'!W70</f>
        <v>171.73000435779394</v>
      </c>
      <c r="AA34" s="26">
        <f>'Données capacités de production'!X70</f>
        <v>172.07380384877433</v>
      </c>
      <c r="AB34" s="26">
        <f>'Données capacités de production'!Y70</f>
        <v>172.32328579375147</v>
      </c>
      <c r="AC34" s="26">
        <f>'Données capacités de production'!Z70</f>
        <v>172.47845019273899</v>
      </c>
      <c r="AD34" s="26">
        <f>'Données capacités de production'!AA70</f>
        <v>172.53929704575026</v>
      </c>
      <c r="AE34" s="26">
        <f>'Données capacités de production'!AB70</f>
        <v>172.50582635279855</v>
      </c>
      <c r="AF34" s="26">
        <f>'Données capacités de production'!AC70</f>
        <v>172.37803811389674</v>
      </c>
      <c r="AG34" s="26">
        <f>'Données capacités de production'!AD70</f>
        <v>172.15593232905715</v>
      </c>
      <c r="AH34" s="26">
        <f>'Données capacités de production'!AE70</f>
        <v>171.83950899829176</v>
      </c>
      <c r="AI34" s="26">
        <f>'Données capacités de production'!AF70</f>
        <v>171.42876812161165</v>
      </c>
      <c r="AJ34" s="26">
        <f>'Données capacités de production'!AG70</f>
        <v>170.9237096990274</v>
      </c>
      <c r="AK34" s="26">
        <f>'Données capacités de production'!AH70</f>
        <v>170.32433373054852</v>
      </c>
      <c r="AL34" s="26">
        <f>'Données capacités de production'!AI70</f>
        <v>169.63064021618359</v>
      </c>
      <c r="AM34" s="26">
        <f>'Données capacités de production'!AJ70</f>
        <v>168.84262915594047</v>
      </c>
      <c r="AN34" s="26">
        <f>'Données capacités de production'!AK70</f>
        <v>167.9603005498258</v>
      </c>
      <c r="AO34" s="26">
        <f>'Données capacités de production'!AL70</f>
        <v>166.98365439784527</v>
      </c>
      <c r="AP34" s="26">
        <f>'Données capacités de production'!AM70</f>
        <v>165.91269070000325</v>
      </c>
    </row>
    <row r="37" spans="1:42" x14ac:dyDescent="0.25">
      <c r="A37" s="40" t="s">
        <v>129</v>
      </c>
      <c r="B37" s="40"/>
      <c r="C37" s="40"/>
      <c r="D37" s="40"/>
      <c r="E37" s="61">
        <f>E38</f>
        <v>84.241910432886939</v>
      </c>
      <c r="F37" s="61">
        <f t="shared" ref="F37:AP37" si="46">F38</f>
        <v>211.74211987208605</v>
      </c>
      <c r="G37" s="61">
        <f t="shared" si="46"/>
        <v>337.65354488832264</v>
      </c>
      <c r="H37" s="61">
        <f t="shared" si="46"/>
        <v>461.9762872496533</v>
      </c>
      <c r="I37" s="61">
        <f t="shared" si="46"/>
        <v>584.7104416078912</v>
      </c>
      <c r="J37" s="61">
        <f t="shared" si="46"/>
        <v>705.85609494678465</v>
      </c>
      <c r="K37" s="61">
        <f t="shared" si="46"/>
        <v>825.41332610734503</v>
      </c>
      <c r="L37" s="61">
        <f t="shared" si="46"/>
        <v>943.38220539236715</v>
      </c>
      <c r="M37" s="61">
        <f t="shared" si="46"/>
        <v>1059.7627942514787</v>
      </c>
      <c r="N37" s="61">
        <f t="shared" si="46"/>
        <v>1174.555145047357</v>
      </c>
      <c r="O37" s="61">
        <f t="shared" si="46"/>
        <v>1287.7593009030638</v>
      </c>
      <c r="P37" s="61">
        <f t="shared" si="46"/>
        <v>1399.3752956297724</v>
      </c>
      <c r="Q37" s="61">
        <f t="shared" si="46"/>
        <v>1509.4031537334981</v>
      </c>
      <c r="R37" s="61">
        <f t="shared" si="46"/>
        <v>1617.8428904988218</v>
      </c>
      <c r="S37" s="61">
        <f t="shared" si="46"/>
        <v>1724.6945121469896</v>
      </c>
      <c r="T37" s="61">
        <f t="shared" si="46"/>
        <v>1829.9580160651983</v>
      </c>
      <c r="U37" s="61">
        <f t="shared" si="46"/>
        <v>1933.6333911033616</v>
      </c>
      <c r="V37" s="61">
        <f t="shared" si="46"/>
        <v>2035.7206179341433</v>
      </c>
      <c r="W37" s="61">
        <f t="shared" si="46"/>
        <v>2137.8088618876536</v>
      </c>
      <c r="X37" s="61">
        <f t="shared" si="46"/>
        <v>2239.8981192996953</v>
      </c>
      <c r="Y37" s="61">
        <f t="shared" si="46"/>
        <v>2341.9883792435871</v>
      </c>
      <c r="Z37" s="61">
        <f t="shared" si="46"/>
        <v>2444.0796236609772</v>
      </c>
      <c r="AA37" s="61">
        <f t="shared" si="46"/>
        <v>2546.1718275430139</v>
      </c>
      <c r="AB37" s="61">
        <f t="shared" si="46"/>
        <v>2648.2649591601967</v>
      </c>
      <c r="AC37" s="61">
        <f t="shared" si="46"/>
        <v>2750.3589803389123</v>
      </c>
      <c r="AD37" s="61">
        <f t="shared" si="46"/>
        <v>2852.4538467823277</v>
      </c>
      <c r="AE37" s="61">
        <f t="shared" si="46"/>
        <v>2954.5495084330132</v>
      </c>
      <c r="AF37" s="61">
        <f t="shared" si="46"/>
        <v>3056.6459098743881</v>
      </c>
      <c r="AG37" s="61">
        <f t="shared" si="46"/>
        <v>3158.7429907678211</v>
      </c>
      <c r="AH37" s="61">
        <f t="shared" si="46"/>
        <v>3260.8406863219916</v>
      </c>
      <c r="AI37" s="61">
        <f t="shared" si="46"/>
        <v>3362.9389277908917</v>
      </c>
      <c r="AJ37" s="61">
        <f t="shared" si="46"/>
        <v>3440.1886167152779</v>
      </c>
      <c r="AK37" s="61">
        <f t="shared" si="46"/>
        <v>3519.1968191520887</v>
      </c>
      <c r="AL37" s="61">
        <f t="shared" si="46"/>
        <v>3599.7942963151013</v>
      </c>
      <c r="AM37" s="61">
        <f t="shared" si="46"/>
        <v>3681.9809603376298</v>
      </c>
      <c r="AN37" s="61">
        <f t="shared" si="46"/>
        <v>3765.7567266652536</v>
      </c>
      <c r="AO37" s="61">
        <f t="shared" si="46"/>
        <v>3851.1215145443425</v>
      </c>
      <c r="AP37" s="61">
        <f t="shared" si="46"/>
        <v>3938.0752474625197</v>
      </c>
    </row>
    <row r="38" spans="1:42" x14ac:dyDescent="0.25">
      <c r="A38" s="18" t="s">
        <v>15</v>
      </c>
      <c r="B38" s="27"/>
      <c r="C38" s="27"/>
      <c r="D38" s="27"/>
      <c r="E38" s="27">
        <f t="shared" ref="E38:AO38" si="47">E39+E40</f>
        <v>84.241910432886939</v>
      </c>
      <c r="F38" s="27">
        <f t="shared" si="47"/>
        <v>211.74211987208605</v>
      </c>
      <c r="G38" s="27">
        <f t="shared" si="47"/>
        <v>337.65354488832264</v>
      </c>
      <c r="H38" s="27">
        <f t="shared" si="47"/>
        <v>461.9762872496533</v>
      </c>
      <c r="I38" s="27">
        <f t="shared" si="47"/>
        <v>584.7104416078912</v>
      </c>
      <c r="J38" s="27">
        <f t="shared" si="47"/>
        <v>705.85609494678465</v>
      </c>
      <c r="K38" s="27">
        <f t="shared" si="47"/>
        <v>825.41332610734503</v>
      </c>
      <c r="L38" s="27">
        <f t="shared" si="47"/>
        <v>943.38220539236715</v>
      </c>
      <c r="M38" s="27">
        <f t="shared" si="47"/>
        <v>1059.7627942514787</v>
      </c>
      <c r="N38" s="27">
        <f t="shared" si="47"/>
        <v>1174.555145047357</v>
      </c>
      <c r="O38" s="27">
        <f t="shared" si="47"/>
        <v>1287.7593009030638</v>
      </c>
      <c r="P38" s="27">
        <f t="shared" si="47"/>
        <v>1399.3752956297724</v>
      </c>
      <c r="Q38" s="27">
        <f t="shared" si="47"/>
        <v>1509.4031537334981</v>
      </c>
      <c r="R38" s="27">
        <f t="shared" si="47"/>
        <v>1617.8428904988218</v>
      </c>
      <c r="S38" s="27">
        <f t="shared" si="47"/>
        <v>1724.6945121469896</v>
      </c>
      <c r="T38" s="27">
        <f t="shared" si="47"/>
        <v>1829.9580160651983</v>
      </c>
      <c r="U38" s="27">
        <f t="shared" si="47"/>
        <v>1933.6333911033616</v>
      </c>
      <c r="V38" s="27">
        <f t="shared" si="47"/>
        <v>2035.7206179341433</v>
      </c>
      <c r="W38" s="27">
        <f t="shared" si="47"/>
        <v>2137.8088618876536</v>
      </c>
      <c r="X38" s="27">
        <f t="shared" si="47"/>
        <v>2239.8981192996953</v>
      </c>
      <c r="Y38" s="27">
        <f t="shared" si="47"/>
        <v>2341.9883792435871</v>
      </c>
      <c r="Z38" s="27">
        <f t="shared" si="47"/>
        <v>2444.0796236609772</v>
      </c>
      <c r="AA38" s="27">
        <f t="shared" si="47"/>
        <v>2546.1718275430139</v>
      </c>
      <c r="AB38" s="27">
        <f t="shared" si="47"/>
        <v>2648.2649591601967</v>
      </c>
      <c r="AC38" s="27">
        <f t="shared" si="47"/>
        <v>2750.3589803389123</v>
      </c>
      <c r="AD38" s="27">
        <f t="shared" si="47"/>
        <v>2852.4538467823277</v>
      </c>
      <c r="AE38" s="27">
        <f t="shared" si="47"/>
        <v>2954.5495084330132</v>
      </c>
      <c r="AF38" s="27">
        <f t="shared" si="47"/>
        <v>3056.6459098743881</v>
      </c>
      <c r="AG38" s="27">
        <f t="shared" si="47"/>
        <v>3158.7429907678211</v>
      </c>
      <c r="AH38" s="27">
        <f t="shared" si="47"/>
        <v>3260.8406863219916</v>
      </c>
      <c r="AI38" s="27">
        <f t="shared" si="47"/>
        <v>3362.9389277908917</v>
      </c>
      <c r="AJ38" s="27">
        <f t="shared" si="47"/>
        <v>3440.1886167152779</v>
      </c>
      <c r="AK38" s="27">
        <f t="shared" si="47"/>
        <v>3519.1968191520887</v>
      </c>
      <c r="AL38" s="27">
        <f t="shared" si="47"/>
        <v>3599.7942963151013</v>
      </c>
      <c r="AM38" s="27">
        <f t="shared" si="47"/>
        <v>3681.9809603376298</v>
      </c>
      <c r="AN38" s="27">
        <f t="shared" si="47"/>
        <v>3765.7567266652536</v>
      </c>
      <c r="AO38" s="27">
        <f t="shared" si="47"/>
        <v>3851.1215145443425</v>
      </c>
      <c r="AP38" s="27">
        <f>AP39+AP40</f>
        <v>3938.0752474625197</v>
      </c>
    </row>
    <row r="39" spans="1:42" x14ac:dyDescent="0.25">
      <c r="A39" s="1" t="s">
        <v>26</v>
      </c>
      <c r="B39" s="52"/>
      <c r="C39" s="13"/>
      <c r="D39" s="13"/>
      <c r="E39" s="26">
        <f>'Données capacités de production'!B82</f>
        <v>0.66741934583389084</v>
      </c>
      <c r="F39" s="26">
        <f>'Données capacités de production'!C82</f>
        <v>1.6775591437126192</v>
      </c>
      <c r="G39" s="26">
        <f>'Données capacités de production'!D82</f>
        <v>2.6751115553984679</v>
      </c>
      <c r="H39" s="26">
        <f>'Données capacités de production'!E82</f>
        <v>3.6600773871643408</v>
      </c>
      <c r="I39" s="26">
        <f>'Données capacités de production'!F82</f>
        <v>4.6324573889036218</v>
      </c>
      <c r="J39" s="26">
        <f>'Données capacités de production'!G82</f>
        <v>5.5922522497582827</v>
      </c>
      <c r="K39" s="26">
        <f>'Données capacités de production'!H82</f>
        <v>6.539462594358227</v>
      </c>
      <c r="L39" s="26">
        <f>'Données capacités de production'!I82</f>
        <v>7.4740889796880365</v>
      </c>
      <c r="M39" s="26">
        <f>'Données capacités de production'!J82</f>
        <v>8.3961318925917308</v>
      </c>
      <c r="N39" s="26">
        <f>'Données capacités de production'!K82</f>
        <v>9.3055917479205856</v>
      </c>
      <c r="O39" s="26">
        <f>'Données capacités de production'!L82</f>
        <v>10.202468887323613</v>
      </c>
      <c r="P39" s="26">
        <f>'Données capacités de production'!M82</f>
        <v>11.086763578674974</v>
      </c>
      <c r="Q39" s="26">
        <f>'Données capacités de production'!N82</f>
        <v>11.958476016127305</v>
      </c>
      <c r="R39" s="26">
        <f>'Données capacités de production'!O82</f>
        <v>12.81760632077502</v>
      </c>
      <c r="S39" s="26">
        <f>'Données capacités de production'!P82</f>
        <v>13.664154541906887</v>
      </c>
      <c r="T39" s="26">
        <f>'Données capacités de production'!Q82</f>
        <v>14.498120658822577</v>
      </c>
      <c r="U39" s="26">
        <f>'Données capacités de production'!R82</f>
        <v>15.319504583183836</v>
      </c>
      <c r="V39" s="26">
        <f>'Données capacités de production'!S82</f>
        <v>16.128306161866899</v>
      </c>
      <c r="W39" s="26">
        <f>'Données capacités de production'!T82</f>
        <v>16.937115798859455</v>
      </c>
      <c r="X39" s="26">
        <f>'Données capacités de production'!U82</f>
        <v>17.745933465131337</v>
      </c>
      <c r="Y39" s="26">
        <f>'Données capacités de production'!V82</f>
        <v>18.554759074114255</v>
      </c>
      <c r="Z39" s="26">
        <f>'Données capacités de production'!W82</f>
        <v>19.363592482738166</v>
      </c>
      <c r="AA39" s="26">
        <f>'Données capacités de production'!X82</f>
        <v>20.172433492866645</v>
      </c>
      <c r="AB39" s="26">
        <f>'Données capacités de production'!Y82</f>
        <v>20.981281853117899</v>
      </c>
      <c r="AC39" s="26">
        <f>'Données capacités de production'!Z82</f>
        <v>21.790137261055666</v>
      </c>
      <c r="AD39" s="26">
        <f>'Données capacités de production'!AA82</f>
        <v>22.598999365731558</v>
      </c>
      <c r="AE39" s="26">
        <f>'Données capacités de production'!AB82</f>
        <v>23.407867770557971</v>
      </c>
      <c r="AF39" s="26">
        <f>'Données capacités de production'!AC82</f>
        <v>24.216742036488618</v>
      </c>
      <c r="AG39" s="26">
        <f>'Données capacités de production'!AD82</f>
        <v>25.025621685481518</v>
      </c>
      <c r="AH39" s="26">
        <f>'Données capacités de production'!AE82</f>
        <v>25.834506204217579</v>
      </c>
      <c r="AI39" s="26">
        <f>'Données capacités de production'!AF82</f>
        <v>26.643395048046102</v>
      </c>
      <c r="AJ39" s="26">
        <f>'Données capacités de production'!AG82</f>
        <v>27.255417455691525</v>
      </c>
      <c r="AK39" s="26">
        <f>'Données capacités de production'!AH82</f>
        <v>27.881371954051311</v>
      </c>
      <c r="AL39" s="26">
        <f>'Données capacités de production'!AI82</f>
        <v>28.519917723105952</v>
      </c>
      <c r="AM39" s="26">
        <f>'Données capacités de production'!AJ82</f>
        <v>29.171054066718259</v>
      </c>
      <c r="AN39" s="26">
        <f>'Données capacités de production'!AK82</f>
        <v>29.834780314992987</v>
      </c>
      <c r="AO39" s="26">
        <f>'Données capacités de production'!AL82</f>
        <v>30.511095828147216</v>
      </c>
      <c r="AP39" s="26">
        <f>'Données capacités de production'!AM82</f>
        <v>31.2</v>
      </c>
    </row>
    <row r="40" spans="1:42" x14ac:dyDescent="0.25">
      <c r="A40" s="1" t="s">
        <v>25</v>
      </c>
      <c r="B40" s="52"/>
      <c r="C40" s="13"/>
      <c r="D40" s="13"/>
      <c r="E40" s="26">
        <f>'Données capacités de production'!B83</f>
        <v>83.574491087053048</v>
      </c>
      <c r="F40" s="26">
        <f>'Données capacités de production'!C83</f>
        <v>210.06456072837344</v>
      </c>
      <c r="G40" s="26">
        <f>'Données capacités de production'!D83</f>
        <v>334.97843333292417</v>
      </c>
      <c r="H40" s="26">
        <f>'Données capacités de production'!E83</f>
        <v>458.31620986248896</v>
      </c>
      <c r="I40" s="26">
        <f>'Données capacités de production'!F83</f>
        <v>580.07798421898758</v>
      </c>
      <c r="J40" s="26">
        <f>'Données capacités de production'!G83</f>
        <v>700.26384269702635</v>
      </c>
      <c r="K40" s="26">
        <f>'Données capacités de production'!H83</f>
        <v>818.87386351298676</v>
      </c>
      <c r="L40" s="26">
        <f>'Données capacités de production'!I83</f>
        <v>935.90811641267908</v>
      </c>
      <c r="M40" s="26">
        <f>'Données capacités de production'!J83</f>
        <v>1051.366662358887</v>
      </c>
      <c r="N40" s="26">
        <f>'Données capacités de production'!K83</f>
        <v>1165.2495532994365</v>
      </c>
      <c r="O40" s="26">
        <f>'Données capacités de production'!L83</f>
        <v>1277.5568320157402</v>
      </c>
      <c r="P40" s="26">
        <f>'Données capacités de production'!M83</f>
        <v>1388.2885320510975</v>
      </c>
      <c r="Q40" s="26">
        <f>'Données capacités de production'!N83</f>
        <v>1497.4446777173707</v>
      </c>
      <c r="R40" s="26">
        <f>'Données capacités de production'!O83</f>
        <v>1605.0252841780468</v>
      </c>
      <c r="S40" s="26">
        <f>'Données capacités de production'!P83</f>
        <v>1711.0303576050828</v>
      </c>
      <c r="T40" s="26">
        <f>'Données capacités de production'!Q83</f>
        <v>1815.4598954063758</v>
      </c>
      <c r="U40" s="26">
        <f>'Données capacités de production'!R83</f>
        <v>1918.3138865201779</v>
      </c>
      <c r="V40" s="26">
        <f>'Données capacités de production'!S83</f>
        <v>2019.5923117722764</v>
      </c>
      <c r="W40" s="26">
        <f>'Données capacités de production'!T83</f>
        <v>2120.8717460887942</v>
      </c>
      <c r="X40" s="26">
        <f>'Données capacités de production'!U83</f>
        <v>2222.1521858345641</v>
      </c>
      <c r="Y40" s="26">
        <f>'Données capacités de production'!V83</f>
        <v>2323.4336201694728</v>
      </c>
      <c r="Z40" s="26">
        <f>'Données capacités de production'!W83</f>
        <v>2424.7160311782391</v>
      </c>
      <c r="AA40" s="26">
        <f>'Données capacités de production'!X83</f>
        <v>2525.9993940501472</v>
      </c>
      <c r="AB40" s="26">
        <f>'Données capacités de production'!Y83</f>
        <v>2627.283677307079</v>
      </c>
      <c r="AC40" s="26">
        <f>'Données capacités de production'!Z83</f>
        <v>2728.5688430778564</v>
      </c>
      <c r="AD40" s="26">
        <f>'Données capacités de production'!AA83</f>
        <v>2829.8548474165959</v>
      </c>
      <c r="AE40" s="26">
        <f>'Données capacités de production'!AB83</f>
        <v>2931.1416406624553</v>
      </c>
      <c r="AF40" s="26">
        <f>'Données capacités de production'!AC83</f>
        <v>3032.4291678378995</v>
      </c>
      <c r="AG40" s="26">
        <f>'Données capacités de production'!AD83</f>
        <v>3133.7173690823397</v>
      </c>
      <c r="AH40" s="26">
        <f>'Données capacités de production'!AE83</f>
        <v>3235.006180117774</v>
      </c>
      <c r="AI40" s="26">
        <f>'Données capacités de production'!AF83</f>
        <v>3336.2955327428458</v>
      </c>
      <c r="AJ40" s="26">
        <f>'Données capacités de production'!AG83</f>
        <v>3412.9331992595862</v>
      </c>
      <c r="AK40" s="26">
        <f>'Données capacités de production'!AH83</f>
        <v>3491.3154471980374</v>
      </c>
      <c r="AL40" s="26">
        <f>'Données capacités de production'!AI83</f>
        <v>3571.2743785919952</v>
      </c>
      <c r="AM40" s="26">
        <f>'Données capacités de production'!AJ83</f>
        <v>3652.8099062709116</v>
      </c>
      <c r="AN40" s="26">
        <f>'Données capacités de production'!AK83</f>
        <v>3735.9219463502604</v>
      </c>
      <c r="AO40" s="26">
        <f>'Données capacités de production'!AL83</f>
        <v>3820.6104187161955</v>
      </c>
      <c r="AP40" s="26">
        <f>'Données capacités de production'!AM83</f>
        <v>3906.8752474625198</v>
      </c>
    </row>
    <row r="41" spans="1:42" x14ac:dyDescent="0.25">
      <c r="A41" s="1"/>
      <c r="B41" s="5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52"/>
      <c r="AI41" s="52"/>
      <c r="AJ41" s="52"/>
      <c r="AK41" s="52"/>
      <c r="AL41" s="52"/>
      <c r="AM41" s="52"/>
      <c r="AN41" s="52"/>
      <c r="AO41" s="1"/>
      <c r="AP41" s="13"/>
    </row>
    <row r="43" spans="1:42" x14ac:dyDescent="0.25">
      <c r="A43" s="40" t="s">
        <v>131</v>
      </c>
      <c r="B43" s="40"/>
      <c r="C43" s="40"/>
      <c r="D43" s="40"/>
      <c r="E43" s="61">
        <f>E44</f>
        <v>0.69747436000000018</v>
      </c>
      <c r="F43" s="61">
        <f t="shared" ref="F43:AP43" si="48">F44</f>
        <v>2.5324291070270704</v>
      </c>
      <c r="G43" s="61">
        <f t="shared" si="48"/>
        <v>4.3691275399541407</v>
      </c>
      <c r="H43" s="61">
        <f t="shared" si="48"/>
        <v>6.2058259728812075</v>
      </c>
      <c r="I43" s="61">
        <f t="shared" si="48"/>
        <v>8.0425244058082743</v>
      </c>
      <c r="J43" s="61">
        <f t="shared" si="48"/>
        <v>9.8792228387353394</v>
      </c>
      <c r="K43" s="61">
        <f t="shared" si="48"/>
        <v>11.715921271662403</v>
      </c>
      <c r="L43" s="61">
        <f t="shared" si="48"/>
        <v>13.552619704589466</v>
      </c>
      <c r="M43" s="61">
        <f t="shared" si="48"/>
        <v>15.389318137516529</v>
      </c>
      <c r="N43" s="61">
        <f t="shared" si="48"/>
        <v>17.226016570443587</v>
      </c>
      <c r="O43" s="61">
        <f t="shared" si="48"/>
        <v>19.062715003370645</v>
      </c>
      <c r="P43" s="61">
        <f t="shared" si="48"/>
        <v>20.899413436297703</v>
      </c>
      <c r="Q43" s="61">
        <f t="shared" si="48"/>
        <v>22.736111869224757</v>
      </c>
      <c r="R43" s="61">
        <f t="shared" si="48"/>
        <v>24.572810302151805</v>
      </c>
      <c r="S43" s="61">
        <f t="shared" si="48"/>
        <v>26.409508735078855</v>
      </c>
      <c r="T43" s="61">
        <f t="shared" si="48"/>
        <v>28.246207168005903</v>
      </c>
      <c r="U43" s="61">
        <f t="shared" si="48"/>
        <v>30.082905600932957</v>
      </c>
      <c r="V43" s="61">
        <f t="shared" si="48"/>
        <v>31.919604033860001</v>
      </c>
      <c r="W43" s="61">
        <f t="shared" si="48"/>
        <v>33.756302466787034</v>
      </c>
      <c r="X43" s="61">
        <f t="shared" si="48"/>
        <v>35.59300089971407</v>
      </c>
      <c r="Y43" s="61">
        <f t="shared" si="48"/>
        <v>37.396569300541096</v>
      </c>
      <c r="Z43" s="61">
        <f t="shared" si="48"/>
        <v>39.231524047568115</v>
      </c>
      <c r="AA43" s="61">
        <f t="shared" si="48"/>
        <v>41.066478794595135</v>
      </c>
      <c r="AB43" s="61">
        <f t="shared" si="48"/>
        <v>42.901433541622154</v>
      </c>
      <c r="AC43" s="61">
        <f t="shared" si="48"/>
        <v>44.736388288649138</v>
      </c>
      <c r="AD43" s="61">
        <f t="shared" si="48"/>
        <v>46.571343035676151</v>
      </c>
      <c r="AE43" s="61">
        <f t="shared" si="48"/>
        <v>48.406297782703156</v>
      </c>
      <c r="AF43" s="61">
        <f t="shared" si="48"/>
        <v>50.241252529730147</v>
      </c>
      <c r="AG43" s="61">
        <f t="shared" si="48"/>
        <v>52.076207276757131</v>
      </c>
      <c r="AH43" s="61">
        <f t="shared" si="48"/>
        <v>53.911162023784115</v>
      </c>
      <c r="AI43" s="61">
        <f t="shared" si="48"/>
        <v>55.746116770811106</v>
      </c>
      <c r="AJ43" s="61">
        <f t="shared" si="48"/>
        <v>57.581071517838083</v>
      </c>
      <c r="AK43" s="61">
        <f t="shared" si="48"/>
        <v>59.416026264865067</v>
      </c>
      <c r="AL43" s="61">
        <f t="shared" si="48"/>
        <v>61.250981011892037</v>
      </c>
      <c r="AM43" s="61">
        <f t="shared" si="48"/>
        <v>63.085935758919</v>
      </c>
      <c r="AN43" s="61">
        <f t="shared" si="48"/>
        <v>64.920890505945962</v>
      </c>
      <c r="AO43" s="61">
        <f t="shared" si="48"/>
        <v>66.755845252972918</v>
      </c>
      <c r="AP43" s="61">
        <f t="shared" si="48"/>
        <v>68.590799999999845</v>
      </c>
    </row>
    <row r="44" spans="1:42" x14ac:dyDescent="0.25">
      <c r="A44" s="18" t="s">
        <v>18</v>
      </c>
      <c r="B44" s="27"/>
      <c r="C44" s="27"/>
      <c r="D44" s="27"/>
      <c r="E44" s="27">
        <f t="shared" ref="E44:AO44" si="49">E45+E46</f>
        <v>0.69747436000000018</v>
      </c>
      <c r="F44" s="27">
        <f t="shared" si="49"/>
        <v>2.5324291070270704</v>
      </c>
      <c r="G44" s="27">
        <f t="shared" si="49"/>
        <v>4.3691275399541407</v>
      </c>
      <c r="H44" s="27">
        <f t="shared" si="49"/>
        <v>6.2058259728812075</v>
      </c>
      <c r="I44" s="27">
        <f t="shared" si="49"/>
        <v>8.0425244058082743</v>
      </c>
      <c r="J44" s="27">
        <f t="shared" si="49"/>
        <v>9.8792228387353394</v>
      </c>
      <c r="K44" s="27">
        <f t="shared" si="49"/>
        <v>11.715921271662403</v>
      </c>
      <c r="L44" s="27">
        <f t="shared" si="49"/>
        <v>13.552619704589466</v>
      </c>
      <c r="M44" s="27">
        <f t="shared" si="49"/>
        <v>15.389318137516529</v>
      </c>
      <c r="N44" s="27">
        <f t="shared" si="49"/>
        <v>17.226016570443587</v>
      </c>
      <c r="O44" s="27">
        <f t="shared" si="49"/>
        <v>19.062715003370645</v>
      </c>
      <c r="P44" s="27">
        <f t="shared" si="49"/>
        <v>20.899413436297703</v>
      </c>
      <c r="Q44" s="27">
        <f t="shared" si="49"/>
        <v>22.736111869224757</v>
      </c>
      <c r="R44" s="27">
        <f t="shared" si="49"/>
        <v>24.572810302151805</v>
      </c>
      <c r="S44" s="27">
        <f t="shared" si="49"/>
        <v>26.409508735078855</v>
      </c>
      <c r="T44" s="27">
        <f t="shared" si="49"/>
        <v>28.246207168005903</v>
      </c>
      <c r="U44" s="27">
        <f t="shared" si="49"/>
        <v>30.082905600932957</v>
      </c>
      <c r="V44" s="27">
        <f t="shared" si="49"/>
        <v>31.919604033860001</v>
      </c>
      <c r="W44" s="27">
        <f t="shared" si="49"/>
        <v>33.756302466787034</v>
      </c>
      <c r="X44" s="27">
        <f t="shared" si="49"/>
        <v>35.59300089971407</v>
      </c>
      <c r="Y44" s="27">
        <f t="shared" si="49"/>
        <v>37.396569300541096</v>
      </c>
      <c r="Z44" s="27">
        <f t="shared" si="49"/>
        <v>39.231524047568115</v>
      </c>
      <c r="AA44" s="27">
        <f t="shared" si="49"/>
        <v>41.066478794595135</v>
      </c>
      <c r="AB44" s="27">
        <f t="shared" si="49"/>
        <v>42.901433541622154</v>
      </c>
      <c r="AC44" s="27">
        <f t="shared" si="49"/>
        <v>44.736388288649138</v>
      </c>
      <c r="AD44" s="27">
        <f t="shared" si="49"/>
        <v>46.571343035676151</v>
      </c>
      <c r="AE44" s="27">
        <f t="shared" si="49"/>
        <v>48.406297782703156</v>
      </c>
      <c r="AF44" s="27">
        <f t="shared" si="49"/>
        <v>50.241252529730147</v>
      </c>
      <c r="AG44" s="27">
        <f t="shared" si="49"/>
        <v>52.076207276757131</v>
      </c>
      <c r="AH44" s="27">
        <f t="shared" si="49"/>
        <v>53.911162023784115</v>
      </c>
      <c r="AI44" s="27">
        <f t="shared" si="49"/>
        <v>55.746116770811106</v>
      </c>
      <c r="AJ44" s="27">
        <f t="shared" si="49"/>
        <v>57.581071517838083</v>
      </c>
      <c r="AK44" s="27">
        <f t="shared" si="49"/>
        <v>59.416026264865067</v>
      </c>
      <c r="AL44" s="27">
        <f t="shared" si="49"/>
        <v>61.250981011892037</v>
      </c>
      <c r="AM44" s="27">
        <f t="shared" si="49"/>
        <v>63.085935758919</v>
      </c>
      <c r="AN44" s="27">
        <f t="shared" si="49"/>
        <v>64.920890505945962</v>
      </c>
      <c r="AO44" s="27">
        <f t="shared" si="49"/>
        <v>66.755845252972918</v>
      </c>
      <c r="AP44" s="27">
        <f>AP45+AP46</f>
        <v>68.590799999999845</v>
      </c>
    </row>
    <row r="45" spans="1:42" x14ac:dyDescent="0.25">
      <c r="A45" s="1" t="s">
        <v>26</v>
      </c>
      <c r="B45" s="52"/>
      <c r="C45" s="13"/>
      <c r="D45" s="13"/>
      <c r="E45" s="26">
        <f>'Données capacités de production'!B94</f>
        <v>0.17022284018264883</v>
      </c>
      <c r="F45" s="26">
        <f>'Données capacités de production'!C94</f>
        <v>0.61805465531285897</v>
      </c>
      <c r="G45" s="26">
        <f>'Données capacités de production'!D94</f>
        <v>1.0663120275435258</v>
      </c>
      <c r="H45" s="26">
        <f>'Données capacités de production'!E94</f>
        <v>1.5145693997741918</v>
      </c>
      <c r="I45" s="26">
        <f>'Données capacités de production'!F94</f>
        <v>1.9628267720048578</v>
      </c>
      <c r="J45" s="26">
        <f>'Données capacités de production'!G94</f>
        <v>2.4110841442355233</v>
      </c>
      <c r="K45" s="26">
        <f>'Données capacités de production'!H94</f>
        <v>2.8593415164661886</v>
      </c>
      <c r="L45" s="26">
        <f>'Données capacités de production'!I94</f>
        <v>3.3075988886968535</v>
      </c>
      <c r="M45" s="26">
        <f>'Données capacités de production'!J94</f>
        <v>3.7558562609275188</v>
      </c>
      <c r="N45" s="26">
        <f>'Données capacités de production'!K94</f>
        <v>4.2041136331581823</v>
      </c>
      <c r="O45" s="26">
        <f>'Données capacités de production'!L94</f>
        <v>4.6523710053888463</v>
      </c>
      <c r="P45" s="26">
        <f>'Données capacités de production'!M94</f>
        <v>5.1006283776195103</v>
      </c>
      <c r="Q45" s="26">
        <f>'Données capacités de production'!N94</f>
        <v>5.5488857498501734</v>
      </c>
      <c r="R45" s="26">
        <f>'Données capacités de production'!O94</f>
        <v>5.9971431220808347</v>
      </c>
      <c r="S45" s="26">
        <f>'Données capacités de production'!P94</f>
        <v>6.4454004943114969</v>
      </c>
      <c r="T45" s="26">
        <f>'Données capacités de production'!Q94</f>
        <v>6.8936578665421582</v>
      </c>
      <c r="U45" s="26">
        <f>'Données capacités de production'!R94</f>
        <v>7.3419152387728204</v>
      </c>
      <c r="V45" s="26">
        <f>'Données capacités de production'!S94</f>
        <v>7.7901726110034808</v>
      </c>
      <c r="W45" s="26">
        <f>'Données capacités de production'!T94</f>
        <v>8.2384299832341394</v>
      </c>
      <c r="X45" s="26">
        <f>'Données capacités de production'!U94</f>
        <v>8.6866873554647981</v>
      </c>
      <c r="Y45" s="26">
        <f>'Données capacités de production'!V94</f>
        <v>9.1268591427867776</v>
      </c>
      <c r="Z45" s="26">
        <f>'Données capacités de production'!W94</f>
        <v>9.5746909579169746</v>
      </c>
      <c r="AA45" s="26">
        <f>'Données capacités de production'!X94</f>
        <v>10.022522773047173</v>
      </c>
      <c r="AB45" s="26">
        <f>'Données capacités de production'!Y94</f>
        <v>10.470354588177369</v>
      </c>
      <c r="AC45" s="26">
        <f>'Données capacités de production'!Z94</f>
        <v>10.918186403307562</v>
      </c>
      <c r="AD45" s="26">
        <f>'Données capacités de production'!AA94</f>
        <v>11.366018218437755</v>
      </c>
      <c r="AE45" s="26">
        <f>'Données capacités de production'!AB94</f>
        <v>11.813850033567951</v>
      </c>
      <c r="AF45" s="26">
        <f>'Données capacités de production'!AC94</f>
        <v>12.261681848698142</v>
      </c>
      <c r="AG45" s="26">
        <f>'Données capacités de production'!AD94</f>
        <v>12.70951366382833</v>
      </c>
      <c r="AH45" s="26">
        <f>'Données capacités de production'!AE94</f>
        <v>13.157345478958522</v>
      </c>
      <c r="AI45" s="26">
        <f>'Données capacités de production'!AF94</f>
        <v>13.60517729408871</v>
      </c>
      <c r="AJ45" s="26">
        <f>'Données capacités de production'!AG94</f>
        <v>14.053009109218898</v>
      </c>
      <c r="AK45" s="26">
        <f>'Données capacités de production'!AH94</f>
        <v>14.500840924349086</v>
      </c>
      <c r="AL45" s="26">
        <f>'Données capacités de production'!AI94</f>
        <v>14.948672739479273</v>
      </c>
      <c r="AM45" s="26">
        <f>'Données capacités de production'!AJ94</f>
        <v>15.396504554609457</v>
      </c>
      <c r="AN45" s="26">
        <f>'Données capacités de production'!AK94</f>
        <v>15.84433636973964</v>
      </c>
      <c r="AO45" s="26">
        <f>'Données capacités de production'!AL94</f>
        <v>16.292168184869823</v>
      </c>
      <c r="AP45" s="26">
        <f>'Données capacités de production'!AM94</f>
        <v>16.739999999999998</v>
      </c>
    </row>
    <row r="46" spans="1:42" x14ac:dyDescent="0.25">
      <c r="A46" s="1" t="s">
        <v>25</v>
      </c>
      <c r="B46" s="52"/>
      <c r="C46" s="13"/>
      <c r="D46" s="13"/>
      <c r="E46" s="26">
        <f>'Données capacités de production'!B95</f>
        <v>0.5272515198173513</v>
      </c>
      <c r="F46" s="26">
        <f>'Données capacités de production'!C95</f>
        <v>1.9143744517142114</v>
      </c>
      <c r="G46" s="26">
        <f>'Données capacités de production'!D95</f>
        <v>3.3028155124106151</v>
      </c>
      <c r="H46" s="26">
        <f>'Données capacités de production'!E95</f>
        <v>4.6912565731070153</v>
      </c>
      <c r="I46" s="26">
        <f>'Données capacités de production'!F95</f>
        <v>6.0796976338034163</v>
      </c>
      <c r="J46" s="26">
        <f>'Données capacités de production'!G95</f>
        <v>7.4681386944998156</v>
      </c>
      <c r="K46" s="26">
        <f>'Données capacités de production'!H95</f>
        <v>8.8565797551962149</v>
      </c>
      <c r="L46" s="26">
        <f>'Données capacités de production'!I95</f>
        <v>10.245020815892612</v>
      </c>
      <c r="M46" s="26">
        <f>'Données capacités de production'!J95</f>
        <v>11.63346187658901</v>
      </c>
      <c r="N46" s="26">
        <f>'Données capacités de production'!K95</f>
        <v>13.021902937285404</v>
      </c>
      <c r="O46" s="26">
        <f>'Données capacités de production'!L95</f>
        <v>14.410343997981798</v>
      </c>
      <c r="P46" s="26">
        <f>'Données capacités de production'!M95</f>
        <v>15.798785058678192</v>
      </c>
      <c r="Q46" s="26">
        <f>'Données capacités de production'!N95</f>
        <v>17.187226119374586</v>
      </c>
      <c r="R46" s="26">
        <f>'Données capacités de production'!O95</f>
        <v>18.575667180070969</v>
      </c>
      <c r="S46" s="26">
        <f>'Données capacités de production'!P95</f>
        <v>19.964108240767359</v>
      </c>
      <c r="T46" s="26">
        <f>'Données capacités de production'!Q95</f>
        <v>21.352549301463746</v>
      </c>
      <c r="U46" s="26">
        <f>'Données capacités de production'!R95</f>
        <v>22.740990362160137</v>
      </c>
      <c r="V46" s="26">
        <f>'Données capacités de production'!S95</f>
        <v>24.12943142285652</v>
      </c>
      <c r="W46" s="26">
        <f>'Données capacités de production'!T95</f>
        <v>25.517872483552893</v>
      </c>
      <c r="X46" s="26">
        <f>'Données capacités de production'!U95</f>
        <v>26.906313544249272</v>
      </c>
      <c r="Y46" s="26">
        <f>'Données capacités de production'!V95</f>
        <v>28.269710157754318</v>
      </c>
      <c r="Z46" s="26">
        <f>'Données capacités de production'!W95</f>
        <v>29.656833089651141</v>
      </c>
      <c r="AA46" s="26">
        <f>'Données capacités de production'!X95</f>
        <v>31.043956021547963</v>
      </c>
      <c r="AB46" s="26">
        <f>'Données capacités de production'!Y95</f>
        <v>32.431078953444782</v>
      </c>
      <c r="AC46" s="26">
        <f>'Données capacités de production'!Z95</f>
        <v>33.81820188534158</v>
      </c>
      <c r="AD46" s="26">
        <f>'Données capacités de production'!AA95</f>
        <v>35.205324817238392</v>
      </c>
      <c r="AE46" s="26">
        <f>'Données capacités de production'!AB95</f>
        <v>36.592447749135204</v>
      </c>
      <c r="AF46" s="26">
        <f>'Données capacités de production'!AC95</f>
        <v>37.979570681032001</v>
      </c>
      <c r="AG46" s="26">
        <f>'Données capacités de production'!AD95</f>
        <v>39.366693612928799</v>
      </c>
      <c r="AH46" s="26">
        <f>'Données capacités de production'!AE95</f>
        <v>40.753816544825597</v>
      </c>
      <c r="AI46" s="26">
        <f>'Données capacités de production'!AF95</f>
        <v>42.140939476722394</v>
      </c>
      <c r="AJ46" s="26">
        <f>'Données capacités de production'!AG95</f>
        <v>43.528062408619185</v>
      </c>
      <c r="AK46" s="26">
        <f>'Données capacités de production'!AH95</f>
        <v>44.915185340515983</v>
      </c>
      <c r="AL46" s="26">
        <f>'Données capacités de production'!AI95</f>
        <v>46.302308272412766</v>
      </c>
      <c r="AM46" s="26">
        <f>'Données capacités de production'!AJ95</f>
        <v>47.689431204309543</v>
      </c>
      <c r="AN46" s="26">
        <f>'Données capacités de production'!AK95</f>
        <v>49.076554136206326</v>
      </c>
      <c r="AO46" s="26">
        <f>'Données capacités de production'!AL95</f>
        <v>50.463677068103095</v>
      </c>
      <c r="AP46" s="26">
        <f>'Données capacités de production'!AM95</f>
        <v>51.85079999999985</v>
      </c>
    </row>
    <row r="49" spans="1:42" x14ac:dyDescent="0.25">
      <c r="A49" s="40" t="s">
        <v>190</v>
      </c>
      <c r="B49" s="40"/>
      <c r="C49" s="40"/>
      <c r="D49" s="40"/>
      <c r="E49" s="61">
        <f>E50+E51</f>
        <v>5167.2261685953299</v>
      </c>
      <c r="F49" s="61">
        <f t="shared" ref="F49:AP49" si="50">F50+F51</f>
        <v>5151.5377750501502</v>
      </c>
      <c r="G49" s="61">
        <f t="shared" si="50"/>
        <v>5134.9514808428958</v>
      </c>
      <c r="H49" s="61">
        <f t="shared" si="50"/>
        <v>5117.4672859735547</v>
      </c>
      <c r="I49" s="61">
        <f t="shared" si="50"/>
        <v>5099.0851904421097</v>
      </c>
      <c r="J49" s="61">
        <f t="shared" si="50"/>
        <v>5079.805194248549</v>
      </c>
      <c r="K49" s="61">
        <f t="shared" si="50"/>
        <v>5059.627297392859</v>
      </c>
      <c r="L49" s="61">
        <f t="shared" si="50"/>
        <v>5038.5514998750295</v>
      </c>
      <c r="M49" s="61">
        <f t="shared" si="50"/>
        <v>5016.5778016950489</v>
      </c>
      <c r="N49" s="61">
        <f t="shared" si="50"/>
        <v>4993.706202852909</v>
      </c>
      <c r="O49" s="61">
        <f t="shared" si="50"/>
        <v>4969.9367033486005</v>
      </c>
      <c r="P49" s="61">
        <f t="shared" si="50"/>
        <v>4945.2693031821154</v>
      </c>
      <c r="Q49" s="61">
        <f t="shared" si="50"/>
        <v>4919.704002353451</v>
      </c>
      <c r="R49" s="61">
        <f t="shared" si="50"/>
        <v>4893.2408008626007</v>
      </c>
      <c r="S49" s="61">
        <f t="shared" si="50"/>
        <v>4865.8796987095602</v>
      </c>
      <c r="T49" s="61">
        <f t="shared" si="50"/>
        <v>4837.6206958943285</v>
      </c>
      <c r="U49" s="61">
        <f t="shared" si="50"/>
        <v>4808.4637924169056</v>
      </c>
      <c r="V49" s="61">
        <f t="shared" si="50"/>
        <v>4778.4089882772896</v>
      </c>
      <c r="W49" s="61">
        <f t="shared" si="50"/>
        <v>4748.3541841375145</v>
      </c>
      <c r="X49" s="61">
        <f t="shared" si="50"/>
        <v>4718.2993799975793</v>
      </c>
      <c r="Y49" s="61">
        <f t="shared" si="50"/>
        <v>4688.2445758574841</v>
      </c>
      <c r="Z49" s="61">
        <f t="shared" si="50"/>
        <v>4658.1897717172342</v>
      </c>
      <c r="AA49" s="61">
        <f t="shared" si="50"/>
        <v>4628.1349675768324</v>
      </c>
      <c r="AB49" s="61">
        <f t="shared" si="50"/>
        <v>4598.0801634362842</v>
      </c>
      <c r="AC49" s="61">
        <f t="shared" si="50"/>
        <v>4568.025359295596</v>
      </c>
      <c r="AD49" s="61">
        <f t="shared" si="50"/>
        <v>4537.9705551547731</v>
      </c>
      <c r="AE49" s="61">
        <f t="shared" si="50"/>
        <v>4507.9157510138248</v>
      </c>
      <c r="AF49" s="61">
        <f t="shared" si="50"/>
        <v>4477.86094687276</v>
      </c>
      <c r="AG49" s="61">
        <f t="shared" si="50"/>
        <v>4447.8061427315879</v>
      </c>
      <c r="AH49" s="61">
        <f t="shared" si="50"/>
        <v>4417.7513385903185</v>
      </c>
      <c r="AI49" s="61">
        <f t="shared" si="50"/>
        <v>4387.6965344489645</v>
      </c>
      <c r="AJ49" s="61">
        <f t="shared" si="50"/>
        <v>4359.9735220013699</v>
      </c>
      <c r="AK49" s="61">
        <f t="shared" si="50"/>
        <v>4338.0596461823789</v>
      </c>
      <c r="AL49" s="61">
        <f t="shared" si="50"/>
        <v>4317.0436710253816</v>
      </c>
      <c r="AM49" s="61">
        <f t="shared" si="50"/>
        <v>4296.9255965303946</v>
      </c>
      <c r="AN49" s="61">
        <f t="shared" si="50"/>
        <v>4277.7054226974287</v>
      </c>
      <c r="AO49" s="61">
        <f t="shared" si="50"/>
        <v>4259.3831495264967</v>
      </c>
      <c r="AP49" s="61">
        <f t="shared" si="50"/>
        <v>4241.9587770176104</v>
      </c>
    </row>
    <row r="50" spans="1:42" x14ac:dyDescent="0.25">
      <c r="A50" s="1" t="s">
        <v>26</v>
      </c>
      <c r="B50" s="52"/>
      <c r="C50" s="13"/>
      <c r="D50" s="13"/>
      <c r="E50" s="26">
        <f>'Données capacités de production'!B108</f>
        <v>4074.9632669002049</v>
      </c>
      <c r="F50" s="26">
        <f>'Données capacités de production'!C108</f>
        <v>4062.5911304139363</v>
      </c>
      <c r="G50" s="26">
        <f>'Données capacités de production'!D108</f>
        <v>4049.5108940504997</v>
      </c>
      <c r="H50" s="26">
        <f>'Données capacités de production'!E108</f>
        <v>4035.722557809886</v>
      </c>
      <c r="I50" s="26">
        <f>'Données capacités de production'!F108</f>
        <v>4021.2261216920815</v>
      </c>
      <c r="J50" s="26">
        <f>'Données capacités de production'!G108</f>
        <v>4006.0215856970772</v>
      </c>
      <c r="K50" s="26">
        <f>'Données capacités de production'!H108</f>
        <v>3990.1089498248625</v>
      </c>
      <c r="L50" s="26">
        <f>'Données capacités de production'!I108</f>
        <v>3973.4882140754289</v>
      </c>
      <c r="M50" s="26">
        <f>'Données capacités de production'!J108</f>
        <v>3956.1593784487673</v>
      </c>
      <c r="N50" s="26">
        <f>'Données capacités de production'!K108</f>
        <v>3938.1224429448712</v>
      </c>
      <c r="O50" s="26">
        <f>'Données capacités de production'!L108</f>
        <v>3919.3774075637339</v>
      </c>
      <c r="P50" s="26">
        <f>'Données capacités de production'!M108</f>
        <v>3899.924272305348</v>
      </c>
      <c r="Q50" s="26">
        <f>'Données capacités de production'!N108</f>
        <v>3879.7630371697123</v>
      </c>
      <c r="R50" s="26">
        <f>'Données capacités de production'!O108</f>
        <v>3858.8937021568208</v>
      </c>
      <c r="S50" s="26">
        <f>'Données capacités de production'!P108</f>
        <v>3837.3162672666713</v>
      </c>
      <c r="T50" s="26">
        <f>'Données capacités de production'!Q108</f>
        <v>3815.0307324992618</v>
      </c>
      <c r="U50" s="26">
        <f>'Données capacités de production'!R108</f>
        <v>3792.037097854593</v>
      </c>
      <c r="V50" s="26">
        <f>'Données capacités de production'!S108</f>
        <v>3768.3353633326633</v>
      </c>
      <c r="W50" s="26">
        <f>'Données capacités de production'!T108</f>
        <v>3744.6336288106077</v>
      </c>
      <c r="X50" s="26">
        <f>'Données capacités de production'!U108</f>
        <v>3720.9318942884261</v>
      </c>
      <c r="Y50" s="26">
        <f>'Données capacités de production'!V108</f>
        <v>3697.230159766118</v>
      </c>
      <c r="Z50" s="26">
        <f>'Données capacités de production'!W108</f>
        <v>3673.5284252436886</v>
      </c>
      <c r="AA50" s="26">
        <f>'Données capacités de production'!X108</f>
        <v>3649.8266907211391</v>
      </c>
      <c r="AB50" s="26">
        <f>'Données capacités de production'!Y108</f>
        <v>3626.1249561984741</v>
      </c>
      <c r="AC50" s="26">
        <f>'Données capacités de production'!Z108</f>
        <v>3602.4232216756986</v>
      </c>
      <c r="AD50" s="26">
        <f>'Données capacités de production'!AA108</f>
        <v>3578.7214871528167</v>
      </c>
      <c r="AE50" s="26">
        <f>'Données capacités de production'!AB108</f>
        <v>3555.0197526298361</v>
      </c>
      <c r="AF50" s="26">
        <f>'Données capacités de production'!AC108</f>
        <v>3531.3180181067637</v>
      </c>
      <c r="AG50" s="26">
        <f>'Données capacités de production'!AD108</f>
        <v>3507.6162835836067</v>
      </c>
      <c r="AH50" s="26">
        <f>'Données capacités de production'!AE108</f>
        <v>3483.9145490603732</v>
      </c>
      <c r="AI50" s="26">
        <f>'Données capacités de production'!AF108</f>
        <v>3460.2128145370725</v>
      </c>
      <c r="AJ50" s="26">
        <f>'Données capacités de production'!AG108</f>
        <v>3438.3499709754028</v>
      </c>
      <c r="AK50" s="26">
        <f>'Données capacités de production'!AH108</f>
        <v>3421.0683122896412</v>
      </c>
      <c r="AL50" s="26">
        <f>'Données capacités de production'!AI108</f>
        <v>3404.494753480983</v>
      </c>
      <c r="AM50" s="26">
        <f>'Données capacités de production'!AJ108</f>
        <v>3388.629294549442</v>
      </c>
      <c r="AN50" s="26">
        <f>'Données capacités de production'!AK108</f>
        <v>3373.4719354950262</v>
      </c>
      <c r="AO50" s="26">
        <f>'Données capacités de production'!AL108</f>
        <v>3359.0226763177461</v>
      </c>
      <c r="AP50" s="26">
        <f>'Données capacités de production'!AM108</f>
        <v>3345.2815170176104</v>
      </c>
    </row>
    <row r="51" spans="1:42" x14ac:dyDescent="0.25">
      <c r="A51" s="1" t="s">
        <v>25</v>
      </c>
      <c r="B51" s="52"/>
      <c r="C51" s="13"/>
      <c r="D51" s="13"/>
      <c r="E51" s="26">
        <f>'Données capacités de production'!B107</f>
        <v>1092.262901695125</v>
      </c>
      <c r="F51" s="26">
        <f>'Données capacités de production'!C107</f>
        <v>1088.9466446362142</v>
      </c>
      <c r="G51" s="26">
        <f>'Données capacités de production'!D107</f>
        <v>1085.4405867923963</v>
      </c>
      <c r="H51" s="26">
        <f>'Données capacités de production'!E107</f>
        <v>1081.7447281636687</v>
      </c>
      <c r="I51" s="26">
        <f>'Données capacités de production'!F107</f>
        <v>1077.859068750028</v>
      </c>
      <c r="J51" s="26">
        <f>'Données capacités de production'!G107</f>
        <v>1073.7836085514716</v>
      </c>
      <c r="K51" s="26">
        <f>'Données capacités de production'!H107</f>
        <v>1069.5183475679964</v>
      </c>
      <c r="L51" s="26">
        <f>'Données capacités de production'!I107</f>
        <v>1065.0632857996006</v>
      </c>
      <c r="M51" s="26">
        <f>'Données capacités de production'!J107</f>
        <v>1060.4184232462817</v>
      </c>
      <c r="N51" s="26">
        <f>'Données capacités de production'!K107</f>
        <v>1055.5837599080378</v>
      </c>
      <c r="O51" s="26">
        <f>'Données capacités de production'!L107</f>
        <v>1050.5592957848669</v>
      </c>
      <c r="P51" s="26">
        <f>'Données capacités de production'!M107</f>
        <v>1045.3450308767674</v>
      </c>
      <c r="Q51" s="26">
        <f>'Données capacités de production'!N107</f>
        <v>1039.9409651837389</v>
      </c>
      <c r="R51" s="26">
        <f>'Données capacités de production'!O107</f>
        <v>1034.3470987057797</v>
      </c>
      <c r="S51" s="26">
        <f>'Données capacités de production'!P107</f>
        <v>1028.5634314428889</v>
      </c>
      <c r="T51" s="26">
        <f>'Données capacités de production'!Q107</f>
        <v>1022.5899633950667</v>
      </c>
      <c r="U51" s="26">
        <f>'Données capacités de production'!R107</f>
        <v>1016.4266945623126</v>
      </c>
      <c r="V51" s="26">
        <f>'Données capacités de production'!S107</f>
        <v>1010.0736249446265</v>
      </c>
      <c r="W51" s="26">
        <f>'Données capacités de production'!T107</f>
        <v>1003.7205553269067</v>
      </c>
      <c r="X51" s="26">
        <f>'Données capacités de production'!U107</f>
        <v>997.36748570915313</v>
      </c>
      <c r="Y51" s="26">
        <f>'Données capacités de production'!V107</f>
        <v>991.01441609136577</v>
      </c>
      <c r="Z51" s="26">
        <f>'Données capacités de production'!W107</f>
        <v>984.66134647354568</v>
      </c>
      <c r="AA51" s="26">
        <f>'Données capacités de production'!X107</f>
        <v>978.30827685569341</v>
      </c>
      <c r="AB51" s="26">
        <f>'Données capacités de production'!Y107</f>
        <v>971.95520723781021</v>
      </c>
      <c r="AC51" s="26">
        <f>'Données capacités de production'!Z107</f>
        <v>965.60213761989746</v>
      </c>
      <c r="AD51" s="26">
        <f>'Données capacités de production'!AA107</f>
        <v>959.24906800195629</v>
      </c>
      <c r="AE51" s="26">
        <f>'Données capacités de production'!AB107</f>
        <v>952.89599838398851</v>
      </c>
      <c r="AF51" s="26">
        <f>'Données capacités de production'!AC107</f>
        <v>946.54292876599618</v>
      </c>
      <c r="AG51" s="26">
        <f>'Données capacités de production'!AD107</f>
        <v>940.18985914798111</v>
      </c>
      <c r="AH51" s="26">
        <f>'Données capacités de production'!AE107</f>
        <v>933.83678952994546</v>
      </c>
      <c r="AI51" s="26">
        <f>'Données capacités de production'!AF107</f>
        <v>927.48371991189197</v>
      </c>
      <c r="AJ51" s="26">
        <f>'Données capacités de production'!AG107</f>
        <v>921.623551025967</v>
      </c>
      <c r="AK51" s="26">
        <f>'Données capacités de production'!AH107</f>
        <v>916.99133389273777</v>
      </c>
      <c r="AL51" s="26">
        <f>'Données capacités de production'!AI107</f>
        <v>912.54891754439848</v>
      </c>
      <c r="AM51" s="26">
        <f>'Données capacités de production'!AJ107</f>
        <v>908.29630198095265</v>
      </c>
      <c r="AN51" s="26">
        <f>'Données capacités de production'!AK107</f>
        <v>904.23348720240244</v>
      </c>
      <c r="AO51" s="26">
        <f>'Données capacités de production'!AL107</f>
        <v>900.36047320875082</v>
      </c>
      <c r="AP51" s="26">
        <f>'Données capacités de production'!AM107</f>
        <v>896.67726000000005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baseColWidth="10" defaultRowHeight="15" x14ac:dyDescent="0.25"/>
  <cols>
    <col min="1" max="1" width="61.5703125" bestFit="1" customWidth="1"/>
    <col min="2" max="2" width="34.28515625" customWidth="1"/>
  </cols>
  <sheetData>
    <row r="1" spans="1:6" x14ac:dyDescent="0.25">
      <c r="A1" t="s">
        <v>47</v>
      </c>
    </row>
    <row r="2" spans="1:6" x14ac:dyDescent="0.25">
      <c r="A2" s="122" t="s">
        <v>48</v>
      </c>
      <c r="B2" s="122"/>
      <c r="C2" s="122"/>
      <c r="D2" s="122"/>
      <c r="E2" s="122"/>
      <c r="F2" s="122"/>
    </row>
    <row r="4" spans="1:6" x14ac:dyDescent="0.25">
      <c r="A4" t="s">
        <v>33</v>
      </c>
      <c r="B4">
        <v>648</v>
      </c>
    </row>
    <row r="5" spans="1:6" x14ac:dyDescent="0.25">
      <c r="A5" t="s">
        <v>34</v>
      </c>
      <c r="B5">
        <v>303</v>
      </c>
    </row>
    <row r="6" spans="1:6" x14ac:dyDescent="0.25">
      <c r="A6" t="s">
        <v>35</v>
      </c>
      <c r="B6">
        <v>766</v>
      </c>
    </row>
    <row r="7" spans="1:6" x14ac:dyDescent="0.25">
      <c r="A7" t="s">
        <v>36</v>
      </c>
      <c r="B7">
        <v>351</v>
      </c>
    </row>
    <row r="8" spans="1:6" x14ac:dyDescent="0.25">
      <c r="A8" t="s">
        <v>37</v>
      </c>
      <c r="B8">
        <v>652</v>
      </c>
    </row>
    <row r="9" spans="1:6" x14ac:dyDescent="0.25">
      <c r="A9" t="s">
        <v>38</v>
      </c>
      <c r="B9">
        <v>17</v>
      </c>
    </row>
    <row r="10" spans="1:6" x14ac:dyDescent="0.25">
      <c r="A10" t="s">
        <v>39</v>
      </c>
      <c r="B10">
        <v>670</v>
      </c>
    </row>
    <row r="11" spans="1:6" x14ac:dyDescent="0.25">
      <c r="A11" t="s">
        <v>40</v>
      </c>
      <c r="B11">
        <v>454</v>
      </c>
    </row>
    <row r="13" spans="1:6" x14ac:dyDescent="0.25">
      <c r="A13" t="s">
        <v>41</v>
      </c>
      <c r="B13">
        <f>B4+B5+B6/2</f>
        <v>1334</v>
      </c>
      <c r="C13" s="20">
        <f>B13/$B$15</f>
        <v>0.46675997200839747</v>
      </c>
    </row>
    <row r="14" spans="1:6" x14ac:dyDescent="0.25">
      <c r="A14" t="s">
        <v>42</v>
      </c>
      <c r="B14">
        <f>B6/2+B9+B10+B11</f>
        <v>1524</v>
      </c>
      <c r="C14" s="20">
        <f>B14/$B$15</f>
        <v>0.53324002799160253</v>
      </c>
    </row>
    <row r="15" spans="1:6" x14ac:dyDescent="0.25">
      <c r="A15" t="s">
        <v>43</v>
      </c>
      <c r="B15">
        <f>B14+B13</f>
        <v>2858</v>
      </c>
      <c r="C15" s="21"/>
    </row>
    <row r="16" spans="1:6" x14ac:dyDescent="0.25">
      <c r="A16" t="s">
        <v>53</v>
      </c>
      <c r="B16" s="20">
        <f>B10/B14</f>
        <v>0.43963254593175854</v>
      </c>
      <c r="C16" s="21"/>
    </row>
    <row r="17" spans="1:3" x14ac:dyDescent="0.25">
      <c r="C17" s="21"/>
    </row>
    <row r="19" spans="1:3" x14ac:dyDescent="0.25">
      <c r="B19" t="s">
        <v>45</v>
      </c>
      <c r="C19" t="s">
        <v>46</v>
      </c>
    </row>
    <row r="20" spans="1:3" x14ac:dyDescent="0.25">
      <c r="A20" t="s">
        <v>44</v>
      </c>
      <c r="B20">
        <v>4277</v>
      </c>
      <c r="C20">
        <v>12490</v>
      </c>
    </row>
    <row r="21" spans="1:3" x14ac:dyDescent="0.25">
      <c r="A21" t="s">
        <v>50</v>
      </c>
      <c r="B21">
        <v>-992</v>
      </c>
      <c r="C21">
        <v>-3015</v>
      </c>
    </row>
    <row r="22" spans="1:3" x14ac:dyDescent="0.25">
      <c r="A22" t="s">
        <v>51</v>
      </c>
      <c r="B22">
        <f>SUM(B20:B21)</f>
        <v>3285</v>
      </c>
      <c r="C22">
        <f>SUM(C20:C21)</f>
        <v>9475</v>
      </c>
    </row>
    <row r="23" spans="1:3" x14ac:dyDescent="0.25">
      <c r="A23" t="s">
        <v>52</v>
      </c>
      <c r="B23">
        <v>1500</v>
      </c>
      <c r="C23">
        <v>1800</v>
      </c>
    </row>
    <row r="24" spans="1:3" x14ac:dyDescent="0.25">
      <c r="A24" t="s">
        <v>49</v>
      </c>
      <c r="B24">
        <f>B22-B23</f>
        <v>1785</v>
      </c>
      <c r="C24">
        <v>7600</v>
      </c>
    </row>
  </sheetData>
  <mergeCells count="1">
    <mergeCell ref="A2:F2"/>
  </mergeCells>
  <hyperlinks>
    <hyperlink ref="A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B6" sqref="B6:H7"/>
    </sheetView>
  </sheetViews>
  <sheetFormatPr baseColWidth="10" defaultRowHeight="15" x14ac:dyDescent="0.25"/>
  <cols>
    <col min="1" max="1" width="57.85546875" customWidth="1"/>
    <col min="2" max="2" width="14" bestFit="1" customWidth="1"/>
    <col min="3" max="4" width="13.85546875" bestFit="1" customWidth="1"/>
    <col min="5" max="7" width="15.28515625" bestFit="1" customWidth="1"/>
    <col min="8" max="8" width="13.85546875" bestFit="1" customWidth="1"/>
    <col min="23" max="24" width="12.28515625" bestFit="1" customWidth="1"/>
  </cols>
  <sheetData>
    <row r="1" spans="1:28" x14ac:dyDescent="0.25">
      <c r="A1" t="s">
        <v>81</v>
      </c>
    </row>
    <row r="2" spans="1:28" x14ac:dyDescent="0.25">
      <c r="A2" t="s">
        <v>80</v>
      </c>
    </row>
    <row r="4" spans="1:28" x14ac:dyDescent="0.25">
      <c r="A4" t="s">
        <v>82</v>
      </c>
      <c r="B4">
        <v>4.7</v>
      </c>
      <c r="C4" t="s">
        <v>83</v>
      </c>
    </row>
    <row r="5" spans="1:28" x14ac:dyDescent="0.25">
      <c r="A5" t="s">
        <v>86</v>
      </c>
      <c r="B5" s="35">
        <f>B4/7</f>
        <v>0.67142857142857149</v>
      </c>
    </row>
    <row r="6" spans="1:28" x14ac:dyDescent="0.25">
      <c r="A6" s="37" t="s">
        <v>84</v>
      </c>
      <c r="B6" s="37">
        <v>2015</v>
      </c>
      <c r="C6" s="37">
        <v>2016</v>
      </c>
      <c r="D6" s="37">
        <v>2017</v>
      </c>
      <c r="E6" s="37">
        <v>2018</v>
      </c>
      <c r="F6" s="37">
        <v>2019</v>
      </c>
      <c r="G6" s="37">
        <v>2020</v>
      </c>
      <c r="H6" s="37">
        <v>2021</v>
      </c>
    </row>
    <row r="7" spans="1:28" x14ac:dyDescent="0.25">
      <c r="A7" t="s">
        <v>85</v>
      </c>
      <c r="B7">
        <v>0.5</v>
      </c>
      <c r="C7">
        <v>2.5</v>
      </c>
      <c r="D7">
        <v>4.5</v>
      </c>
      <c r="E7">
        <v>8</v>
      </c>
      <c r="F7">
        <v>8</v>
      </c>
      <c r="G7">
        <v>7.5</v>
      </c>
      <c r="H7">
        <v>4</v>
      </c>
    </row>
    <row r="8" spans="1:28" x14ac:dyDescent="0.25">
      <c r="A8" t="s">
        <v>91</v>
      </c>
      <c r="B8">
        <f>SUM(B7:H7)</f>
        <v>35</v>
      </c>
    </row>
    <row r="9" spans="1:28" x14ac:dyDescent="0.25">
      <c r="A9" t="s">
        <v>92</v>
      </c>
      <c r="B9">
        <v>20</v>
      </c>
    </row>
    <row r="10" spans="1:28" x14ac:dyDescent="0.25">
      <c r="A10" t="s">
        <v>87</v>
      </c>
      <c r="B10" s="36">
        <f>B4*1000/B8</f>
        <v>134.28571428571428</v>
      </c>
    </row>
    <row r="11" spans="1:28" x14ac:dyDescent="0.25">
      <c r="A11" s="37" t="s">
        <v>84</v>
      </c>
      <c r="B11" s="37">
        <v>2015</v>
      </c>
      <c r="C11" s="37">
        <v>2016</v>
      </c>
      <c r="D11" s="37">
        <v>2017</v>
      </c>
      <c r="E11" s="37">
        <v>2018</v>
      </c>
      <c r="F11" s="37">
        <v>2019</v>
      </c>
      <c r="G11" s="37">
        <v>2020</v>
      </c>
      <c r="H11" s="37">
        <v>2021</v>
      </c>
      <c r="Z11" s="45" t="s">
        <v>102</v>
      </c>
      <c r="AA11" s="45"/>
    </row>
    <row r="12" spans="1:28" x14ac:dyDescent="0.25">
      <c r="A12" t="s">
        <v>88</v>
      </c>
      <c r="B12" s="13">
        <f>$B$10*1000000*B7</f>
        <v>67142857.142857134</v>
      </c>
      <c r="C12" s="13">
        <f t="shared" ref="C12:H12" si="0">$B$10*1000000*C7</f>
        <v>335714285.71428567</v>
      </c>
      <c r="D12" s="13">
        <f t="shared" si="0"/>
        <v>604285714.28571415</v>
      </c>
      <c r="E12" s="13">
        <f t="shared" si="0"/>
        <v>1074285714.2857141</v>
      </c>
      <c r="F12" s="13">
        <f t="shared" si="0"/>
        <v>1074285714.2857141</v>
      </c>
      <c r="G12" s="13">
        <f t="shared" si="0"/>
        <v>1007142857.1428571</v>
      </c>
      <c r="H12" s="13">
        <f t="shared" si="0"/>
        <v>537142857.14285707</v>
      </c>
    </row>
    <row r="13" spans="1:28" x14ac:dyDescent="0.25">
      <c r="A13" s="37" t="s">
        <v>84</v>
      </c>
      <c r="B13" s="37">
        <v>2015</v>
      </c>
      <c r="C13" s="37">
        <v>2016</v>
      </c>
      <c r="D13" s="37">
        <v>2017</v>
      </c>
      <c r="E13" s="37">
        <v>2018</v>
      </c>
      <c r="F13" s="37">
        <v>2019</v>
      </c>
      <c r="G13" s="37">
        <v>2020</v>
      </c>
      <c r="H13" s="37">
        <v>2021</v>
      </c>
      <c r="I13" s="37">
        <v>2022</v>
      </c>
      <c r="J13" s="37">
        <v>2023</v>
      </c>
      <c r="K13" s="37">
        <v>2024</v>
      </c>
      <c r="L13" s="37">
        <v>2025</v>
      </c>
      <c r="M13" s="37">
        <v>2026</v>
      </c>
      <c r="N13" s="37">
        <v>2027</v>
      </c>
      <c r="O13" s="37">
        <v>2028</v>
      </c>
      <c r="P13" s="37">
        <v>2029</v>
      </c>
      <c r="Q13" s="37">
        <v>2030</v>
      </c>
      <c r="R13" s="37">
        <v>2031</v>
      </c>
      <c r="S13" s="37">
        <v>2032</v>
      </c>
      <c r="T13" s="37">
        <v>2033</v>
      </c>
      <c r="U13" s="37">
        <v>2034</v>
      </c>
      <c r="V13" s="37">
        <v>2035</v>
      </c>
      <c r="W13" s="37">
        <v>2036</v>
      </c>
      <c r="X13" s="37">
        <v>2037</v>
      </c>
      <c r="Y13" s="37">
        <v>2038</v>
      </c>
      <c r="Z13" s="37">
        <v>2039</v>
      </c>
      <c r="AA13" s="37">
        <v>2040</v>
      </c>
    </row>
    <row r="14" spans="1:28" x14ac:dyDescent="0.25">
      <c r="A14" t="s">
        <v>93</v>
      </c>
      <c r="B14" s="13">
        <f>$B$12/$B$9</f>
        <v>3357142.8571428568</v>
      </c>
      <c r="C14" s="13">
        <f>$B$12/$B$9</f>
        <v>3357142.8571428568</v>
      </c>
      <c r="D14" s="13">
        <f t="shared" ref="D14:K14" si="1">$B$12/$B$9</f>
        <v>3357142.8571428568</v>
      </c>
      <c r="E14" s="13">
        <f t="shared" si="1"/>
        <v>3357142.8571428568</v>
      </c>
      <c r="F14" s="13">
        <f t="shared" si="1"/>
        <v>3357142.8571428568</v>
      </c>
      <c r="G14" s="13">
        <f t="shared" si="1"/>
        <v>3357142.8571428568</v>
      </c>
      <c r="H14" s="13">
        <f t="shared" si="1"/>
        <v>3357142.8571428568</v>
      </c>
      <c r="I14" s="13">
        <f t="shared" si="1"/>
        <v>3357142.8571428568</v>
      </c>
      <c r="J14" s="13">
        <f t="shared" si="1"/>
        <v>3357142.8571428568</v>
      </c>
      <c r="K14" s="13">
        <f t="shared" si="1"/>
        <v>3357142.8571428568</v>
      </c>
      <c r="L14" s="13">
        <f>$B$12/$B$9</f>
        <v>3357142.8571428568</v>
      </c>
      <c r="M14" s="13">
        <f>$B$12/$B$9</f>
        <v>3357142.8571428568</v>
      </c>
      <c r="N14" s="13">
        <f t="shared" ref="N14:U14" si="2">$B$12/$B$9</f>
        <v>3357142.8571428568</v>
      </c>
      <c r="O14" s="13">
        <f t="shared" si="2"/>
        <v>3357142.8571428568</v>
      </c>
      <c r="P14" s="13">
        <f t="shared" si="2"/>
        <v>3357142.8571428568</v>
      </c>
      <c r="Q14" s="13">
        <f t="shared" si="2"/>
        <v>3357142.8571428568</v>
      </c>
      <c r="R14" s="13">
        <f t="shared" si="2"/>
        <v>3357142.8571428568</v>
      </c>
      <c r="S14" s="13">
        <f t="shared" si="2"/>
        <v>3357142.8571428568</v>
      </c>
      <c r="T14" s="13">
        <f t="shared" si="2"/>
        <v>3357142.8571428568</v>
      </c>
      <c r="U14" s="13">
        <f t="shared" si="2"/>
        <v>3357142.8571428568</v>
      </c>
      <c r="V14" s="44">
        <f>420000000/7</f>
        <v>60000000</v>
      </c>
      <c r="W14" s="44">
        <f t="shared" ref="W14:AA19" si="3">420000000/7</f>
        <v>60000000</v>
      </c>
      <c r="X14" s="44">
        <f t="shared" si="3"/>
        <v>60000000</v>
      </c>
      <c r="Y14" s="44">
        <f t="shared" si="3"/>
        <v>60000000</v>
      </c>
      <c r="Z14" s="44">
        <f t="shared" si="3"/>
        <v>60000000</v>
      </c>
      <c r="AA14" s="44">
        <f t="shared" si="3"/>
        <v>60000000</v>
      </c>
    </row>
    <row r="15" spans="1:28" x14ac:dyDescent="0.25">
      <c r="A15" t="s">
        <v>95</v>
      </c>
      <c r="C15" s="13">
        <f>$C$12/$B$9</f>
        <v>16785714.285714284</v>
      </c>
      <c r="D15" s="13">
        <f t="shared" ref="D15:V15" si="4">$C$12/$B$9</f>
        <v>16785714.285714284</v>
      </c>
      <c r="E15" s="13">
        <f t="shared" si="4"/>
        <v>16785714.285714284</v>
      </c>
      <c r="F15" s="13">
        <f t="shared" si="4"/>
        <v>16785714.285714284</v>
      </c>
      <c r="G15" s="13">
        <f t="shared" si="4"/>
        <v>16785714.285714284</v>
      </c>
      <c r="H15" s="13">
        <f t="shared" si="4"/>
        <v>16785714.285714284</v>
      </c>
      <c r="I15" s="13">
        <f t="shared" si="4"/>
        <v>16785714.285714284</v>
      </c>
      <c r="J15" s="13">
        <f t="shared" si="4"/>
        <v>16785714.285714284</v>
      </c>
      <c r="K15" s="13">
        <f t="shared" si="4"/>
        <v>16785714.285714284</v>
      </c>
      <c r="L15" s="13">
        <f t="shared" si="4"/>
        <v>16785714.285714284</v>
      </c>
      <c r="M15" s="13">
        <f t="shared" si="4"/>
        <v>16785714.285714284</v>
      </c>
      <c r="N15" s="13">
        <f t="shared" si="4"/>
        <v>16785714.285714284</v>
      </c>
      <c r="O15" s="13">
        <f t="shared" si="4"/>
        <v>16785714.285714284</v>
      </c>
      <c r="P15" s="13">
        <f t="shared" si="4"/>
        <v>16785714.285714284</v>
      </c>
      <c r="Q15" s="13">
        <f t="shared" si="4"/>
        <v>16785714.285714284</v>
      </c>
      <c r="R15" s="13">
        <f t="shared" si="4"/>
        <v>16785714.285714284</v>
      </c>
      <c r="S15" s="13">
        <f t="shared" si="4"/>
        <v>16785714.285714284</v>
      </c>
      <c r="T15" s="13">
        <f t="shared" si="4"/>
        <v>16785714.285714284</v>
      </c>
      <c r="U15" s="13">
        <f t="shared" si="4"/>
        <v>16785714.285714284</v>
      </c>
      <c r="V15" s="13">
        <f t="shared" si="4"/>
        <v>16785714.285714284</v>
      </c>
      <c r="W15" s="44">
        <f t="shared" si="3"/>
        <v>60000000</v>
      </c>
      <c r="X15" s="44">
        <f t="shared" si="3"/>
        <v>60000000</v>
      </c>
      <c r="Y15" s="44">
        <f t="shared" si="3"/>
        <v>60000000</v>
      </c>
      <c r="Z15" s="44">
        <f t="shared" si="3"/>
        <v>60000000</v>
      </c>
      <c r="AA15" s="44">
        <f t="shared" si="3"/>
        <v>60000000</v>
      </c>
    </row>
    <row r="16" spans="1:28" x14ac:dyDescent="0.25">
      <c r="A16" t="s">
        <v>94</v>
      </c>
      <c r="D16" s="13">
        <f>$D$12/$B$9</f>
        <v>30214285.714285709</v>
      </c>
      <c r="E16" s="13">
        <f t="shared" ref="E16:W16" si="5">$D$12/$B$9</f>
        <v>30214285.714285709</v>
      </c>
      <c r="F16" s="13">
        <f t="shared" si="5"/>
        <v>30214285.714285709</v>
      </c>
      <c r="G16" s="13">
        <f t="shared" si="5"/>
        <v>30214285.714285709</v>
      </c>
      <c r="H16" s="13">
        <f t="shared" si="5"/>
        <v>30214285.714285709</v>
      </c>
      <c r="I16" s="13">
        <f t="shared" si="5"/>
        <v>30214285.714285709</v>
      </c>
      <c r="J16" s="13">
        <f t="shared" si="5"/>
        <v>30214285.714285709</v>
      </c>
      <c r="K16" s="13">
        <f t="shared" si="5"/>
        <v>30214285.714285709</v>
      </c>
      <c r="L16" s="13">
        <f t="shared" si="5"/>
        <v>30214285.714285709</v>
      </c>
      <c r="M16" s="13">
        <f t="shared" si="5"/>
        <v>30214285.714285709</v>
      </c>
      <c r="N16" s="13">
        <f t="shared" si="5"/>
        <v>30214285.714285709</v>
      </c>
      <c r="O16" s="13">
        <f t="shared" si="5"/>
        <v>30214285.714285709</v>
      </c>
      <c r="P16" s="13">
        <f t="shared" si="5"/>
        <v>30214285.714285709</v>
      </c>
      <c r="Q16" s="13">
        <f t="shared" si="5"/>
        <v>30214285.714285709</v>
      </c>
      <c r="R16" s="13">
        <f t="shared" si="5"/>
        <v>30214285.714285709</v>
      </c>
      <c r="S16" s="13">
        <f t="shared" si="5"/>
        <v>30214285.714285709</v>
      </c>
      <c r="T16" s="13">
        <f t="shared" si="5"/>
        <v>30214285.714285709</v>
      </c>
      <c r="U16" s="13">
        <f t="shared" si="5"/>
        <v>30214285.714285709</v>
      </c>
      <c r="V16" s="13">
        <f t="shared" si="5"/>
        <v>30214285.714285709</v>
      </c>
      <c r="W16" s="13">
        <f t="shared" si="5"/>
        <v>30214285.714285709</v>
      </c>
      <c r="X16" s="44">
        <f t="shared" si="3"/>
        <v>60000000</v>
      </c>
      <c r="Y16" s="44">
        <f t="shared" si="3"/>
        <v>60000000</v>
      </c>
      <c r="Z16" s="44">
        <f t="shared" si="3"/>
        <v>60000000</v>
      </c>
      <c r="AA16" s="44">
        <f t="shared" si="3"/>
        <v>60000000</v>
      </c>
      <c r="AB16" s="13"/>
    </row>
    <row r="17" spans="1:31" x14ac:dyDescent="0.25">
      <c r="A17" t="s">
        <v>96</v>
      </c>
      <c r="E17" s="13">
        <f>$E$12/$B$9</f>
        <v>53714285.714285709</v>
      </c>
      <c r="F17" s="13">
        <f t="shared" ref="F17:X17" si="6">$E$12/$B$9</f>
        <v>53714285.714285709</v>
      </c>
      <c r="G17" s="13">
        <f t="shared" si="6"/>
        <v>53714285.714285709</v>
      </c>
      <c r="H17" s="13">
        <f t="shared" si="6"/>
        <v>53714285.714285709</v>
      </c>
      <c r="I17" s="13">
        <f t="shared" si="6"/>
        <v>53714285.714285709</v>
      </c>
      <c r="J17" s="13">
        <f t="shared" si="6"/>
        <v>53714285.714285709</v>
      </c>
      <c r="K17" s="13">
        <f t="shared" si="6"/>
        <v>53714285.714285709</v>
      </c>
      <c r="L17" s="13">
        <f t="shared" si="6"/>
        <v>53714285.714285709</v>
      </c>
      <c r="M17" s="13">
        <f t="shared" si="6"/>
        <v>53714285.714285709</v>
      </c>
      <c r="N17" s="13">
        <f t="shared" si="6"/>
        <v>53714285.714285709</v>
      </c>
      <c r="O17" s="13">
        <f t="shared" si="6"/>
        <v>53714285.714285709</v>
      </c>
      <c r="P17" s="13">
        <f t="shared" si="6"/>
        <v>53714285.714285709</v>
      </c>
      <c r="Q17" s="13">
        <f t="shared" si="6"/>
        <v>53714285.714285709</v>
      </c>
      <c r="R17" s="13">
        <f t="shared" si="6"/>
        <v>53714285.714285709</v>
      </c>
      <c r="S17" s="13">
        <f t="shared" si="6"/>
        <v>53714285.714285709</v>
      </c>
      <c r="T17" s="13">
        <f t="shared" si="6"/>
        <v>53714285.714285709</v>
      </c>
      <c r="U17" s="13">
        <f t="shared" si="6"/>
        <v>53714285.714285709</v>
      </c>
      <c r="V17" s="13">
        <f t="shared" si="6"/>
        <v>53714285.714285709</v>
      </c>
      <c r="W17" s="13">
        <f t="shared" si="6"/>
        <v>53714285.714285709</v>
      </c>
      <c r="X17" s="13">
        <f t="shared" si="6"/>
        <v>53714285.714285709</v>
      </c>
      <c r="Y17" s="44">
        <f t="shared" si="3"/>
        <v>60000000</v>
      </c>
      <c r="Z17" s="44">
        <f t="shared" si="3"/>
        <v>60000000</v>
      </c>
      <c r="AA17" s="44">
        <f t="shared" si="3"/>
        <v>60000000</v>
      </c>
      <c r="AB17" s="13"/>
      <c r="AC17" s="13"/>
    </row>
    <row r="18" spans="1:31" x14ac:dyDescent="0.25">
      <c r="A18" t="s">
        <v>97</v>
      </c>
      <c r="F18" s="13">
        <f>$F$12/$B$9</f>
        <v>53714285.714285709</v>
      </c>
      <c r="G18" s="13">
        <f t="shared" ref="G18:Y18" si="7">$F$12/$B$9</f>
        <v>53714285.714285709</v>
      </c>
      <c r="H18" s="13">
        <f t="shared" si="7"/>
        <v>53714285.714285709</v>
      </c>
      <c r="I18" s="13">
        <f t="shared" si="7"/>
        <v>53714285.714285709</v>
      </c>
      <c r="J18" s="13">
        <f t="shared" si="7"/>
        <v>53714285.714285709</v>
      </c>
      <c r="K18" s="13">
        <f t="shared" si="7"/>
        <v>53714285.714285709</v>
      </c>
      <c r="L18" s="13">
        <f t="shared" si="7"/>
        <v>53714285.714285709</v>
      </c>
      <c r="M18" s="13">
        <f t="shared" si="7"/>
        <v>53714285.714285709</v>
      </c>
      <c r="N18" s="13">
        <f t="shared" si="7"/>
        <v>53714285.714285709</v>
      </c>
      <c r="O18" s="13">
        <f t="shared" si="7"/>
        <v>53714285.714285709</v>
      </c>
      <c r="P18" s="13">
        <f t="shared" si="7"/>
        <v>53714285.714285709</v>
      </c>
      <c r="Q18" s="13">
        <f t="shared" si="7"/>
        <v>53714285.714285709</v>
      </c>
      <c r="R18" s="13">
        <f t="shared" si="7"/>
        <v>53714285.714285709</v>
      </c>
      <c r="S18" s="13">
        <f t="shared" si="7"/>
        <v>53714285.714285709</v>
      </c>
      <c r="T18" s="13">
        <f t="shared" si="7"/>
        <v>53714285.714285709</v>
      </c>
      <c r="U18" s="13">
        <f t="shared" si="7"/>
        <v>53714285.714285709</v>
      </c>
      <c r="V18" s="13">
        <f t="shared" si="7"/>
        <v>53714285.714285709</v>
      </c>
      <c r="W18" s="13">
        <f t="shared" si="7"/>
        <v>53714285.714285709</v>
      </c>
      <c r="X18" s="13">
        <f t="shared" si="7"/>
        <v>53714285.714285709</v>
      </c>
      <c r="Y18" s="13">
        <f t="shared" si="7"/>
        <v>53714285.714285709</v>
      </c>
      <c r="Z18" s="44">
        <f t="shared" si="3"/>
        <v>60000000</v>
      </c>
      <c r="AA18" s="44">
        <f t="shared" si="3"/>
        <v>60000000</v>
      </c>
      <c r="AB18" s="13"/>
      <c r="AC18" s="13"/>
      <c r="AD18" s="13"/>
    </row>
    <row r="19" spans="1:31" x14ac:dyDescent="0.25">
      <c r="A19" t="s">
        <v>98</v>
      </c>
      <c r="G19" s="13">
        <f>$G$12/$B$9</f>
        <v>50357142.857142851</v>
      </c>
      <c r="H19" s="13">
        <f t="shared" ref="H19:Z19" si="8">$G$12/$B$9</f>
        <v>50357142.857142851</v>
      </c>
      <c r="I19" s="13">
        <f t="shared" si="8"/>
        <v>50357142.857142851</v>
      </c>
      <c r="J19" s="13">
        <f t="shared" si="8"/>
        <v>50357142.857142851</v>
      </c>
      <c r="K19" s="13">
        <f t="shared" si="8"/>
        <v>50357142.857142851</v>
      </c>
      <c r="L19" s="13">
        <f t="shared" si="8"/>
        <v>50357142.857142851</v>
      </c>
      <c r="M19" s="13">
        <f t="shared" si="8"/>
        <v>50357142.857142851</v>
      </c>
      <c r="N19" s="13">
        <f t="shared" si="8"/>
        <v>50357142.857142851</v>
      </c>
      <c r="O19" s="13">
        <f t="shared" si="8"/>
        <v>50357142.857142851</v>
      </c>
      <c r="P19" s="13">
        <f t="shared" si="8"/>
        <v>50357142.857142851</v>
      </c>
      <c r="Q19" s="13">
        <f t="shared" si="8"/>
        <v>50357142.857142851</v>
      </c>
      <c r="R19" s="13">
        <f t="shared" si="8"/>
        <v>50357142.857142851</v>
      </c>
      <c r="S19" s="13">
        <f t="shared" si="8"/>
        <v>50357142.857142851</v>
      </c>
      <c r="T19" s="13">
        <f t="shared" si="8"/>
        <v>50357142.857142851</v>
      </c>
      <c r="U19" s="13">
        <f t="shared" si="8"/>
        <v>50357142.857142851</v>
      </c>
      <c r="V19" s="13">
        <f t="shared" si="8"/>
        <v>50357142.857142851</v>
      </c>
      <c r="W19" s="13">
        <f t="shared" si="8"/>
        <v>50357142.857142851</v>
      </c>
      <c r="X19" s="13">
        <f t="shared" si="8"/>
        <v>50357142.857142851</v>
      </c>
      <c r="Y19" s="13">
        <f t="shared" si="8"/>
        <v>50357142.857142851</v>
      </c>
      <c r="Z19" s="13">
        <f t="shared" si="8"/>
        <v>50357142.857142851</v>
      </c>
      <c r="AA19" s="44">
        <f t="shared" si="3"/>
        <v>60000000</v>
      </c>
      <c r="AB19" s="13"/>
      <c r="AC19" s="13"/>
      <c r="AD19" s="13"/>
      <c r="AE19" s="13"/>
    </row>
    <row r="20" spans="1:31" x14ac:dyDescent="0.25">
      <c r="A20" t="s">
        <v>99</v>
      </c>
      <c r="H20" s="13">
        <f>$H$12/$B$9</f>
        <v>26857142.857142854</v>
      </c>
      <c r="I20" s="13">
        <f t="shared" ref="I20:AA20" si="9">$H$12/$B$9</f>
        <v>26857142.857142854</v>
      </c>
      <c r="J20" s="13">
        <f t="shared" si="9"/>
        <v>26857142.857142854</v>
      </c>
      <c r="K20" s="13">
        <f t="shared" si="9"/>
        <v>26857142.857142854</v>
      </c>
      <c r="L20" s="13">
        <f t="shared" si="9"/>
        <v>26857142.857142854</v>
      </c>
      <c r="M20" s="13">
        <f t="shared" si="9"/>
        <v>26857142.857142854</v>
      </c>
      <c r="N20" s="13">
        <f t="shared" si="9"/>
        <v>26857142.857142854</v>
      </c>
      <c r="O20" s="13">
        <f t="shared" si="9"/>
        <v>26857142.857142854</v>
      </c>
      <c r="P20" s="13">
        <f t="shared" si="9"/>
        <v>26857142.857142854</v>
      </c>
      <c r="Q20" s="13">
        <f t="shared" si="9"/>
        <v>26857142.857142854</v>
      </c>
      <c r="R20" s="13">
        <f t="shared" si="9"/>
        <v>26857142.857142854</v>
      </c>
      <c r="S20" s="13">
        <f t="shared" si="9"/>
        <v>26857142.857142854</v>
      </c>
      <c r="T20" s="13">
        <f t="shared" si="9"/>
        <v>26857142.857142854</v>
      </c>
      <c r="U20" s="13">
        <f t="shared" si="9"/>
        <v>26857142.857142854</v>
      </c>
      <c r="V20" s="13">
        <f t="shared" si="9"/>
        <v>26857142.857142854</v>
      </c>
      <c r="W20" s="13">
        <f t="shared" si="9"/>
        <v>26857142.857142854</v>
      </c>
      <c r="X20" s="13">
        <f t="shared" si="9"/>
        <v>26857142.857142854</v>
      </c>
      <c r="Y20" s="13">
        <f t="shared" si="9"/>
        <v>26857142.857142854</v>
      </c>
      <c r="Z20" s="13">
        <f t="shared" si="9"/>
        <v>26857142.857142854</v>
      </c>
      <c r="AA20" s="13">
        <f t="shared" si="9"/>
        <v>26857142.857142854</v>
      </c>
    </row>
    <row r="21" spans="1:31" x14ac:dyDescent="0.25">
      <c r="A21" t="s">
        <v>100</v>
      </c>
      <c r="B21" s="13">
        <f>SUM(B14:B20)</f>
        <v>3357142.8571428568</v>
      </c>
      <c r="C21" s="13">
        <f t="shared" ref="C21:AA21" si="10">SUM(C14:C20)</f>
        <v>20142857.142857142</v>
      </c>
      <c r="D21" s="13">
        <f t="shared" si="10"/>
        <v>50357142.857142851</v>
      </c>
      <c r="E21" s="13">
        <f t="shared" si="10"/>
        <v>104071428.57142857</v>
      </c>
      <c r="F21" s="13">
        <f t="shared" si="10"/>
        <v>157785714.28571427</v>
      </c>
      <c r="G21" s="13">
        <f t="shared" si="10"/>
        <v>208142857.14285713</v>
      </c>
      <c r="H21" s="13">
        <f t="shared" si="10"/>
        <v>235000000</v>
      </c>
      <c r="I21" s="13">
        <f t="shared" si="10"/>
        <v>235000000</v>
      </c>
      <c r="J21" s="13">
        <f t="shared" si="10"/>
        <v>235000000</v>
      </c>
      <c r="K21" s="13">
        <f t="shared" si="10"/>
        <v>235000000</v>
      </c>
      <c r="L21" s="13">
        <f t="shared" si="10"/>
        <v>235000000</v>
      </c>
      <c r="M21" s="13">
        <f t="shared" si="10"/>
        <v>235000000</v>
      </c>
      <c r="N21" s="13">
        <f t="shared" si="10"/>
        <v>235000000</v>
      </c>
      <c r="O21" s="13">
        <f t="shared" si="10"/>
        <v>235000000</v>
      </c>
      <c r="P21" s="13">
        <f t="shared" si="10"/>
        <v>235000000</v>
      </c>
      <c r="Q21" s="13">
        <f t="shared" si="10"/>
        <v>235000000</v>
      </c>
      <c r="R21" s="13">
        <f t="shared" si="10"/>
        <v>235000000</v>
      </c>
      <c r="S21" s="13">
        <f t="shared" si="10"/>
        <v>235000000</v>
      </c>
      <c r="T21" s="13">
        <f t="shared" si="10"/>
        <v>235000000</v>
      </c>
      <c r="U21" s="13">
        <f t="shared" si="10"/>
        <v>235000000</v>
      </c>
      <c r="V21" s="13">
        <f t="shared" si="10"/>
        <v>291642857.14285713</v>
      </c>
      <c r="W21" s="13">
        <f>SUM(W14:W20)</f>
        <v>334857142.85714281</v>
      </c>
      <c r="X21" s="13">
        <f>SUM(X14:X20)</f>
        <v>364642857.14285713</v>
      </c>
      <c r="Y21" s="13">
        <f t="shared" si="10"/>
        <v>370928571.42857146</v>
      </c>
      <c r="Z21" s="13">
        <f t="shared" si="10"/>
        <v>377214285.71428573</v>
      </c>
      <c r="AA21" s="13">
        <f t="shared" si="10"/>
        <v>386857142.85714287</v>
      </c>
    </row>
    <row r="22" spans="1:31" x14ac:dyDescent="0.25">
      <c r="A22" t="s">
        <v>101</v>
      </c>
      <c r="B22" s="13">
        <f>B21/1000000</f>
        <v>3.3571428571428568</v>
      </c>
      <c r="C22" s="13">
        <f t="shared" ref="C22:AA22" si="11">C21/1000000</f>
        <v>20.142857142857142</v>
      </c>
      <c r="D22" s="13">
        <f t="shared" si="11"/>
        <v>50.357142857142854</v>
      </c>
      <c r="E22" s="13">
        <f t="shared" si="11"/>
        <v>104.07142857142857</v>
      </c>
      <c r="F22" s="13">
        <f t="shared" si="11"/>
        <v>157.78571428571428</v>
      </c>
      <c r="G22" s="13">
        <f t="shared" si="11"/>
        <v>208.14285714285714</v>
      </c>
      <c r="H22" s="13">
        <f t="shared" si="11"/>
        <v>235</v>
      </c>
      <c r="I22" s="13">
        <f t="shared" si="11"/>
        <v>235</v>
      </c>
      <c r="J22" s="13">
        <f t="shared" si="11"/>
        <v>235</v>
      </c>
      <c r="K22" s="13">
        <f t="shared" si="11"/>
        <v>235</v>
      </c>
      <c r="L22" s="13">
        <f t="shared" si="11"/>
        <v>235</v>
      </c>
      <c r="M22" s="13">
        <f t="shared" si="11"/>
        <v>235</v>
      </c>
      <c r="N22" s="13">
        <f t="shared" si="11"/>
        <v>235</v>
      </c>
      <c r="O22" s="13">
        <f t="shared" si="11"/>
        <v>235</v>
      </c>
      <c r="P22" s="13">
        <f t="shared" si="11"/>
        <v>235</v>
      </c>
      <c r="Q22" s="13">
        <f t="shared" si="11"/>
        <v>235</v>
      </c>
      <c r="R22" s="13">
        <f t="shared" si="11"/>
        <v>235</v>
      </c>
      <c r="S22" s="13">
        <f t="shared" si="11"/>
        <v>235</v>
      </c>
      <c r="T22" s="13">
        <f t="shared" si="11"/>
        <v>235</v>
      </c>
      <c r="U22" s="13">
        <f t="shared" si="11"/>
        <v>235</v>
      </c>
      <c r="V22" s="13">
        <f t="shared" si="11"/>
        <v>291.64285714285711</v>
      </c>
      <c r="W22" s="13">
        <f t="shared" si="11"/>
        <v>334.85714285714283</v>
      </c>
      <c r="X22" s="13">
        <f t="shared" si="11"/>
        <v>364.64285714285711</v>
      </c>
      <c r="Y22" s="13">
        <f t="shared" si="11"/>
        <v>370.92857142857144</v>
      </c>
      <c r="Z22" s="13">
        <f t="shared" si="11"/>
        <v>377.21428571428572</v>
      </c>
      <c r="AA22" s="13">
        <f t="shared" si="11"/>
        <v>386.85714285714289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46"/>
  <sheetViews>
    <sheetView workbookViewId="0">
      <selection activeCell="G9" sqref="G9"/>
    </sheetView>
  </sheetViews>
  <sheetFormatPr baseColWidth="10" defaultColWidth="9.140625" defaultRowHeight="15" x14ac:dyDescent="0.25"/>
  <cols>
    <col min="1" max="1" width="45.140625" bestFit="1" customWidth="1"/>
    <col min="2" max="41" width="8.7109375" customWidth="1"/>
    <col min="42" max="42" width="7.85546875" bestFit="1" customWidth="1"/>
    <col min="44" max="44" width="27.28515625" bestFit="1" customWidth="1"/>
  </cols>
  <sheetData>
    <row r="1" spans="1:44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  <c r="AR1" t="s">
        <v>116</v>
      </c>
    </row>
    <row r="2" spans="1:44" x14ac:dyDescent="0.25">
      <c r="A2" s="29" t="s">
        <v>79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>
        <v>0.4</v>
      </c>
      <c r="Q2" s="30"/>
      <c r="R2" s="29"/>
      <c r="S2" s="29"/>
      <c r="T2" s="30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0">
        <v>0.8</v>
      </c>
      <c r="AI2" s="29"/>
      <c r="AJ2" s="29"/>
      <c r="AK2" s="29"/>
      <c r="AL2" s="29"/>
      <c r="AM2" s="29"/>
      <c r="AN2" s="30">
        <v>0.95</v>
      </c>
      <c r="AO2" s="29"/>
      <c r="AP2" s="30">
        <v>1</v>
      </c>
    </row>
    <row r="3" spans="1:44" s="23" customForma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7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7"/>
      <c r="AI3" s="106"/>
      <c r="AJ3" s="106"/>
      <c r="AK3" s="106"/>
      <c r="AL3" s="106"/>
      <c r="AM3" s="106"/>
      <c r="AN3" s="107"/>
      <c r="AO3" s="106"/>
      <c r="AP3" s="107"/>
    </row>
    <row r="4" spans="1:44" s="23" customFormat="1" x14ac:dyDescent="0.25">
      <c r="A4" s="106" t="s">
        <v>203</v>
      </c>
      <c r="B4" s="106"/>
      <c r="C4" s="106"/>
      <c r="D4" s="106"/>
      <c r="E4" s="108">
        <f>E8</f>
        <v>12760</v>
      </c>
      <c r="F4" s="108">
        <f t="shared" ref="F4:AP4" ca="1" si="0">F8</f>
        <v>12740.354795417368</v>
      </c>
      <c r="G4" s="108">
        <f t="shared" ca="1" si="0"/>
        <v>12720.709590834735</v>
      </c>
      <c r="H4" s="108">
        <f t="shared" ca="1" si="0"/>
        <v>12701.064386252103</v>
      </c>
      <c r="I4" s="108">
        <f t="shared" ca="1" si="0"/>
        <v>12681.419181669469</v>
      </c>
      <c r="J4" s="108">
        <f t="shared" ca="1" si="0"/>
        <v>12661.773977086837</v>
      </c>
      <c r="K4" s="108">
        <f t="shared" ca="1" si="0"/>
        <v>12642.128772504204</v>
      </c>
      <c r="L4" s="108">
        <f t="shared" ca="1" si="0"/>
        <v>12622.483567921572</v>
      </c>
      <c r="M4" s="108">
        <f t="shared" ca="1" si="0"/>
        <v>12602.838363338939</v>
      </c>
      <c r="N4" s="108">
        <f t="shared" ca="1" si="0"/>
        <v>12583.193158756305</v>
      </c>
      <c r="O4" s="108">
        <f t="shared" ca="1" si="0"/>
        <v>12563.547954173671</v>
      </c>
      <c r="P4" s="108">
        <f t="shared" si="0"/>
        <v>12543.902749591038</v>
      </c>
      <c r="Q4" s="108">
        <f t="shared" ca="1" si="0"/>
        <v>12567.425779703566</v>
      </c>
      <c r="R4" s="108">
        <f t="shared" ca="1" si="0"/>
        <v>12590.948809816095</v>
      </c>
      <c r="S4" s="108">
        <f t="shared" ca="1" si="0"/>
        <v>12614.471839928619</v>
      </c>
      <c r="T4" s="108">
        <f t="shared" si="0"/>
        <v>12543.902749591038</v>
      </c>
      <c r="U4" s="108">
        <f t="shared" ca="1" si="0"/>
        <v>12661.517900153664</v>
      </c>
      <c r="V4" s="108">
        <f t="shared" ca="1" si="0"/>
        <v>12685.040930266181</v>
      </c>
      <c r="W4" s="108">
        <f t="shared" ca="1" si="0"/>
        <v>12708.563960378695</v>
      </c>
      <c r="X4" s="108">
        <f t="shared" ca="1" si="0"/>
        <v>12732.086990491205</v>
      </c>
      <c r="Y4" s="108">
        <f t="shared" ca="1" si="0"/>
        <v>12755.610020603714</v>
      </c>
      <c r="Z4" s="108">
        <f t="shared" ca="1" si="0"/>
        <v>12779.133050716217</v>
      </c>
      <c r="AA4" s="108">
        <f t="shared" ca="1" si="0"/>
        <v>12802.656080828718</v>
      </c>
      <c r="AB4" s="108">
        <f t="shared" ca="1" si="0"/>
        <v>12826.179110941215</v>
      </c>
      <c r="AC4" s="108">
        <f t="shared" ca="1" si="0"/>
        <v>12849.702141053711</v>
      </c>
      <c r="AD4" s="108">
        <f t="shared" ca="1" si="0"/>
        <v>12873.225171166205</v>
      </c>
      <c r="AE4" s="108">
        <f t="shared" ca="1" si="0"/>
        <v>12896.748201278697</v>
      </c>
      <c r="AF4" s="108">
        <f t="shared" ca="1" si="0"/>
        <v>12920.271231391187</v>
      </c>
      <c r="AG4" s="108">
        <f t="shared" ca="1" si="0"/>
        <v>12943.794261503677</v>
      </c>
      <c r="AH4" s="108">
        <f t="shared" si="0"/>
        <v>12967.317291616167</v>
      </c>
      <c r="AI4" s="108">
        <f t="shared" ca="1" si="0"/>
        <v>13015.704037534131</v>
      </c>
      <c r="AJ4" s="108">
        <f t="shared" ca="1" si="0"/>
        <v>13064.090783452093</v>
      </c>
      <c r="AK4" s="108">
        <f t="shared" ca="1" si="0"/>
        <v>13112.477529370057</v>
      </c>
      <c r="AL4" s="108">
        <f t="shared" ca="1" si="0"/>
        <v>13160.864275288019</v>
      </c>
      <c r="AM4" s="108">
        <f t="shared" ca="1" si="0"/>
        <v>13209.251021205982</v>
      </c>
      <c r="AN4" s="108">
        <f t="shared" si="0"/>
        <v>13257.637767123946</v>
      </c>
      <c r="AO4" s="108">
        <f t="shared" si="0"/>
        <v>13511.027308779208</v>
      </c>
      <c r="AP4" s="108">
        <f t="shared" si="0"/>
        <v>13764.416850434471</v>
      </c>
    </row>
    <row r="5" spans="1:44" s="23" customFormat="1" x14ac:dyDescent="0.25">
      <c r="A5" s="106" t="s">
        <v>204</v>
      </c>
      <c r="B5" s="106"/>
      <c r="C5" s="106"/>
      <c r="D5" s="106"/>
      <c r="E5" s="108">
        <f ca="1">E19</f>
        <v>1.3001748251748177</v>
      </c>
      <c r="F5" s="108">
        <f t="shared" ref="F5:AP5" ca="1" si="1">F19</f>
        <v>1.7335664335664238</v>
      </c>
      <c r="G5" s="108">
        <f t="shared" ca="1" si="1"/>
        <v>72.666958041958026</v>
      </c>
      <c r="H5" s="108">
        <f t="shared" ca="1" si="1"/>
        <v>358.45749250749247</v>
      </c>
      <c r="I5" s="108">
        <f t="shared" ca="1" si="1"/>
        <v>657.6765984015982</v>
      </c>
      <c r="J5" s="108">
        <f t="shared" ca="1" si="1"/>
        <v>1181.8242757242758</v>
      </c>
      <c r="K5" s="108">
        <f t="shared" ca="1" si="1"/>
        <v>1235.9719530469529</v>
      </c>
      <c r="L5" s="108">
        <f t="shared" ca="1" si="1"/>
        <v>1219.6196303696304</v>
      </c>
      <c r="M5" s="108">
        <f t="shared" ca="1" si="1"/>
        <v>776.91016483516478</v>
      </c>
      <c r="N5" s="108">
        <f t="shared" ca="1" si="1"/>
        <v>240.20069930069928</v>
      </c>
      <c r="O5" s="108">
        <f t="shared" ca="1" si="1"/>
        <v>240.6340909090909</v>
      </c>
      <c r="P5" s="108">
        <f t="shared" ca="1" si="1"/>
        <v>241.06748251748249</v>
      </c>
      <c r="Q5" s="108">
        <f t="shared" ca="1" si="1"/>
        <v>241.50087412587411</v>
      </c>
      <c r="R5" s="108">
        <f t="shared" ca="1" si="1"/>
        <v>241.93426573426572</v>
      </c>
      <c r="S5" s="108">
        <f t="shared" ca="1" si="1"/>
        <v>242.36765734265734</v>
      </c>
      <c r="T5" s="108">
        <f t="shared" ca="1" si="1"/>
        <v>242.80104895104895</v>
      </c>
      <c r="U5" s="108">
        <f t="shared" ca="1" si="1"/>
        <v>243.23444055944054</v>
      </c>
      <c r="V5" s="108">
        <f t="shared" si="1"/>
        <v>243.66783216783216</v>
      </c>
      <c r="W5" s="108">
        <f t="shared" ca="1" si="1"/>
        <v>244.90944055944055</v>
      </c>
      <c r="X5" s="108">
        <f t="shared" ca="1" si="1"/>
        <v>246.15104895104892</v>
      </c>
      <c r="Y5" s="108">
        <f t="shared" ca="1" si="1"/>
        <v>247.39265734265729</v>
      </c>
      <c r="Z5" s="108">
        <f t="shared" ca="1" si="1"/>
        <v>248.63426573426568</v>
      </c>
      <c r="AA5" s="108">
        <f t="shared" ca="1" si="1"/>
        <v>306.51873126873119</v>
      </c>
      <c r="AB5" s="108">
        <f t="shared" ca="1" si="1"/>
        <v>426.13454008677877</v>
      </c>
      <c r="AC5" s="108">
        <f t="shared" ca="1" si="1"/>
        <v>757.80152161271542</v>
      </c>
      <c r="AD5" s="108">
        <f t="shared" ca="1" si="1"/>
        <v>1065.9685031386523</v>
      </c>
      <c r="AE5" s="108">
        <f t="shared" ca="1" si="1"/>
        <v>1599.6152288010494</v>
      </c>
      <c r="AF5" s="108">
        <f t="shared" ca="1" si="1"/>
        <v>1610.499694335515</v>
      </c>
      <c r="AG5" s="108">
        <f t="shared" ca="1" si="1"/>
        <v>1569.7242451578272</v>
      </c>
      <c r="AH5" s="108">
        <f t="shared" ca="1" si="1"/>
        <v>1044.8464505643608</v>
      </c>
      <c r="AI5" s="108">
        <f t="shared" ca="1" si="1"/>
        <v>444.80874125874118</v>
      </c>
      <c r="AJ5" s="108">
        <f t="shared" ca="1" si="1"/>
        <v>446.05034965034957</v>
      </c>
      <c r="AK5" s="108">
        <f t="shared" ca="1" si="1"/>
        <v>447.29195804195797</v>
      </c>
      <c r="AL5" s="108">
        <f t="shared" ca="1" si="1"/>
        <v>448.53356643356636</v>
      </c>
      <c r="AM5" s="108">
        <f t="shared" ca="1" si="1"/>
        <v>449.77517482517476</v>
      </c>
      <c r="AN5" s="108">
        <f t="shared" ca="1" si="1"/>
        <v>451.01678321678321</v>
      </c>
      <c r="AO5" s="108">
        <f t="shared" ca="1" si="1"/>
        <v>452.25839160839161</v>
      </c>
      <c r="AP5" s="108">
        <f t="shared" si="1"/>
        <v>453.5</v>
      </c>
    </row>
    <row r="6" spans="1:44" s="23" customFormat="1" x14ac:dyDescent="0.25">
      <c r="A6" s="106" t="s">
        <v>205</v>
      </c>
      <c r="B6" s="106"/>
      <c r="C6" s="106"/>
      <c r="D6" s="106"/>
      <c r="E6" s="108">
        <f ca="1">E29</f>
        <v>353.82857142857142</v>
      </c>
      <c r="F6" s="108">
        <f t="shared" ref="F6:AP6" ca="1" si="2">F29</f>
        <v>383.14589310638877</v>
      </c>
      <c r="G6" s="108">
        <f t="shared" ca="1" si="2"/>
        <v>412.35211747089863</v>
      </c>
      <c r="H6" s="108">
        <f t="shared" ca="1" si="2"/>
        <v>441.44724452210107</v>
      </c>
      <c r="I6" s="108">
        <f t="shared" ca="1" si="2"/>
        <v>470.43127425999575</v>
      </c>
      <c r="J6" s="108">
        <f t="shared" ca="1" si="2"/>
        <v>499.30420668458294</v>
      </c>
      <c r="K6" s="108">
        <f t="shared" ca="1" si="2"/>
        <v>528.0660417958627</v>
      </c>
      <c r="L6" s="108">
        <f t="shared" ca="1" si="2"/>
        <v>556.71677959383464</v>
      </c>
      <c r="M6" s="108">
        <f t="shared" ca="1" si="2"/>
        <v>585.2564200784991</v>
      </c>
      <c r="N6" s="108">
        <f t="shared" ca="1" si="2"/>
        <v>613.68496324985608</v>
      </c>
      <c r="O6" s="108">
        <f t="shared" ca="1" si="2"/>
        <v>642.00240910790546</v>
      </c>
      <c r="P6" s="108">
        <f t="shared" ca="1" si="2"/>
        <v>670.20875765264725</v>
      </c>
      <c r="Q6" s="108">
        <f t="shared" ca="1" si="2"/>
        <v>707.02639829232612</v>
      </c>
      <c r="R6" s="108">
        <f t="shared" ca="1" si="2"/>
        <v>743.66115145771118</v>
      </c>
      <c r="S6" s="108">
        <f t="shared" ca="1" si="2"/>
        <v>780.11299223887613</v>
      </c>
      <c r="T6" s="108">
        <f t="shared" ca="1" si="2"/>
        <v>816.38189954079974</v>
      </c>
      <c r="U6" s="108">
        <f t="shared" ca="1" si="2"/>
        <v>837.65642798929525</v>
      </c>
      <c r="V6" s="108">
        <f t="shared" ca="1" si="2"/>
        <v>858.74799397124502</v>
      </c>
      <c r="W6" s="108">
        <f t="shared" ca="1" si="2"/>
        <v>879.96477554104717</v>
      </c>
      <c r="X6" s="108">
        <f t="shared" ca="1" si="2"/>
        <v>901.0963463319365</v>
      </c>
      <c r="Y6" s="108">
        <f t="shared" ca="1" si="2"/>
        <v>922.14270731561601</v>
      </c>
      <c r="Z6" s="108">
        <f t="shared" ca="1" si="2"/>
        <v>941.85061238729952</v>
      </c>
      <c r="AA6" s="108">
        <f t="shared" ca="1" si="2"/>
        <v>961.51084343195078</v>
      </c>
      <c r="AB6" s="108">
        <f t="shared" ca="1" si="2"/>
        <v>981.12341375653182</v>
      </c>
      <c r="AC6" s="108">
        <f t="shared" ca="1" si="2"/>
        <v>1000.6883398390286</v>
      </c>
      <c r="AD6" s="108">
        <f t="shared" ca="1" si="2"/>
        <v>1020.2056407148482</v>
      </c>
      <c r="AE6" s="108">
        <f t="shared" ca="1" si="2"/>
        <v>1039.6753373082697</v>
      </c>
      <c r="AF6" s="108">
        <f t="shared" ca="1" si="2"/>
        <v>1059.0974517311784</v>
      </c>
      <c r="AG6" s="108">
        <f t="shared" ca="1" si="2"/>
        <v>1078.4720065714978</v>
      </c>
      <c r="AH6" s="108">
        <f t="shared" ca="1" si="2"/>
        <v>1420.1709127792226</v>
      </c>
      <c r="AI6" s="108">
        <f t="shared" ca="1" si="2"/>
        <v>1840.0690191499089</v>
      </c>
      <c r="AJ6" s="108">
        <f t="shared" ca="1" si="2"/>
        <v>2259.5962227597802</v>
      </c>
      <c r="AK6" s="108">
        <f t="shared" ca="1" si="2"/>
        <v>2678.2098005208618</v>
      </c>
      <c r="AL6" s="108">
        <f t="shared" ca="1" si="2"/>
        <v>3096.4767070768753</v>
      </c>
      <c r="AM6" s="108">
        <f t="shared" ca="1" si="2"/>
        <v>3514.396943909624</v>
      </c>
      <c r="AN6" s="108">
        <f t="shared" ca="1" si="2"/>
        <v>3931.9705119867449</v>
      </c>
      <c r="AO6" s="108">
        <f t="shared" ca="1" si="2"/>
        <v>4349.1974117714071</v>
      </c>
      <c r="AP6" s="108">
        <f t="shared" ca="1" si="2"/>
        <v>4766.0776432509874</v>
      </c>
    </row>
    <row r="7" spans="1:44" s="23" customForma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  <c r="Q7" s="107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  <c r="AI7" s="106"/>
      <c r="AJ7" s="106"/>
      <c r="AK7" s="106"/>
      <c r="AL7" s="106"/>
      <c r="AM7" s="106"/>
      <c r="AN7" s="107"/>
      <c r="AO7" s="106"/>
      <c r="AP7" s="107"/>
    </row>
    <row r="8" spans="1:44" x14ac:dyDescent="0.25">
      <c r="A8" s="38" t="s">
        <v>115</v>
      </c>
      <c r="B8" s="39"/>
      <c r="C8" s="39"/>
      <c r="D8" s="39"/>
      <c r="E8" s="39">
        <f t="shared" ref="E8" si="3">E9+E14</f>
        <v>12760</v>
      </c>
      <c r="F8" s="39">
        <f t="shared" ref="F8:AO8" ca="1" si="4">F9+F14</f>
        <v>12740.354795417368</v>
      </c>
      <c r="G8" s="39">
        <f t="shared" ca="1" si="4"/>
        <v>12720.709590834735</v>
      </c>
      <c r="H8" s="39">
        <f t="shared" ca="1" si="4"/>
        <v>12701.064386252103</v>
      </c>
      <c r="I8" s="39">
        <f t="shared" ca="1" si="4"/>
        <v>12681.419181669469</v>
      </c>
      <c r="J8" s="39">
        <f t="shared" ca="1" si="4"/>
        <v>12661.773977086837</v>
      </c>
      <c r="K8" s="39">
        <f t="shared" ca="1" si="4"/>
        <v>12642.128772504204</v>
      </c>
      <c r="L8" s="39">
        <f t="shared" ca="1" si="4"/>
        <v>12622.483567921572</v>
      </c>
      <c r="M8" s="39">
        <f t="shared" ca="1" si="4"/>
        <v>12602.838363338939</v>
      </c>
      <c r="N8" s="39">
        <f t="shared" ca="1" si="4"/>
        <v>12583.193158756305</v>
      </c>
      <c r="O8" s="39">
        <f t="shared" ca="1" si="4"/>
        <v>12563.547954173671</v>
      </c>
      <c r="P8" s="39">
        <f t="shared" si="4"/>
        <v>12543.902749591038</v>
      </c>
      <c r="Q8" s="39">
        <f t="shared" ca="1" si="4"/>
        <v>12567.425779703566</v>
      </c>
      <c r="R8" s="39">
        <f t="shared" ca="1" si="4"/>
        <v>12590.948809816093</v>
      </c>
      <c r="S8" s="39">
        <f t="shared" ca="1" si="4"/>
        <v>12614.471839928618</v>
      </c>
      <c r="T8" s="39">
        <f t="shared" si="4"/>
        <v>12543.902749591038</v>
      </c>
      <c r="U8" s="39">
        <f t="shared" ca="1" si="4"/>
        <v>12661.51790015366</v>
      </c>
      <c r="V8" s="39">
        <f t="shared" ca="1" si="4"/>
        <v>12685.040930266177</v>
      </c>
      <c r="W8" s="39">
        <f t="shared" ca="1" si="4"/>
        <v>12708.563960378691</v>
      </c>
      <c r="X8" s="39">
        <f t="shared" ca="1" si="4"/>
        <v>12732.086990491203</v>
      </c>
      <c r="Y8" s="39">
        <f t="shared" ca="1" si="4"/>
        <v>12755.61002060371</v>
      </c>
      <c r="Z8" s="39">
        <f t="shared" ca="1" si="4"/>
        <v>12779.133050716213</v>
      </c>
      <c r="AA8" s="39">
        <f t="shared" ca="1" si="4"/>
        <v>12802.656080828714</v>
      </c>
      <c r="AB8" s="39">
        <f t="shared" ca="1" si="4"/>
        <v>12826.179110941212</v>
      </c>
      <c r="AC8" s="39">
        <f t="shared" ca="1" si="4"/>
        <v>12849.702141053709</v>
      </c>
      <c r="AD8" s="39">
        <f t="shared" ca="1" si="4"/>
        <v>12873.225171166203</v>
      </c>
      <c r="AE8" s="39">
        <f t="shared" ca="1" si="4"/>
        <v>12896.748201278695</v>
      </c>
      <c r="AF8" s="39">
        <f t="shared" ca="1" si="4"/>
        <v>12920.271231391185</v>
      </c>
      <c r="AG8" s="39">
        <f t="shared" ca="1" si="4"/>
        <v>12943.794261503677</v>
      </c>
      <c r="AH8" s="39">
        <f t="shared" si="4"/>
        <v>12967.317291616167</v>
      </c>
      <c r="AI8" s="39">
        <f t="shared" ca="1" si="4"/>
        <v>13015.704037534131</v>
      </c>
      <c r="AJ8" s="39">
        <f t="shared" ca="1" si="4"/>
        <v>13064.090783452093</v>
      </c>
      <c r="AK8" s="39">
        <f t="shared" ca="1" si="4"/>
        <v>13112.477529370057</v>
      </c>
      <c r="AL8" s="39">
        <f t="shared" ca="1" si="4"/>
        <v>13160.864275288019</v>
      </c>
      <c r="AM8" s="39">
        <f t="shared" ca="1" si="4"/>
        <v>13209.251021205982</v>
      </c>
      <c r="AN8" s="39">
        <f t="shared" si="4"/>
        <v>13257.637767123946</v>
      </c>
      <c r="AO8" s="39">
        <f t="shared" si="4"/>
        <v>13511.027308779208</v>
      </c>
      <c r="AP8" s="39">
        <f>AP9+AP14</f>
        <v>13764.416850434471</v>
      </c>
    </row>
    <row r="9" spans="1:44" x14ac:dyDescent="0.25">
      <c r="A9" s="18" t="s">
        <v>32</v>
      </c>
      <c r="B9" s="19"/>
      <c r="C9" s="19"/>
      <c r="D9" s="19"/>
      <c r="E9" s="114">
        <v>11117.5</v>
      </c>
      <c r="F9" s="114">
        <v>11117.5</v>
      </c>
      <c r="G9" s="114">
        <v>11117.5</v>
      </c>
      <c r="H9" s="114">
        <v>11117.5</v>
      </c>
      <c r="I9" s="114">
        <v>11117.5</v>
      </c>
      <c r="J9" s="114">
        <v>11117.5</v>
      </c>
      <c r="K9" s="114">
        <v>11117.5</v>
      </c>
      <c r="L9" s="114">
        <v>11117.5</v>
      </c>
      <c r="M9" s="114">
        <v>11117.5</v>
      </c>
      <c r="N9" s="114">
        <v>11117.5</v>
      </c>
      <c r="O9" s="114">
        <v>11117.5</v>
      </c>
      <c r="P9" s="114">
        <v>11117.5</v>
      </c>
      <c r="Q9" s="114">
        <v>11117.5</v>
      </c>
      <c r="R9" s="114">
        <v>11117.5</v>
      </c>
      <c r="S9" s="114">
        <v>11117.5</v>
      </c>
      <c r="T9" s="114">
        <v>11117.5</v>
      </c>
      <c r="U9" s="114">
        <v>11117.5</v>
      </c>
      <c r="V9" s="114">
        <v>11117.5</v>
      </c>
      <c r="W9" s="114">
        <v>11117.5</v>
      </c>
      <c r="X9" s="114">
        <v>11117.5</v>
      </c>
      <c r="Y9" s="114">
        <v>11117.5</v>
      </c>
      <c r="Z9" s="114">
        <v>11117.5</v>
      </c>
      <c r="AA9" s="114">
        <v>11117.5</v>
      </c>
      <c r="AB9" s="114">
        <v>11117.5</v>
      </c>
      <c r="AC9" s="114">
        <v>11117.5</v>
      </c>
      <c r="AD9" s="114">
        <v>11117.5</v>
      </c>
      <c r="AE9" s="114">
        <v>11117.5</v>
      </c>
      <c r="AF9" s="114">
        <v>11117.5</v>
      </c>
      <c r="AG9" s="114">
        <v>11117.5</v>
      </c>
      <c r="AH9" s="114">
        <v>11117.5</v>
      </c>
      <c r="AI9" s="114">
        <v>11117.5</v>
      </c>
      <c r="AJ9" s="114">
        <v>11117.5</v>
      </c>
      <c r="AK9" s="114">
        <v>11117.5</v>
      </c>
      <c r="AL9" s="114">
        <v>11117.5</v>
      </c>
      <c r="AM9" s="114">
        <v>11117.5</v>
      </c>
      <c r="AN9" s="114">
        <v>11117.5</v>
      </c>
      <c r="AO9" s="114">
        <v>11117.5</v>
      </c>
      <c r="AP9" s="114">
        <v>11117.5</v>
      </c>
    </row>
    <row r="10" spans="1:44" x14ac:dyDescent="0.25">
      <c r="A10" s="1" t="s">
        <v>26</v>
      </c>
      <c r="B10" s="1"/>
      <c r="C10" s="1"/>
      <c r="D10" s="1"/>
      <c r="E10" s="34">
        <f>'Structure de coûts RTE'!C23+'Structure de coûts RTE'!B23/2</f>
        <v>2550</v>
      </c>
      <c r="F10" s="34">
        <f>E10</f>
        <v>2550</v>
      </c>
      <c r="G10" s="34">
        <f t="shared" ref="G10:AP10" si="5">F10</f>
        <v>2550</v>
      </c>
      <c r="H10" s="34">
        <f t="shared" si="5"/>
        <v>2550</v>
      </c>
      <c r="I10" s="34">
        <f t="shared" si="5"/>
        <v>2550</v>
      </c>
      <c r="J10" s="34">
        <f t="shared" si="5"/>
        <v>2550</v>
      </c>
      <c r="K10" s="34">
        <f t="shared" si="5"/>
        <v>2550</v>
      </c>
      <c r="L10" s="34">
        <f t="shared" si="5"/>
        <v>2550</v>
      </c>
      <c r="M10" s="34">
        <f t="shared" si="5"/>
        <v>2550</v>
      </c>
      <c r="N10" s="34">
        <f t="shared" si="5"/>
        <v>2550</v>
      </c>
      <c r="O10" s="34">
        <f t="shared" si="5"/>
        <v>2550</v>
      </c>
      <c r="P10" s="34">
        <f t="shared" si="5"/>
        <v>2550</v>
      </c>
      <c r="Q10" s="34">
        <f t="shared" si="5"/>
        <v>2550</v>
      </c>
      <c r="R10" s="34">
        <f t="shared" si="5"/>
        <v>2550</v>
      </c>
      <c r="S10" s="34">
        <f t="shared" si="5"/>
        <v>2550</v>
      </c>
      <c r="T10" s="34">
        <f t="shared" si="5"/>
        <v>2550</v>
      </c>
      <c r="U10" s="34">
        <f t="shared" si="5"/>
        <v>2550</v>
      </c>
      <c r="V10" s="34">
        <f t="shared" si="5"/>
        <v>2550</v>
      </c>
      <c r="W10" s="34">
        <f t="shared" si="5"/>
        <v>2550</v>
      </c>
      <c r="X10" s="34">
        <f t="shared" si="5"/>
        <v>2550</v>
      </c>
      <c r="Y10" s="34">
        <f t="shared" si="5"/>
        <v>2550</v>
      </c>
      <c r="Z10" s="34">
        <f t="shared" si="5"/>
        <v>2550</v>
      </c>
      <c r="AA10" s="34">
        <f t="shared" si="5"/>
        <v>2550</v>
      </c>
      <c r="AB10" s="34">
        <f t="shared" si="5"/>
        <v>2550</v>
      </c>
      <c r="AC10" s="34">
        <f t="shared" si="5"/>
        <v>2550</v>
      </c>
      <c r="AD10" s="34">
        <f t="shared" si="5"/>
        <v>2550</v>
      </c>
      <c r="AE10" s="34">
        <f t="shared" si="5"/>
        <v>2550</v>
      </c>
      <c r="AF10" s="34">
        <f t="shared" si="5"/>
        <v>2550</v>
      </c>
      <c r="AG10" s="34">
        <f t="shared" si="5"/>
        <v>2550</v>
      </c>
      <c r="AH10" s="34">
        <f t="shared" si="5"/>
        <v>2550</v>
      </c>
      <c r="AI10" s="34">
        <f t="shared" si="5"/>
        <v>2550</v>
      </c>
      <c r="AJ10" s="34">
        <f t="shared" si="5"/>
        <v>2550</v>
      </c>
      <c r="AK10" s="34">
        <f t="shared" si="5"/>
        <v>2550</v>
      </c>
      <c r="AL10" s="34">
        <f t="shared" si="5"/>
        <v>2550</v>
      </c>
      <c r="AM10" s="34">
        <f t="shared" si="5"/>
        <v>2550</v>
      </c>
      <c r="AN10" s="34">
        <f t="shared" si="5"/>
        <v>2550</v>
      </c>
      <c r="AO10" s="34">
        <f t="shared" si="5"/>
        <v>2550</v>
      </c>
      <c r="AP10" s="34">
        <f t="shared" si="5"/>
        <v>2550</v>
      </c>
    </row>
    <row r="11" spans="1:44" x14ac:dyDescent="0.25">
      <c r="A11" s="1" t="s">
        <v>54</v>
      </c>
      <c r="B11" s="1"/>
      <c r="C11" s="1"/>
      <c r="D11" s="1"/>
      <c r="E11" s="34">
        <f>(E9-E10)*'Structure de coûts RTE'!$B$16</f>
        <v>3766.5518372703414</v>
      </c>
      <c r="F11" s="34">
        <f>E11</f>
        <v>3766.5518372703414</v>
      </c>
      <c r="G11" s="34">
        <f t="shared" ref="G11:AP11" si="6">F11</f>
        <v>3766.5518372703414</v>
      </c>
      <c r="H11" s="34">
        <f t="shared" si="6"/>
        <v>3766.5518372703414</v>
      </c>
      <c r="I11" s="34">
        <f t="shared" si="6"/>
        <v>3766.5518372703414</v>
      </c>
      <c r="J11" s="34">
        <f t="shared" si="6"/>
        <v>3766.5518372703414</v>
      </c>
      <c r="K11" s="34">
        <f t="shared" si="6"/>
        <v>3766.5518372703414</v>
      </c>
      <c r="L11" s="34">
        <f t="shared" si="6"/>
        <v>3766.5518372703414</v>
      </c>
      <c r="M11" s="34">
        <f t="shared" si="6"/>
        <v>3766.5518372703414</v>
      </c>
      <c r="N11" s="34">
        <f t="shared" si="6"/>
        <v>3766.5518372703414</v>
      </c>
      <c r="O11" s="34">
        <f t="shared" si="6"/>
        <v>3766.5518372703414</v>
      </c>
      <c r="P11" s="34">
        <f t="shared" si="6"/>
        <v>3766.5518372703414</v>
      </c>
      <c r="Q11" s="34">
        <f t="shared" si="6"/>
        <v>3766.5518372703414</v>
      </c>
      <c r="R11" s="34">
        <f t="shared" si="6"/>
        <v>3766.5518372703414</v>
      </c>
      <c r="S11" s="34">
        <f t="shared" si="6"/>
        <v>3766.5518372703414</v>
      </c>
      <c r="T11" s="34">
        <f t="shared" si="6"/>
        <v>3766.5518372703414</v>
      </c>
      <c r="U11" s="34">
        <f t="shared" si="6"/>
        <v>3766.5518372703414</v>
      </c>
      <c r="V11" s="34">
        <f t="shared" si="6"/>
        <v>3766.5518372703414</v>
      </c>
      <c r="W11" s="34">
        <f t="shared" si="6"/>
        <v>3766.5518372703414</v>
      </c>
      <c r="X11" s="34">
        <f t="shared" si="6"/>
        <v>3766.5518372703414</v>
      </c>
      <c r="Y11" s="34">
        <f t="shared" si="6"/>
        <v>3766.5518372703414</v>
      </c>
      <c r="Z11" s="34">
        <f t="shared" si="6"/>
        <v>3766.5518372703414</v>
      </c>
      <c r="AA11" s="34">
        <f t="shared" si="6"/>
        <v>3766.5518372703414</v>
      </c>
      <c r="AB11" s="34">
        <f t="shared" si="6"/>
        <v>3766.5518372703414</v>
      </c>
      <c r="AC11" s="34">
        <f t="shared" si="6"/>
        <v>3766.5518372703414</v>
      </c>
      <c r="AD11" s="34">
        <f t="shared" si="6"/>
        <v>3766.5518372703414</v>
      </c>
      <c r="AE11" s="34">
        <f t="shared" si="6"/>
        <v>3766.5518372703414</v>
      </c>
      <c r="AF11" s="34">
        <f t="shared" si="6"/>
        <v>3766.5518372703414</v>
      </c>
      <c r="AG11" s="34">
        <f t="shared" si="6"/>
        <v>3766.5518372703414</v>
      </c>
      <c r="AH11" s="34">
        <f t="shared" si="6"/>
        <v>3766.5518372703414</v>
      </c>
      <c r="AI11" s="34">
        <f t="shared" si="6"/>
        <v>3766.5518372703414</v>
      </c>
      <c r="AJ11" s="34">
        <f t="shared" si="6"/>
        <v>3766.5518372703414</v>
      </c>
      <c r="AK11" s="34">
        <f t="shared" si="6"/>
        <v>3766.5518372703414</v>
      </c>
      <c r="AL11" s="34">
        <f t="shared" si="6"/>
        <v>3766.5518372703414</v>
      </c>
      <c r="AM11" s="34">
        <f t="shared" si="6"/>
        <v>3766.5518372703414</v>
      </c>
      <c r="AN11" s="34">
        <f t="shared" si="6"/>
        <v>3766.5518372703414</v>
      </c>
      <c r="AO11" s="34">
        <f t="shared" si="6"/>
        <v>3766.5518372703414</v>
      </c>
      <c r="AP11" s="34">
        <f t="shared" si="6"/>
        <v>3766.5518372703414</v>
      </c>
    </row>
    <row r="12" spans="1:44" x14ac:dyDescent="0.25">
      <c r="A12" s="1" t="s">
        <v>55</v>
      </c>
      <c r="B12" s="1"/>
      <c r="C12" s="1"/>
      <c r="D12" s="1"/>
      <c r="E12" s="34">
        <f>(E9-E10)*(1-'Structure de coûts RTE'!$B$16)</f>
        <v>4800.9481627296591</v>
      </c>
      <c r="F12" s="34">
        <f>(F9-F10)*(1-'Structure de coûts RTE'!$B$16)</f>
        <v>4800.9481627296591</v>
      </c>
      <c r="G12" s="34">
        <f>(G9-G10)*(1-'Structure de coûts RTE'!$B$16)</f>
        <v>4800.9481627296591</v>
      </c>
      <c r="H12" s="34">
        <f>(H9-H10)*(1-'Structure de coûts RTE'!$B$16)</f>
        <v>4800.9481627296591</v>
      </c>
      <c r="I12" s="34">
        <f>(I9-I10)*(1-'Structure de coûts RTE'!$B$16)</f>
        <v>4800.9481627296591</v>
      </c>
      <c r="J12" s="34">
        <f>(J9-J10)*(1-'Structure de coûts RTE'!$B$16)</f>
        <v>4800.9481627296591</v>
      </c>
      <c r="K12" s="34">
        <f>(K9-K10)*(1-'Structure de coûts RTE'!$B$16)</f>
        <v>4800.9481627296591</v>
      </c>
      <c r="L12" s="34">
        <f>(L9-L10)*(1-'Structure de coûts RTE'!$B$16)</f>
        <v>4800.9481627296591</v>
      </c>
      <c r="M12" s="34">
        <f>(M9-M10)*(1-'Structure de coûts RTE'!$B$16)</f>
        <v>4800.9481627296591</v>
      </c>
      <c r="N12" s="34">
        <f>(N9-N10)*(1-'Structure de coûts RTE'!$B$16)</f>
        <v>4800.9481627296591</v>
      </c>
      <c r="O12" s="34">
        <f>(O9-O10)*(1-'Structure de coûts RTE'!$B$16)</f>
        <v>4800.9481627296591</v>
      </c>
      <c r="P12" s="34">
        <f>(P9-P10)*(1-'Structure de coûts RTE'!$B$16)</f>
        <v>4800.9481627296591</v>
      </c>
      <c r="Q12" s="34">
        <f>(Q9-Q10)*(1-'Structure de coûts RTE'!$B$16)</f>
        <v>4800.9481627296591</v>
      </c>
      <c r="R12" s="34">
        <f>(R9-R10)*(1-'Structure de coûts RTE'!$B$16)</f>
        <v>4800.9481627296591</v>
      </c>
      <c r="S12" s="34">
        <f>(S9-S10)*(1-'Structure de coûts RTE'!$B$16)</f>
        <v>4800.9481627296591</v>
      </c>
      <c r="T12" s="34">
        <f>(T9-T10)*(1-'Structure de coûts RTE'!$B$16)</f>
        <v>4800.9481627296591</v>
      </c>
      <c r="U12" s="34">
        <f>(U9-U10)*(1-'Structure de coûts RTE'!$B$16)</f>
        <v>4800.9481627296591</v>
      </c>
      <c r="V12" s="34">
        <f>(V9-V10)*(1-'Structure de coûts RTE'!$B$16)</f>
        <v>4800.9481627296591</v>
      </c>
      <c r="W12" s="34">
        <f>(W9-W10)*(1-'Structure de coûts RTE'!$B$16)</f>
        <v>4800.9481627296591</v>
      </c>
      <c r="X12" s="34">
        <f>(X9-X10)*(1-'Structure de coûts RTE'!$B$16)</f>
        <v>4800.9481627296591</v>
      </c>
      <c r="Y12" s="34">
        <f>(Y9-Y10)*(1-'Structure de coûts RTE'!$B$16)</f>
        <v>4800.9481627296591</v>
      </c>
      <c r="Z12" s="34">
        <f>(Z9-Z10)*(1-'Structure de coûts RTE'!$B$16)</f>
        <v>4800.9481627296591</v>
      </c>
      <c r="AA12" s="34">
        <f>(AA9-AA10)*(1-'Structure de coûts RTE'!$B$16)</f>
        <v>4800.9481627296591</v>
      </c>
      <c r="AB12" s="34">
        <f>(AB9-AB10)*(1-'Structure de coûts RTE'!$B$16)</f>
        <v>4800.9481627296591</v>
      </c>
      <c r="AC12" s="34">
        <f>(AC9-AC10)*(1-'Structure de coûts RTE'!$B$16)</f>
        <v>4800.9481627296591</v>
      </c>
      <c r="AD12" s="34">
        <f>(AD9-AD10)*(1-'Structure de coûts RTE'!$B$16)</f>
        <v>4800.9481627296591</v>
      </c>
      <c r="AE12" s="34">
        <f>(AE9-AE10)*(1-'Structure de coûts RTE'!$B$16)</f>
        <v>4800.9481627296591</v>
      </c>
      <c r="AF12" s="34">
        <f>(AF9-AF10)*(1-'Structure de coûts RTE'!$B$16)</f>
        <v>4800.9481627296591</v>
      </c>
      <c r="AG12" s="34">
        <f>(AG9-AG10)*(1-'Structure de coûts RTE'!$B$16)</f>
        <v>4800.9481627296591</v>
      </c>
      <c r="AH12" s="34">
        <f>(AH9-AH10)*(1-'Structure de coûts RTE'!$B$16)</f>
        <v>4800.9481627296591</v>
      </c>
      <c r="AI12" s="34">
        <f>(AI9-AI10)*(1-'Structure de coûts RTE'!$B$16)</f>
        <v>4800.9481627296591</v>
      </c>
      <c r="AJ12" s="34">
        <f>(AJ9-AJ10)*(1-'Structure de coûts RTE'!$B$16)</f>
        <v>4800.9481627296591</v>
      </c>
      <c r="AK12" s="34">
        <f>(AK9-AK10)*(1-'Structure de coûts RTE'!$B$16)</f>
        <v>4800.9481627296591</v>
      </c>
      <c r="AL12" s="34">
        <f>(AL9-AL10)*(1-'Structure de coûts RTE'!$B$16)</f>
        <v>4800.9481627296591</v>
      </c>
      <c r="AM12" s="34">
        <f>(AM9-AM10)*(1-'Structure de coûts RTE'!$B$16)</f>
        <v>4800.9481627296591</v>
      </c>
      <c r="AN12" s="34">
        <f>(AN9-AN10)*(1-'Structure de coûts RTE'!$B$16)</f>
        <v>4800.9481627296591</v>
      </c>
      <c r="AO12" s="34">
        <f>(AO9-AO10)*(1-'Structure de coûts RTE'!$B$16)</f>
        <v>4800.9481627296591</v>
      </c>
      <c r="AP12" s="34">
        <f>(AP9-AP10)*(1-'Structure de coûts RTE'!$B$16)</f>
        <v>4800.9481627296591</v>
      </c>
    </row>
    <row r="13" spans="1:44" ht="6" customHeight="1" x14ac:dyDescent="0.25">
      <c r="A13" s="1"/>
      <c r="B13" s="1"/>
      <c r="C13" s="1"/>
      <c r="D13" s="1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 spans="1:44" x14ac:dyDescent="0.25">
      <c r="A14" s="16" t="s">
        <v>5</v>
      </c>
      <c r="B14" s="17"/>
      <c r="C14" s="17"/>
      <c r="D14" s="17"/>
      <c r="E14" s="56">
        <f>SUM(E15:E17)</f>
        <v>1642.5</v>
      </c>
      <c r="F14" s="56">
        <f t="shared" ref="F14:AO14" ca="1" si="7">SUM(F15:F17)</f>
        <v>1622.8547954173678</v>
      </c>
      <c r="G14" s="56">
        <f t="shared" ca="1" si="7"/>
        <v>1603.2095908347351</v>
      </c>
      <c r="H14" s="56">
        <f t="shared" ca="1" si="7"/>
        <v>1583.5643862521026</v>
      </c>
      <c r="I14" s="56">
        <f t="shared" ca="1" si="7"/>
        <v>1563.9191816694699</v>
      </c>
      <c r="J14" s="56">
        <f t="shared" ca="1" si="7"/>
        <v>1544.273977086837</v>
      </c>
      <c r="K14" s="56">
        <f t="shared" ca="1" si="7"/>
        <v>1524.6287725042041</v>
      </c>
      <c r="L14" s="56">
        <f t="shared" ca="1" si="7"/>
        <v>1504.9835679215712</v>
      </c>
      <c r="M14" s="56">
        <f t="shared" ca="1" si="7"/>
        <v>1485.3383633389378</v>
      </c>
      <c r="N14" s="56">
        <f t="shared" ca="1" si="7"/>
        <v>1465.6931587563045</v>
      </c>
      <c r="O14" s="56">
        <f t="shared" ca="1" si="7"/>
        <v>1446.0479541736711</v>
      </c>
      <c r="P14" s="56">
        <v>1426.4027495910375</v>
      </c>
      <c r="Q14" s="56">
        <f t="shared" ca="1" si="7"/>
        <v>1449.9257797035652</v>
      </c>
      <c r="R14" s="56">
        <f t="shared" ca="1" si="7"/>
        <v>1473.4488098160916</v>
      </c>
      <c r="S14" s="56">
        <f t="shared" ca="1" si="7"/>
        <v>1496.9718399286162</v>
      </c>
      <c r="T14" s="56">
        <v>1426.4027495910375</v>
      </c>
      <c r="U14" s="56">
        <f t="shared" ca="1" si="7"/>
        <v>1544.017900153658</v>
      </c>
      <c r="V14" s="56">
        <f t="shared" ca="1" si="7"/>
        <v>1567.5409302661751</v>
      </c>
      <c r="W14" s="56">
        <f t="shared" ca="1" si="7"/>
        <v>1591.0639603786885</v>
      </c>
      <c r="X14" s="56">
        <f t="shared" ca="1" si="7"/>
        <v>1614.586990491199</v>
      </c>
      <c r="Y14" s="56">
        <f t="shared" ca="1" si="7"/>
        <v>1638.1100206037063</v>
      </c>
      <c r="Z14" s="56">
        <f t="shared" ca="1" si="7"/>
        <v>1661.6330507162104</v>
      </c>
      <c r="AA14" s="56">
        <f t="shared" ca="1" si="7"/>
        <v>1685.1560808287115</v>
      </c>
      <c r="AB14" s="56">
        <f t="shared" ca="1" si="7"/>
        <v>1708.67911094121</v>
      </c>
      <c r="AC14" s="56">
        <f t="shared" ca="1" si="7"/>
        <v>1732.2021410537061</v>
      </c>
      <c r="AD14" s="56">
        <f t="shared" ca="1" si="7"/>
        <v>1755.7251711662002</v>
      </c>
      <c r="AE14" s="56">
        <f t="shared" ca="1" si="7"/>
        <v>1779.2482012786932</v>
      </c>
      <c r="AF14" s="56">
        <f t="shared" ca="1" si="7"/>
        <v>1802.7712313911848</v>
      </c>
      <c r="AG14" s="56">
        <f t="shared" ca="1" si="7"/>
        <v>1826.2942615036761</v>
      </c>
      <c r="AH14" s="56">
        <v>1849.8172916161673</v>
      </c>
      <c r="AI14" s="56">
        <f t="shared" ca="1" si="7"/>
        <v>1898.2040375341305</v>
      </c>
      <c r="AJ14" s="56">
        <f t="shared" ca="1" si="7"/>
        <v>1946.5907834520935</v>
      </c>
      <c r="AK14" s="56">
        <f t="shared" ca="1" si="7"/>
        <v>1994.9775293700568</v>
      </c>
      <c r="AL14" s="56">
        <f t="shared" ca="1" si="7"/>
        <v>2043.3642752880196</v>
      </c>
      <c r="AM14" s="56">
        <f t="shared" ca="1" si="7"/>
        <v>2091.7510212059824</v>
      </c>
      <c r="AN14" s="56">
        <v>2140.1377671239452</v>
      </c>
      <c r="AO14" s="56">
        <f t="shared" si="7"/>
        <v>2393.5273087792084</v>
      </c>
      <c r="AP14" s="56">
        <v>2646.9168504344711</v>
      </c>
    </row>
    <row r="15" spans="1:44" x14ac:dyDescent="0.25">
      <c r="A15" s="1" t="s">
        <v>26</v>
      </c>
      <c r="B15" s="1"/>
      <c r="C15" s="1"/>
      <c r="D15" s="1"/>
      <c r="E15" s="34">
        <f>'Structure de coûts RTE'!B23/2</f>
        <v>750</v>
      </c>
      <c r="F15" s="52">
        <f ca="1">(E15+G15)/2</f>
        <v>741.02958694856966</v>
      </c>
      <c r="G15" s="52">
        <f t="shared" ref="G15:AO17" ca="1" si="8">(F15+H15)/2</f>
        <v>732.05917389713932</v>
      </c>
      <c r="H15" s="52">
        <f t="shared" ca="1" si="8"/>
        <v>723.08876084570898</v>
      </c>
      <c r="I15" s="52">
        <f t="shared" ca="1" si="8"/>
        <v>714.11834779427852</v>
      </c>
      <c r="J15" s="52">
        <f t="shared" ca="1" si="8"/>
        <v>705.14793474284807</v>
      </c>
      <c r="K15" s="52">
        <f t="shared" ca="1" si="8"/>
        <v>696.1775216914175</v>
      </c>
      <c r="L15" s="52">
        <f t="shared" ca="1" si="8"/>
        <v>687.20710863998681</v>
      </c>
      <c r="M15" s="52">
        <f t="shared" ca="1" si="8"/>
        <v>678.23669558855613</v>
      </c>
      <c r="N15" s="52">
        <f t="shared" ca="1" si="8"/>
        <v>669.26628253712533</v>
      </c>
      <c r="O15" s="52">
        <f t="shared" ca="1" si="8"/>
        <v>660.29586948569454</v>
      </c>
      <c r="P15" s="41">
        <f>$E15/$E$14*P$14</f>
        <v>651.32545643426363</v>
      </c>
      <c r="Q15" s="52">
        <f t="shared" ca="1" si="8"/>
        <v>662.06656607468699</v>
      </c>
      <c r="R15" s="52">
        <f t="shared" ca="1" si="8"/>
        <v>672.80767571510967</v>
      </c>
      <c r="S15" s="52">
        <f t="shared" ca="1" si="8"/>
        <v>683.54878535553166</v>
      </c>
      <c r="T15" s="52">
        <f t="shared" ca="1" si="8"/>
        <v>694.28989499595264</v>
      </c>
      <c r="U15" s="52">
        <f t="shared" ca="1" si="8"/>
        <v>705.03100463637236</v>
      </c>
      <c r="V15" s="52">
        <f t="shared" ca="1" si="8"/>
        <v>715.77211427679072</v>
      </c>
      <c r="W15" s="52">
        <f t="shared" ca="1" si="8"/>
        <v>726.51322391720782</v>
      </c>
      <c r="X15" s="52">
        <f t="shared" ca="1" si="8"/>
        <v>737.25433355762357</v>
      </c>
      <c r="Y15" s="52">
        <f t="shared" ca="1" si="8"/>
        <v>747.99544319803783</v>
      </c>
      <c r="Z15" s="52">
        <f t="shared" ca="1" si="8"/>
        <v>758.73655283845073</v>
      </c>
      <c r="AA15" s="52">
        <f t="shared" ca="1" si="8"/>
        <v>769.47766247886227</v>
      </c>
      <c r="AB15" s="52">
        <f t="shared" ca="1" si="8"/>
        <v>780.21877211927267</v>
      </c>
      <c r="AC15" s="52">
        <f t="shared" ca="1" si="8"/>
        <v>790.95988175968205</v>
      </c>
      <c r="AD15" s="52">
        <f t="shared" ca="1" si="8"/>
        <v>801.70099140009052</v>
      </c>
      <c r="AE15" s="52">
        <f t="shared" ca="1" si="8"/>
        <v>812.4421010404983</v>
      </c>
      <c r="AF15" s="52">
        <f t="shared" ca="1" si="8"/>
        <v>823.18321068090574</v>
      </c>
      <c r="AG15" s="52">
        <f t="shared" ca="1" si="8"/>
        <v>833.92432032131296</v>
      </c>
      <c r="AH15" s="41">
        <f>$E15/$E$14*AH$14</f>
        <v>844.66542996172018</v>
      </c>
      <c r="AI15" s="52">
        <f t="shared" ca="1" si="8"/>
        <v>866.75983449047044</v>
      </c>
      <c r="AJ15" s="52">
        <f t="shared" ca="1" si="8"/>
        <v>888.85423901922081</v>
      </c>
      <c r="AK15" s="52">
        <f t="shared" ca="1" si="8"/>
        <v>910.94864354797107</v>
      </c>
      <c r="AL15" s="52">
        <f t="shared" ca="1" si="8"/>
        <v>933.04304807672133</v>
      </c>
      <c r="AM15" s="52">
        <f t="shared" ca="1" si="8"/>
        <v>955.13745260547148</v>
      </c>
      <c r="AN15" s="41">
        <f>$E15/$E$14*AN$14</f>
        <v>977.23185713422151</v>
      </c>
      <c r="AO15" s="52">
        <f t="shared" si="8"/>
        <v>1092.9348441914192</v>
      </c>
      <c r="AP15" s="41">
        <f>$E15/$E$14*AP$14</f>
        <v>1208.637831248617</v>
      </c>
    </row>
    <row r="16" spans="1:44" x14ac:dyDescent="0.25">
      <c r="A16" s="1" t="s">
        <v>54</v>
      </c>
      <c r="B16" s="1"/>
      <c r="C16" s="1"/>
      <c r="D16" s="1"/>
      <c r="E16" s="34">
        <f>'Structure de coûts RTE'!$B$24/2*'Structure de coûts RTE'!$B$16</f>
        <v>392.37204724409452</v>
      </c>
      <c r="F16" s="52">
        <f ca="1">(E16+G16)/2</f>
        <v>387.67906146594134</v>
      </c>
      <c r="G16" s="52">
        <f t="shared" ca="1" si="8"/>
        <v>382.98607568778817</v>
      </c>
      <c r="H16" s="52">
        <f t="shared" ca="1" si="8"/>
        <v>378.293089909635</v>
      </c>
      <c r="I16" s="52">
        <f t="shared" ca="1" si="8"/>
        <v>373.60010413148177</v>
      </c>
      <c r="J16" s="52">
        <f t="shared" ca="1" si="8"/>
        <v>368.90711835332854</v>
      </c>
      <c r="K16" s="52">
        <f t="shared" ca="1" si="8"/>
        <v>364.21413257517526</v>
      </c>
      <c r="L16" s="52">
        <f t="shared" ca="1" si="8"/>
        <v>359.52114679702197</v>
      </c>
      <c r="M16" s="52">
        <f t="shared" ca="1" si="8"/>
        <v>354.82816101886863</v>
      </c>
      <c r="N16" s="52">
        <f t="shared" ca="1" si="8"/>
        <v>350.13517524071523</v>
      </c>
      <c r="O16" s="52">
        <f t="shared" ca="1" si="8"/>
        <v>345.44218946256183</v>
      </c>
      <c r="P16" s="41">
        <f>$E16/$E$14*P$14</f>
        <v>340.74920368440843</v>
      </c>
      <c r="Q16" s="52">
        <f t="shared" ca="1" si="8"/>
        <v>346.36855192345666</v>
      </c>
      <c r="R16" s="52">
        <f t="shared" ca="1" si="8"/>
        <v>351.98790016250462</v>
      </c>
      <c r="S16" s="52">
        <f t="shared" ca="1" si="8"/>
        <v>357.60724840155211</v>
      </c>
      <c r="T16" s="52">
        <f t="shared" ca="1" si="8"/>
        <v>363.22659664059915</v>
      </c>
      <c r="U16" s="52">
        <f t="shared" ca="1" si="8"/>
        <v>368.84594487964557</v>
      </c>
      <c r="V16" s="52">
        <f t="shared" ca="1" si="8"/>
        <v>374.46529311869131</v>
      </c>
      <c r="W16" s="52">
        <f t="shared" ca="1" si="8"/>
        <v>380.0846413577363</v>
      </c>
      <c r="X16" s="52">
        <f t="shared" ca="1" si="8"/>
        <v>385.7039895967805</v>
      </c>
      <c r="Y16" s="52">
        <f t="shared" ca="1" si="8"/>
        <v>391.32333783582396</v>
      </c>
      <c r="Z16" s="52">
        <f t="shared" ca="1" si="8"/>
        <v>396.94268607486674</v>
      </c>
      <c r="AA16" s="52">
        <f t="shared" ca="1" si="8"/>
        <v>402.56203431390884</v>
      </c>
      <c r="AB16" s="52">
        <f t="shared" ca="1" si="8"/>
        <v>408.18138255295031</v>
      </c>
      <c r="AC16" s="52">
        <f t="shared" ca="1" si="8"/>
        <v>413.80073079199121</v>
      </c>
      <c r="AD16" s="52">
        <f t="shared" ca="1" si="8"/>
        <v>419.42007903103172</v>
      </c>
      <c r="AE16" s="52">
        <f t="shared" ca="1" si="8"/>
        <v>425.03942727007188</v>
      </c>
      <c r="AF16" s="52">
        <f t="shared" ca="1" si="8"/>
        <v>430.65877550911176</v>
      </c>
      <c r="AG16" s="52">
        <f t="shared" ca="1" si="8"/>
        <v>436.27812374815153</v>
      </c>
      <c r="AH16" s="41">
        <f>$E16/$E$14*AH$14</f>
        <v>441.8974719871913</v>
      </c>
      <c r="AI16" s="52">
        <f t="shared" ca="1" si="8"/>
        <v>453.45644097063791</v>
      </c>
      <c r="AJ16" s="52">
        <f t="shared" ca="1" si="8"/>
        <v>465.01540995408448</v>
      </c>
      <c r="AK16" s="52">
        <f t="shared" ca="1" si="8"/>
        <v>476.57437893753104</v>
      </c>
      <c r="AL16" s="52">
        <f t="shared" ca="1" si="8"/>
        <v>488.1333479209776</v>
      </c>
      <c r="AM16" s="52">
        <f t="shared" ca="1" si="8"/>
        <v>499.69231690442416</v>
      </c>
      <c r="AN16" s="41">
        <f>$E16/$E$14*AN$14</f>
        <v>511.25128588787067</v>
      </c>
      <c r="AO16" s="52">
        <f t="shared" si="8"/>
        <v>571.78277642639023</v>
      </c>
      <c r="AP16" s="41">
        <f>$E16/$E$14*AP$14</f>
        <v>632.31426696490973</v>
      </c>
    </row>
    <row r="17" spans="1:42" x14ac:dyDescent="0.25">
      <c r="A17" s="1" t="s">
        <v>55</v>
      </c>
      <c r="B17" s="1"/>
      <c r="C17" s="1"/>
      <c r="D17" s="1"/>
      <c r="E17" s="34">
        <f>'Structure de coûts RTE'!$B$24/2*(1-'Structure de coûts RTE'!$B$16)</f>
        <v>500.12795275590554</v>
      </c>
      <c r="F17" s="52">
        <f ca="1">(E17+G17)/2</f>
        <v>494.14614700285659</v>
      </c>
      <c r="G17" s="52">
        <f t="shared" ca="1" si="8"/>
        <v>488.16434124980765</v>
      </c>
      <c r="H17" s="52">
        <f t="shared" ca="1" si="8"/>
        <v>482.18253549675865</v>
      </c>
      <c r="I17" s="52">
        <f t="shared" ca="1" si="8"/>
        <v>476.20072974370959</v>
      </c>
      <c r="J17" s="52">
        <f t="shared" ca="1" si="8"/>
        <v>470.21892399066053</v>
      </c>
      <c r="K17" s="52">
        <f t="shared" ca="1" si="8"/>
        <v>464.23711823761141</v>
      </c>
      <c r="L17" s="52">
        <f t="shared" ca="1" si="8"/>
        <v>458.2553124845623</v>
      </c>
      <c r="M17" s="52">
        <f t="shared" ca="1" si="8"/>
        <v>452.27350673151312</v>
      </c>
      <c r="N17" s="52">
        <f t="shared" ca="1" si="8"/>
        <v>446.29170097846395</v>
      </c>
      <c r="O17" s="52">
        <f t="shared" ca="1" si="8"/>
        <v>440.30989522541472</v>
      </c>
      <c r="P17" s="41">
        <f>$E17/$E$14*P$14</f>
        <v>434.32808947236543</v>
      </c>
      <c r="Q17" s="52">
        <f t="shared" ca="1" si="8"/>
        <v>441.49066170542096</v>
      </c>
      <c r="R17" s="52">
        <f t="shared" ca="1" si="8"/>
        <v>448.65323393847609</v>
      </c>
      <c r="S17" s="52">
        <f t="shared" ca="1" si="8"/>
        <v>455.81580617153071</v>
      </c>
      <c r="T17" s="52">
        <f t="shared" ca="1" si="8"/>
        <v>462.97837840458465</v>
      </c>
      <c r="U17" s="52">
        <f t="shared" ca="1" si="8"/>
        <v>470.14095063763784</v>
      </c>
      <c r="V17" s="52">
        <f t="shared" ca="1" si="8"/>
        <v>477.30352287069013</v>
      </c>
      <c r="W17" s="52">
        <f t="shared" ca="1" si="8"/>
        <v>484.46609510374151</v>
      </c>
      <c r="X17" s="52">
        <f t="shared" ca="1" si="8"/>
        <v>491.62866733679192</v>
      </c>
      <c r="Y17" s="52">
        <f t="shared" ca="1" si="8"/>
        <v>498.79123956984137</v>
      </c>
      <c r="Z17" s="52">
        <f t="shared" ca="1" si="8"/>
        <v>505.95381180288985</v>
      </c>
      <c r="AA17" s="52">
        <f t="shared" ca="1" si="8"/>
        <v>513.11638403593747</v>
      </c>
      <c r="AB17" s="52">
        <f t="shared" ca="1" si="8"/>
        <v>520.27895626898442</v>
      </c>
      <c r="AC17" s="52">
        <f t="shared" ca="1" si="8"/>
        <v>527.44152850203068</v>
      </c>
      <c r="AD17" s="52">
        <f t="shared" ca="1" si="8"/>
        <v>534.60410073507626</v>
      </c>
      <c r="AE17" s="52">
        <f t="shared" ca="1" si="8"/>
        <v>541.76667296812138</v>
      </c>
      <c r="AF17" s="52">
        <f t="shared" ca="1" si="8"/>
        <v>548.92924520116628</v>
      </c>
      <c r="AG17" s="52">
        <f t="shared" ca="1" si="8"/>
        <v>556.09181743421107</v>
      </c>
      <c r="AH17" s="41">
        <f>$E17/$E$14*AH$14</f>
        <v>563.25438966725585</v>
      </c>
      <c r="AI17" s="52">
        <f t="shared" ca="1" si="8"/>
        <v>577.98776207302217</v>
      </c>
      <c r="AJ17" s="52">
        <f t="shared" ca="1" si="8"/>
        <v>592.72113447878837</v>
      </c>
      <c r="AK17" s="52">
        <f t="shared" ca="1" si="8"/>
        <v>607.45450688455458</v>
      </c>
      <c r="AL17" s="52">
        <f t="shared" ca="1" si="8"/>
        <v>622.18787929032078</v>
      </c>
      <c r="AM17" s="52">
        <f t="shared" ca="1" si="8"/>
        <v>636.92125169608698</v>
      </c>
      <c r="AN17" s="41">
        <f>$E17/$E$14*AN$14</f>
        <v>651.65462410185307</v>
      </c>
      <c r="AO17" s="52">
        <f t="shared" si="8"/>
        <v>728.80968816139887</v>
      </c>
      <c r="AP17" s="41">
        <f>$E17/$E$14*AP$14</f>
        <v>805.96475222094466</v>
      </c>
    </row>
    <row r="18" spans="1:42" x14ac:dyDescent="0.25">
      <c r="A18" s="1"/>
      <c r="B18" s="1"/>
      <c r="C18" s="1"/>
      <c r="D18" s="1"/>
      <c r="E18" s="34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41"/>
    </row>
    <row r="19" spans="1:42" x14ac:dyDescent="0.25">
      <c r="A19" s="38" t="s">
        <v>114</v>
      </c>
      <c r="B19" s="39">
        <f t="shared" ref="B19:AO19" si="9">B20+B25</f>
        <v>0</v>
      </c>
      <c r="C19" s="39">
        <f t="shared" ca="1" si="9"/>
        <v>0.4333916083916059</v>
      </c>
      <c r="D19" s="39">
        <f t="shared" ca="1" si="9"/>
        <v>0.8667832167832118</v>
      </c>
      <c r="E19" s="39">
        <f t="shared" ca="1" si="9"/>
        <v>1.3001748251748177</v>
      </c>
      <c r="F19" s="39">
        <f t="shared" ca="1" si="9"/>
        <v>1.7335664335664238</v>
      </c>
      <c r="G19" s="39">
        <f t="shared" ca="1" si="9"/>
        <v>72.666958041958026</v>
      </c>
      <c r="H19" s="39">
        <f t="shared" ca="1" si="9"/>
        <v>358.45749250749247</v>
      </c>
      <c r="I19" s="39">
        <f t="shared" ca="1" si="9"/>
        <v>657.6765984015982</v>
      </c>
      <c r="J19" s="39">
        <f t="shared" ca="1" si="9"/>
        <v>1181.8242757242758</v>
      </c>
      <c r="K19" s="39">
        <f t="shared" ca="1" si="9"/>
        <v>1235.9719530469529</v>
      </c>
      <c r="L19" s="39">
        <f t="shared" ca="1" si="9"/>
        <v>1219.6196303696304</v>
      </c>
      <c r="M19" s="39">
        <f t="shared" ca="1" si="9"/>
        <v>776.91016483516478</v>
      </c>
      <c r="N19" s="39">
        <f t="shared" ca="1" si="9"/>
        <v>240.20069930069928</v>
      </c>
      <c r="O19" s="39">
        <f t="shared" ca="1" si="9"/>
        <v>240.6340909090909</v>
      </c>
      <c r="P19" s="39">
        <f t="shared" ca="1" si="9"/>
        <v>241.06748251748249</v>
      </c>
      <c r="Q19" s="39">
        <f t="shared" ca="1" si="9"/>
        <v>241.50087412587411</v>
      </c>
      <c r="R19" s="39">
        <f t="shared" ca="1" si="9"/>
        <v>241.93426573426572</v>
      </c>
      <c r="S19" s="39">
        <f t="shared" ca="1" si="9"/>
        <v>242.36765734265734</v>
      </c>
      <c r="T19" s="39">
        <f t="shared" ca="1" si="9"/>
        <v>242.80104895104895</v>
      </c>
      <c r="U19" s="39">
        <f t="shared" ca="1" si="9"/>
        <v>243.23444055944054</v>
      </c>
      <c r="V19" s="39">
        <f t="shared" si="9"/>
        <v>243.66783216783216</v>
      </c>
      <c r="W19" s="39">
        <f t="shared" ca="1" si="9"/>
        <v>244.90944055944055</v>
      </c>
      <c r="X19" s="39">
        <f t="shared" ca="1" si="9"/>
        <v>246.15104895104892</v>
      </c>
      <c r="Y19" s="39">
        <f t="shared" ca="1" si="9"/>
        <v>247.39265734265729</v>
      </c>
      <c r="Z19" s="39">
        <f t="shared" ca="1" si="9"/>
        <v>248.63426573426568</v>
      </c>
      <c r="AA19" s="39">
        <f t="shared" ca="1" si="9"/>
        <v>306.51873126873119</v>
      </c>
      <c r="AB19" s="39">
        <f t="shared" ca="1" si="9"/>
        <v>426.13454008677877</v>
      </c>
      <c r="AC19" s="39">
        <f t="shared" ca="1" si="9"/>
        <v>757.80152161271542</v>
      </c>
      <c r="AD19" s="39">
        <f t="shared" ca="1" si="9"/>
        <v>1065.9685031386523</v>
      </c>
      <c r="AE19" s="39">
        <f t="shared" ca="1" si="9"/>
        <v>1599.6152288010494</v>
      </c>
      <c r="AF19" s="39">
        <f t="shared" ca="1" si="9"/>
        <v>1610.499694335515</v>
      </c>
      <c r="AG19" s="39">
        <f t="shared" ca="1" si="9"/>
        <v>1569.7242451578272</v>
      </c>
      <c r="AH19" s="39">
        <f t="shared" ca="1" si="9"/>
        <v>1044.8464505643608</v>
      </c>
      <c r="AI19" s="39">
        <f t="shared" ca="1" si="9"/>
        <v>444.80874125874118</v>
      </c>
      <c r="AJ19" s="39">
        <f t="shared" ca="1" si="9"/>
        <v>446.05034965034957</v>
      </c>
      <c r="AK19" s="39">
        <f t="shared" ca="1" si="9"/>
        <v>447.29195804195797</v>
      </c>
      <c r="AL19" s="39">
        <f t="shared" ca="1" si="9"/>
        <v>448.53356643356636</v>
      </c>
      <c r="AM19" s="39">
        <f t="shared" ca="1" si="9"/>
        <v>449.77517482517476</v>
      </c>
      <c r="AN19" s="39">
        <f t="shared" ca="1" si="9"/>
        <v>451.01678321678321</v>
      </c>
      <c r="AO19" s="39">
        <f t="shared" ca="1" si="9"/>
        <v>452.25839160839161</v>
      </c>
      <c r="AP19" s="39">
        <f>AP20+AP25</f>
        <v>453.5</v>
      </c>
    </row>
    <row r="20" spans="1:42" x14ac:dyDescent="0.25">
      <c r="A20" s="18" t="s">
        <v>0</v>
      </c>
      <c r="B20" s="114"/>
      <c r="C20" s="114"/>
      <c r="D20" s="114"/>
      <c r="E20" s="114">
        <f>SUM(E21:E23)</f>
        <v>0</v>
      </c>
      <c r="F20" s="114">
        <f t="shared" ref="F20:AP20" si="10">SUM(F21:F23)</f>
        <v>0</v>
      </c>
      <c r="G20" s="114">
        <f t="shared" si="10"/>
        <v>70.5</v>
      </c>
      <c r="H20" s="114">
        <f t="shared" si="10"/>
        <v>355.85714285714283</v>
      </c>
      <c r="I20" s="114">
        <f t="shared" si="10"/>
        <v>654.642857142857</v>
      </c>
      <c r="J20" s="114">
        <f t="shared" si="10"/>
        <v>1178.3571428571429</v>
      </c>
      <c r="K20" s="114">
        <f t="shared" si="10"/>
        <v>1232.0714285714284</v>
      </c>
      <c r="L20" s="114">
        <f t="shared" si="10"/>
        <v>1215.2857142857142</v>
      </c>
      <c r="M20" s="114">
        <f t="shared" si="10"/>
        <v>772.14285714285711</v>
      </c>
      <c r="N20" s="114">
        <f t="shared" si="10"/>
        <v>235</v>
      </c>
      <c r="O20" s="114">
        <f t="shared" si="10"/>
        <v>235</v>
      </c>
      <c r="P20" s="114">
        <f t="shared" si="10"/>
        <v>235</v>
      </c>
      <c r="Q20" s="114">
        <f t="shared" si="10"/>
        <v>235</v>
      </c>
      <c r="R20" s="114">
        <f t="shared" si="10"/>
        <v>235</v>
      </c>
      <c r="S20" s="114">
        <f t="shared" si="10"/>
        <v>235</v>
      </c>
      <c r="T20" s="114">
        <f t="shared" si="10"/>
        <v>235</v>
      </c>
      <c r="U20" s="114">
        <f t="shared" si="10"/>
        <v>235</v>
      </c>
      <c r="V20" s="114">
        <f t="shared" si="10"/>
        <v>235</v>
      </c>
      <c r="W20" s="114">
        <f t="shared" si="10"/>
        <v>235</v>
      </c>
      <c r="X20" s="114">
        <f t="shared" si="10"/>
        <v>235</v>
      </c>
      <c r="Y20" s="114">
        <f t="shared" si="10"/>
        <v>235</v>
      </c>
      <c r="Z20" s="114">
        <f t="shared" si="10"/>
        <v>235</v>
      </c>
      <c r="AA20" s="114">
        <f t="shared" si="10"/>
        <v>291.64285714285711</v>
      </c>
      <c r="AB20" s="114">
        <f t="shared" si="10"/>
        <v>410.01705756929636</v>
      </c>
      <c r="AC20" s="114">
        <f t="shared" si="10"/>
        <v>740.44243070362461</v>
      </c>
      <c r="AD20" s="114">
        <f t="shared" si="10"/>
        <v>1047.367803837953</v>
      </c>
      <c r="AE20" s="114">
        <f t="shared" si="10"/>
        <v>1579.7729211087419</v>
      </c>
      <c r="AF20" s="114">
        <f t="shared" si="10"/>
        <v>1589.415778251599</v>
      </c>
      <c r="AG20" s="114">
        <f t="shared" si="10"/>
        <v>1547.3987206823028</v>
      </c>
      <c r="AH20" s="114">
        <f t="shared" si="10"/>
        <v>1021.2793176972281</v>
      </c>
      <c r="AI20" s="114">
        <f t="shared" si="10"/>
        <v>420</v>
      </c>
      <c r="AJ20" s="114">
        <f t="shared" si="10"/>
        <v>420</v>
      </c>
      <c r="AK20" s="114">
        <f t="shared" si="10"/>
        <v>420</v>
      </c>
      <c r="AL20" s="114">
        <f t="shared" si="10"/>
        <v>420</v>
      </c>
      <c r="AM20" s="114">
        <f t="shared" si="10"/>
        <v>420</v>
      </c>
      <c r="AN20" s="114">
        <f t="shared" si="10"/>
        <v>420</v>
      </c>
      <c r="AO20" s="114">
        <f t="shared" si="10"/>
        <v>420</v>
      </c>
      <c r="AP20" s="114">
        <f t="shared" si="10"/>
        <v>420</v>
      </c>
    </row>
    <row r="21" spans="1:42" x14ac:dyDescent="0.25">
      <c r="A21" s="1" t="s">
        <v>26</v>
      </c>
      <c r="B21" s="52"/>
      <c r="C21" s="52"/>
      <c r="D21" s="52"/>
      <c r="E21" s="28">
        <v>0</v>
      </c>
      <c r="F21" s="28">
        <v>0</v>
      </c>
      <c r="G21" s="28">
        <f>'Données Linky'!B22</f>
        <v>3.3571428571428568</v>
      </c>
      <c r="H21" s="28">
        <f>'Données Linky'!C22</f>
        <v>20.142857142857142</v>
      </c>
      <c r="I21" s="28">
        <f>'Données Linky'!D22</f>
        <v>50.357142857142854</v>
      </c>
      <c r="J21" s="28">
        <f>'Données Linky'!E22</f>
        <v>104.07142857142857</v>
      </c>
      <c r="K21" s="28">
        <f>'Données Linky'!F22</f>
        <v>157.78571428571428</v>
      </c>
      <c r="L21" s="28">
        <f>'Données Linky'!G22</f>
        <v>208.14285714285714</v>
      </c>
      <c r="M21" s="28">
        <f>'Données Linky'!H22</f>
        <v>235</v>
      </c>
      <c r="N21" s="28">
        <f>'Données Linky'!I22</f>
        <v>235</v>
      </c>
      <c r="O21" s="28">
        <f>'Données Linky'!J22</f>
        <v>235</v>
      </c>
      <c r="P21" s="28">
        <f>'Données Linky'!K22</f>
        <v>235</v>
      </c>
      <c r="Q21" s="28">
        <f>'Données Linky'!L22</f>
        <v>235</v>
      </c>
      <c r="R21" s="28">
        <f>'Données Linky'!M22</f>
        <v>235</v>
      </c>
      <c r="S21" s="28">
        <f>'Données Linky'!N22</f>
        <v>235</v>
      </c>
      <c r="T21" s="28">
        <f>'Données Linky'!O22</f>
        <v>235</v>
      </c>
      <c r="U21" s="28">
        <f>'Données Linky'!P22</f>
        <v>235</v>
      </c>
      <c r="V21" s="28">
        <f>'Données Linky'!Q22</f>
        <v>235</v>
      </c>
      <c r="W21" s="28">
        <f>'Données Linky'!R22</f>
        <v>235</v>
      </c>
      <c r="X21" s="28">
        <f>'Données Linky'!S22</f>
        <v>235</v>
      </c>
      <c r="Y21" s="28">
        <f>'Données Linky'!T22</f>
        <v>235</v>
      </c>
      <c r="Z21" s="28">
        <f>'Données Linky'!U22</f>
        <v>235</v>
      </c>
      <c r="AA21" s="28">
        <f>'Données Linky'!V22</f>
        <v>291.64285714285711</v>
      </c>
      <c r="AB21" s="28">
        <f>'Données Linky'!W22</f>
        <v>334.85714285714283</v>
      </c>
      <c r="AC21" s="28">
        <f>'Données Linky'!X22</f>
        <v>364.64285714285711</v>
      </c>
      <c r="AD21" s="28">
        <f>'Données Linky'!Y22</f>
        <v>370.92857142857144</v>
      </c>
      <c r="AE21" s="28">
        <f>'Données Linky'!Z22</f>
        <v>377.21428571428572</v>
      </c>
      <c r="AF21" s="28">
        <f>'Données Linky'!AA22</f>
        <v>386.85714285714289</v>
      </c>
      <c r="AG21" s="28">
        <v>420</v>
      </c>
      <c r="AH21" s="28">
        <v>420</v>
      </c>
      <c r="AI21" s="28">
        <v>420</v>
      </c>
      <c r="AJ21" s="28">
        <v>420</v>
      </c>
      <c r="AK21" s="28">
        <v>420</v>
      </c>
      <c r="AL21" s="28">
        <v>420</v>
      </c>
      <c r="AM21" s="28">
        <v>420</v>
      </c>
      <c r="AN21" s="28">
        <v>420</v>
      </c>
      <c r="AO21" s="28">
        <v>420</v>
      </c>
      <c r="AP21" s="28">
        <v>420</v>
      </c>
    </row>
    <row r="22" spans="1:42" x14ac:dyDescent="0.25">
      <c r="A22" s="1" t="s">
        <v>117</v>
      </c>
      <c r="B22" s="52"/>
      <c r="C22" s="52"/>
      <c r="D22" s="52"/>
      <c r="E22" s="28">
        <v>0</v>
      </c>
      <c r="F22" s="28">
        <v>0</v>
      </c>
      <c r="G22" s="28">
        <f>'Données Linky'!B12/1000000</f>
        <v>67.142857142857139</v>
      </c>
      <c r="H22" s="28">
        <f>'Données Linky'!C12/1000000</f>
        <v>335.71428571428567</v>
      </c>
      <c r="I22" s="28">
        <f>'Données Linky'!D12/1000000</f>
        <v>604.28571428571411</v>
      </c>
      <c r="J22" s="28">
        <f>'Données Linky'!E12/1000000</f>
        <v>1074.2857142857142</v>
      </c>
      <c r="K22" s="28">
        <f>'Données Linky'!F12/1000000</f>
        <v>1074.2857142857142</v>
      </c>
      <c r="L22" s="28">
        <f>'Données Linky'!G12/1000000</f>
        <v>1007.1428571428571</v>
      </c>
      <c r="M22" s="28">
        <f>'Données Linky'!H12/1000000</f>
        <v>537.14285714285711</v>
      </c>
      <c r="N22" s="28">
        <f>'Données Linky'!I12/1000000</f>
        <v>0</v>
      </c>
      <c r="O22" s="28">
        <f>'Données Linky'!J12/1000000</f>
        <v>0</v>
      </c>
      <c r="P22" s="28">
        <f>'Données Linky'!K12/1000000</f>
        <v>0</v>
      </c>
      <c r="Q22" s="28">
        <f>'Données Linky'!L12/1000000</f>
        <v>0</v>
      </c>
      <c r="R22" s="28">
        <f>'Données Linky'!M12/1000000</f>
        <v>0</v>
      </c>
      <c r="S22" s="28">
        <f>'Données Linky'!N12/1000000</f>
        <v>0</v>
      </c>
      <c r="T22" s="28">
        <f>'Données Linky'!O12/1000000</f>
        <v>0</v>
      </c>
      <c r="U22" s="28">
        <f>'Données Linky'!P12/1000000</f>
        <v>0</v>
      </c>
      <c r="V22" s="28">
        <f>'Données Linky'!Q12/1000000</f>
        <v>0</v>
      </c>
      <c r="W22" s="28">
        <f>'Données Linky'!R12/1000000</f>
        <v>0</v>
      </c>
      <c r="X22" s="28">
        <f>'Données Linky'!S12/1000000</f>
        <v>0</v>
      </c>
      <c r="Y22" s="28">
        <f>'Données Linky'!T12/1000000</f>
        <v>0</v>
      </c>
      <c r="Z22" s="28">
        <f>'Données Linky'!U12/1000000</f>
        <v>0</v>
      </c>
      <c r="AA22" s="28">
        <f>'Données Linky'!V12/1000000</f>
        <v>0</v>
      </c>
      <c r="AB22" s="28">
        <f>G22/134*150</f>
        <v>75.159914712153508</v>
      </c>
      <c r="AC22" s="28">
        <f t="shared" ref="AC22:AH22" si="11">H22/134*150</f>
        <v>375.7995735607675</v>
      </c>
      <c r="AD22" s="28">
        <f t="shared" si="11"/>
        <v>676.43923240938148</v>
      </c>
      <c r="AE22" s="28">
        <f t="shared" si="11"/>
        <v>1202.5586353944561</v>
      </c>
      <c r="AF22" s="28">
        <f t="shared" si="11"/>
        <v>1202.5586353944561</v>
      </c>
      <c r="AG22" s="28">
        <f t="shared" si="11"/>
        <v>1127.3987206823028</v>
      </c>
      <c r="AH22" s="28">
        <f t="shared" si="11"/>
        <v>601.27931769722807</v>
      </c>
      <c r="AI22" s="28">
        <f>N22/134*150</f>
        <v>0</v>
      </c>
      <c r="AJ22" s="28">
        <f t="shared" ref="AJ22:AP22" si="12">O22/134*150</f>
        <v>0</v>
      </c>
      <c r="AK22" s="28">
        <f t="shared" si="12"/>
        <v>0</v>
      </c>
      <c r="AL22" s="28">
        <f t="shared" si="12"/>
        <v>0</v>
      </c>
      <c r="AM22" s="28">
        <f t="shared" si="12"/>
        <v>0</v>
      </c>
      <c r="AN22" s="28">
        <f t="shared" si="12"/>
        <v>0</v>
      </c>
      <c r="AO22" s="28">
        <f t="shared" si="12"/>
        <v>0</v>
      </c>
      <c r="AP22" s="28">
        <f t="shared" si="12"/>
        <v>0</v>
      </c>
    </row>
    <row r="23" spans="1:42" x14ac:dyDescent="0.25">
      <c r="A23" s="1" t="s">
        <v>25</v>
      </c>
      <c r="B23" s="41"/>
      <c r="C23" s="41"/>
      <c r="D23" s="41"/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</row>
    <row r="24" spans="1:42" ht="6.75" customHeight="1" x14ac:dyDescent="0.25">
      <c r="A24" s="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</row>
    <row r="25" spans="1:42" s="24" customFormat="1" x14ac:dyDescent="0.25">
      <c r="A25" s="16" t="s">
        <v>1</v>
      </c>
      <c r="B25" s="56">
        <f>SUM(B26:B27)</f>
        <v>0</v>
      </c>
      <c r="C25" s="56">
        <f t="shared" ref="C25:AP25" ca="1" si="13">SUM(C26:C27)</f>
        <v>0.4333916083916059</v>
      </c>
      <c r="D25" s="56">
        <f t="shared" ca="1" si="13"/>
        <v>0.8667832167832118</v>
      </c>
      <c r="E25" s="56">
        <f t="shared" ca="1" si="13"/>
        <v>1.3001748251748177</v>
      </c>
      <c r="F25" s="56">
        <f t="shared" ca="1" si="13"/>
        <v>1.7335664335664238</v>
      </c>
      <c r="G25" s="56">
        <f t="shared" ca="1" si="13"/>
        <v>2.1669580419580301</v>
      </c>
      <c r="H25" s="56">
        <f t="shared" ca="1" si="13"/>
        <v>2.6003496503496368</v>
      </c>
      <c r="I25" s="56">
        <f t="shared" ca="1" si="13"/>
        <v>3.0337412587412436</v>
      </c>
      <c r="J25" s="56">
        <f t="shared" ca="1" si="13"/>
        <v>3.4671328671328507</v>
      </c>
      <c r="K25" s="56">
        <f t="shared" ca="1" si="13"/>
        <v>3.9005244755244579</v>
      </c>
      <c r="L25" s="56">
        <f t="shared" ca="1" si="13"/>
        <v>4.3339160839160655</v>
      </c>
      <c r="M25" s="56">
        <f t="shared" ca="1" si="13"/>
        <v>4.7673076923076732</v>
      </c>
      <c r="N25" s="56">
        <f t="shared" ca="1" si="13"/>
        <v>5.2006993006992817</v>
      </c>
      <c r="O25" s="56">
        <f t="shared" ca="1" si="13"/>
        <v>5.6340909090908902</v>
      </c>
      <c r="P25" s="56">
        <f t="shared" ca="1" si="13"/>
        <v>6.0674825174824996</v>
      </c>
      <c r="Q25" s="56">
        <f t="shared" ca="1" si="13"/>
        <v>6.5008741258741098</v>
      </c>
      <c r="R25" s="56">
        <f t="shared" ca="1" si="13"/>
        <v>6.9342657342657201</v>
      </c>
      <c r="S25" s="56">
        <f t="shared" ca="1" si="13"/>
        <v>7.3676573426573313</v>
      </c>
      <c r="T25" s="56">
        <f t="shared" ca="1" si="13"/>
        <v>7.8010489510489434</v>
      </c>
      <c r="U25" s="56">
        <f t="shared" ca="1" si="13"/>
        <v>8.2344405594405554</v>
      </c>
      <c r="V25" s="56">
        <f t="shared" si="13"/>
        <v>8.6678321678321684</v>
      </c>
      <c r="W25" s="56">
        <f t="shared" ca="1" si="13"/>
        <v>9.9094405594405437</v>
      </c>
      <c r="X25" s="56">
        <f t="shared" ca="1" si="13"/>
        <v>11.151048951048921</v>
      </c>
      <c r="Y25" s="56">
        <f t="shared" ca="1" si="13"/>
        <v>12.392657342657298</v>
      </c>
      <c r="Z25" s="56">
        <f t="shared" ca="1" si="13"/>
        <v>13.634265734265677</v>
      </c>
      <c r="AA25" s="56">
        <f t="shared" ca="1" si="13"/>
        <v>14.875874125874056</v>
      </c>
      <c r="AB25" s="56">
        <f t="shared" ca="1" si="13"/>
        <v>16.117482517482436</v>
      </c>
      <c r="AC25" s="56">
        <f t="shared" ca="1" si="13"/>
        <v>17.359090909090821</v>
      </c>
      <c r="AD25" s="56">
        <f t="shared" ca="1" si="13"/>
        <v>18.600699300699205</v>
      </c>
      <c r="AE25" s="56">
        <f t="shared" ca="1" si="13"/>
        <v>19.842307692307593</v>
      </c>
      <c r="AF25" s="56">
        <f t="shared" ca="1" si="13"/>
        <v>21.083916083915984</v>
      </c>
      <c r="AG25" s="56">
        <f t="shared" ca="1" si="13"/>
        <v>22.325524475524375</v>
      </c>
      <c r="AH25" s="56">
        <f t="shared" ca="1" si="13"/>
        <v>23.56713286713277</v>
      </c>
      <c r="AI25" s="56">
        <f t="shared" ca="1" si="13"/>
        <v>24.808741258741168</v>
      </c>
      <c r="AJ25" s="56">
        <f t="shared" ca="1" si="13"/>
        <v>26.050349650349567</v>
      </c>
      <c r="AK25" s="56">
        <f t="shared" ca="1" si="13"/>
        <v>27.291958041957969</v>
      </c>
      <c r="AL25" s="56">
        <f t="shared" ca="1" si="13"/>
        <v>28.533566433566371</v>
      </c>
      <c r="AM25" s="56">
        <f t="shared" ca="1" si="13"/>
        <v>29.775174825174776</v>
      </c>
      <c r="AN25" s="56">
        <f t="shared" ca="1" si="13"/>
        <v>31.016783216783182</v>
      </c>
      <c r="AO25" s="56">
        <f t="shared" ca="1" si="13"/>
        <v>32.258391608391591</v>
      </c>
      <c r="AP25" s="56">
        <f t="shared" si="13"/>
        <v>33.5</v>
      </c>
    </row>
    <row r="26" spans="1:42" x14ac:dyDescent="0.25">
      <c r="A26" s="1" t="s">
        <v>26</v>
      </c>
      <c r="B26" s="28">
        <v>0</v>
      </c>
      <c r="C26" s="28">
        <f ca="1">(B26+D26)/2</f>
        <v>0.4333916083916059</v>
      </c>
      <c r="D26" s="28">
        <f t="shared" ref="D26:AO26" ca="1" si="14">(C26+E26)/2</f>
        <v>0.8667832167832118</v>
      </c>
      <c r="E26" s="28">
        <f t="shared" ca="1" si="14"/>
        <v>1.3001748251748177</v>
      </c>
      <c r="F26" s="28">
        <f t="shared" ca="1" si="14"/>
        <v>1.7335664335664238</v>
      </c>
      <c r="G26" s="28">
        <f t="shared" ca="1" si="14"/>
        <v>2.1669580419580301</v>
      </c>
      <c r="H26" s="28">
        <f t="shared" ca="1" si="14"/>
        <v>2.6003496503496368</v>
      </c>
      <c r="I26" s="28">
        <f t="shared" ca="1" si="14"/>
        <v>3.0337412587412436</v>
      </c>
      <c r="J26" s="28">
        <f t="shared" ca="1" si="14"/>
        <v>3.4671328671328507</v>
      </c>
      <c r="K26" s="28">
        <f t="shared" ca="1" si="14"/>
        <v>3.9005244755244579</v>
      </c>
      <c r="L26" s="28">
        <f t="shared" ca="1" si="14"/>
        <v>4.3339160839160655</v>
      </c>
      <c r="M26" s="28">
        <f t="shared" ca="1" si="14"/>
        <v>4.7673076923076732</v>
      </c>
      <c r="N26" s="28">
        <f t="shared" ca="1" si="14"/>
        <v>5.2006993006992817</v>
      </c>
      <c r="O26" s="28">
        <f t="shared" ca="1" si="14"/>
        <v>5.6340909090908902</v>
      </c>
      <c r="P26" s="28">
        <f t="shared" ca="1" si="14"/>
        <v>6.0674825174824996</v>
      </c>
      <c r="Q26" s="28">
        <f t="shared" ca="1" si="14"/>
        <v>6.5008741258741098</v>
      </c>
      <c r="R26" s="28">
        <f t="shared" ca="1" si="14"/>
        <v>6.9342657342657201</v>
      </c>
      <c r="S26" s="28">
        <f t="shared" ca="1" si="14"/>
        <v>7.3676573426573313</v>
      </c>
      <c r="T26" s="28">
        <f t="shared" ca="1" si="14"/>
        <v>7.8010489510489434</v>
      </c>
      <c r="U26" s="28">
        <f t="shared" ca="1" si="14"/>
        <v>8.2344405594405554</v>
      </c>
      <c r="V26" s="28">
        <f>3.7/14.3*AP26</f>
        <v>8.6678321678321684</v>
      </c>
      <c r="W26" s="28">
        <f t="shared" ca="1" si="14"/>
        <v>9.9094405594405437</v>
      </c>
      <c r="X26" s="28">
        <f t="shared" ca="1" si="14"/>
        <v>11.151048951048921</v>
      </c>
      <c r="Y26" s="28">
        <f t="shared" ca="1" si="14"/>
        <v>12.392657342657298</v>
      </c>
      <c r="Z26" s="28">
        <f t="shared" ca="1" si="14"/>
        <v>13.634265734265677</v>
      </c>
      <c r="AA26" s="28">
        <f t="shared" ca="1" si="14"/>
        <v>14.875874125874056</v>
      </c>
      <c r="AB26" s="28">
        <f t="shared" ca="1" si="14"/>
        <v>16.117482517482436</v>
      </c>
      <c r="AC26" s="28">
        <f t="shared" ca="1" si="14"/>
        <v>17.359090909090821</v>
      </c>
      <c r="AD26" s="28">
        <f t="shared" ca="1" si="14"/>
        <v>18.600699300699205</v>
      </c>
      <c r="AE26" s="28">
        <f t="shared" ca="1" si="14"/>
        <v>19.842307692307593</v>
      </c>
      <c r="AF26" s="28">
        <f t="shared" ca="1" si="14"/>
        <v>21.083916083915984</v>
      </c>
      <c r="AG26" s="28">
        <f t="shared" ca="1" si="14"/>
        <v>22.325524475524375</v>
      </c>
      <c r="AH26" s="28">
        <f t="shared" ca="1" si="14"/>
        <v>23.56713286713277</v>
      </c>
      <c r="AI26" s="28">
        <f t="shared" ca="1" si="14"/>
        <v>24.808741258741168</v>
      </c>
      <c r="AJ26" s="28">
        <f t="shared" ca="1" si="14"/>
        <v>26.050349650349567</v>
      </c>
      <c r="AK26" s="28">
        <f t="shared" ca="1" si="14"/>
        <v>27.291958041957969</v>
      </c>
      <c r="AL26" s="28">
        <f t="shared" ca="1" si="14"/>
        <v>28.533566433566371</v>
      </c>
      <c r="AM26" s="28">
        <f t="shared" ca="1" si="14"/>
        <v>29.775174825174776</v>
      </c>
      <c r="AN26" s="28">
        <f t="shared" ca="1" si="14"/>
        <v>31.016783216783182</v>
      </c>
      <c r="AO26" s="28">
        <f t="shared" ca="1" si="14"/>
        <v>32.258391608391591</v>
      </c>
      <c r="AP26" s="28">
        <v>33.5</v>
      </c>
    </row>
    <row r="27" spans="1:42" x14ac:dyDescent="0.25">
      <c r="A27" s="1" t="s">
        <v>25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</row>
    <row r="28" spans="1:42" x14ac:dyDescent="0.25">
      <c r="A28" s="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1:42" x14ac:dyDescent="0.25">
      <c r="A29" s="40" t="s">
        <v>113</v>
      </c>
      <c r="B29" s="39">
        <f t="shared" ref="B29:AO29" si="15">B30+B34+B39</f>
        <v>0</v>
      </c>
      <c r="C29" s="39">
        <f t="shared" si="15"/>
        <v>0</v>
      </c>
      <c r="D29" s="39">
        <f t="shared" si="15"/>
        <v>0</v>
      </c>
      <c r="E29" s="39">
        <f t="shared" ca="1" si="15"/>
        <v>353.82857142857142</v>
      </c>
      <c r="F29" s="39">
        <f t="shared" ca="1" si="15"/>
        <v>383.14589310638877</v>
      </c>
      <c r="G29" s="39">
        <f t="shared" ca="1" si="15"/>
        <v>412.35211747089863</v>
      </c>
      <c r="H29" s="39">
        <f t="shared" ca="1" si="15"/>
        <v>441.44724452210107</v>
      </c>
      <c r="I29" s="39">
        <f t="shared" ca="1" si="15"/>
        <v>470.43127425999575</v>
      </c>
      <c r="J29" s="39">
        <f t="shared" ca="1" si="15"/>
        <v>499.30420668458294</v>
      </c>
      <c r="K29" s="39">
        <f t="shared" ca="1" si="15"/>
        <v>528.0660417958627</v>
      </c>
      <c r="L29" s="39">
        <f t="shared" ca="1" si="15"/>
        <v>556.71677959383464</v>
      </c>
      <c r="M29" s="39">
        <f t="shared" ca="1" si="15"/>
        <v>585.2564200784991</v>
      </c>
      <c r="N29" s="39">
        <f t="shared" ca="1" si="15"/>
        <v>613.68496324985608</v>
      </c>
      <c r="O29" s="39">
        <f t="shared" ca="1" si="15"/>
        <v>642.00240910790546</v>
      </c>
      <c r="P29" s="39">
        <f t="shared" ca="1" si="15"/>
        <v>670.20875765264725</v>
      </c>
      <c r="Q29" s="39">
        <f t="shared" ca="1" si="15"/>
        <v>707.02639829232612</v>
      </c>
      <c r="R29" s="39">
        <f t="shared" ca="1" si="15"/>
        <v>743.66115145771118</v>
      </c>
      <c r="S29" s="39">
        <f t="shared" ca="1" si="15"/>
        <v>780.11299223887613</v>
      </c>
      <c r="T29" s="39">
        <f t="shared" ca="1" si="15"/>
        <v>816.38189954079974</v>
      </c>
      <c r="U29" s="39">
        <f t="shared" ca="1" si="15"/>
        <v>837.65642798929525</v>
      </c>
      <c r="V29" s="39">
        <f t="shared" ca="1" si="15"/>
        <v>858.74799397124502</v>
      </c>
      <c r="W29" s="39">
        <f t="shared" ca="1" si="15"/>
        <v>879.96477554104717</v>
      </c>
      <c r="X29" s="39">
        <f t="shared" ca="1" si="15"/>
        <v>901.0963463319365</v>
      </c>
      <c r="Y29" s="39">
        <f t="shared" ca="1" si="15"/>
        <v>922.14270731561601</v>
      </c>
      <c r="Z29" s="39">
        <f t="shared" ca="1" si="15"/>
        <v>941.85061238729952</v>
      </c>
      <c r="AA29" s="39">
        <f t="shared" ca="1" si="15"/>
        <v>961.51084343195078</v>
      </c>
      <c r="AB29" s="39">
        <f t="shared" ca="1" si="15"/>
        <v>981.12341375653182</v>
      </c>
      <c r="AC29" s="39">
        <f t="shared" ca="1" si="15"/>
        <v>1000.6883398390286</v>
      </c>
      <c r="AD29" s="39">
        <f t="shared" ca="1" si="15"/>
        <v>1020.2056407148482</v>
      </c>
      <c r="AE29" s="39">
        <f t="shared" ca="1" si="15"/>
        <v>1039.6753373082697</v>
      </c>
      <c r="AF29" s="39">
        <f t="shared" ca="1" si="15"/>
        <v>1059.0974517311784</v>
      </c>
      <c r="AG29" s="39">
        <f t="shared" ca="1" si="15"/>
        <v>1078.4720065714978</v>
      </c>
      <c r="AH29" s="39">
        <f t="shared" ca="1" si="15"/>
        <v>1420.1709127792226</v>
      </c>
      <c r="AI29" s="39">
        <f t="shared" ca="1" si="15"/>
        <v>1840.0690191499089</v>
      </c>
      <c r="AJ29" s="39">
        <f t="shared" ca="1" si="15"/>
        <v>2259.5962227597802</v>
      </c>
      <c r="AK29" s="39">
        <f t="shared" ca="1" si="15"/>
        <v>2678.2098005208618</v>
      </c>
      <c r="AL29" s="39">
        <f t="shared" ca="1" si="15"/>
        <v>3096.4767070768753</v>
      </c>
      <c r="AM29" s="39">
        <f t="shared" ca="1" si="15"/>
        <v>3514.396943909624</v>
      </c>
      <c r="AN29" s="39">
        <f t="shared" ca="1" si="15"/>
        <v>3931.9705119867449</v>
      </c>
      <c r="AO29" s="39">
        <f t="shared" ca="1" si="15"/>
        <v>4349.1974117714071</v>
      </c>
      <c r="AP29" s="39">
        <f ca="1">AP30+AP34+AP39</f>
        <v>4766.0776432509874</v>
      </c>
    </row>
    <row r="30" spans="1:42" x14ac:dyDescent="0.25">
      <c r="A30" s="18" t="s">
        <v>4</v>
      </c>
      <c r="B30" s="53"/>
      <c r="C30" s="53"/>
      <c r="D30" s="53"/>
      <c r="E30" s="53">
        <f t="shared" ref="E30" si="16">SUM(E31:E32)</f>
        <v>0</v>
      </c>
      <c r="F30" s="53">
        <f t="shared" ref="F30" ca="1" si="17">SUM(F31:F32)</f>
        <v>14.50589310638852</v>
      </c>
      <c r="G30" s="53">
        <f t="shared" ref="G30" ca="1" si="18">SUM(G31:G32)</f>
        <v>28.900688899469536</v>
      </c>
      <c r="H30" s="53">
        <f t="shared" ref="H30" ca="1" si="19">SUM(H31:H32)</f>
        <v>43.184387379243049</v>
      </c>
      <c r="I30" s="53">
        <f t="shared" ref="I30" ca="1" si="20">SUM(I31:I32)</f>
        <v>57.356988545709044</v>
      </c>
      <c r="J30" s="53">
        <f t="shared" ref="J30" ca="1" si="21">SUM(J31:J32)</f>
        <v>71.418492398867528</v>
      </c>
      <c r="K30" s="53">
        <f t="shared" ref="K30" ca="1" si="22">SUM(K31:K32)</f>
        <v>85.368898938718502</v>
      </c>
      <c r="L30" s="53">
        <f t="shared" ref="L30" ca="1" si="23">SUM(L31:L32)</f>
        <v>99.208208165261951</v>
      </c>
      <c r="M30" s="53">
        <f t="shared" ref="M30" ca="1" si="24">SUM(M31:M32)</f>
        <v>112.93642007849786</v>
      </c>
      <c r="N30" s="53">
        <f t="shared" ref="N30" ca="1" si="25">SUM(N31:N32)</f>
        <v>126.55353467842627</v>
      </c>
      <c r="O30" s="53">
        <f t="shared" ref="O30" ca="1" si="26">SUM(O31:O32)</f>
        <v>140.05955196504715</v>
      </c>
      <c r="P30" s="53">
        <f t="shared" ref="P30" ca="1" si="27">SUM(P31:P32)</f>
        <v>153.45447193836048</v>
      </c>
      <c r="Q30" s="53">
        <f t="shared" ref="Q30" ca="1" si="28">SUM(Q31:Q32)</f>
        <v>175.46068400661096</v>
      </c>
      <c r="R30" s="53">
        <f t="shared" ref="R30" ca="1" si="29">SUM(R31:R32)</f>
        <v>197.28400860056772</v>
      </c>
      <c r="S30" s="53">
        <f t="shared" ref="S30" ca="1" si="30">SUM(S31:S32)</f>
        <v>218.9244208103045</v>
      </c>
      <c r="T30" s="53">
        <f t="shared" ref="T30" ca="1" si="31">SUM(T31:T32)</f>
        <v>240.38189954079971</v>
      </c>
      <c r="U30" s="53">
        <f t="shared" ref="U30" ca="1" si="32">SUM(U31:U32)</f>
        <v>261.65642798929525</v>
      </c>
      <c r="V30" s="53">
        <f t="shared" ref="V30" ca="1" si="33">SUM(V31:V32)</f>
        <v>282.74799397124508</v>
      </c>
      <c r="W30" s="53">
        <f t="shared" ref="W30" ca="1" si="34">SUM(W31:W32)</f>
        <v>303.96477554104712</v>
      </c>
      <c r="X30" s="53">
        <f t="shared" ref="X30" ca="1" si="35">SUM(X31:X32)</f>
        <v>325.0963463319365</v>
      </c>
      <c r="Y30" s="53">
        <f t="shared" ref="Y30" ca="1" si="36">SUM(Y31:Y32)</f>
        <v>346.14270731561601</v>
      </c>
      <c r="Z30" s="53">
        <f t="shared" ref="Z30" ca="1" si="37">SUM(Z31:Z32)</f>
        <v>365.85061238729952</v>
      </c>
      <c r="AA30" s="53">
        <f t="shared" ref="AA30" ca="1" si="38">SUM(AA31:AA32)</f>
        <v>385.51084343195078</v>
      </c>
      <c r="AB30" s="53">
        <f t="shared" ref="AB30" ca="1" si="39">SUM(AB31:AB32)</f>
        <v>405.12341375653182</v>
      </c>
      <c r="AC30" s="53">
        <f t="shared" ref="AC30" ca="1" si="40">SUM(AC31:AC32)</f>
        <v>424.68833983902857</v>
      </c>
      <c r="AD30" s="53">
        <f t="shared" ref="AD30" ca="1" si="41">SUM(AD31:AD32)</f>
        <v>444.20564071484824</v>
      </c>
      <c r="AE30" s="53">
        <f t="shared" ref="AE30" ca="1" si="42">SUM(AE31:AE32)</f>
        <v>463.6753373082696</v>
      </c>
      <c r="AF30" s="53">
        <f t="shared" ref="AF30" ca="1" si="43">SUM(AF31:AF32)</f>
        <v>483.09745173117835</v>
      </c>
      <c r="AG30" s="53">
        <f t="shared" ref="AG30" ca="1" si="44">SUM(AG31:AG32)</f>
        <v>502.47200657149779</v>
      </c>
      <c r="AH30" s="53">
        <f t="shared" ref="AH30" ca="1" si="45">SUM(AH31:AH32)</f>
        <v>521.79902419322445</v>
      </c>
      <c r="AI30" s="53">
        <f t="shared" ref="AI30" ca="1" si="46">SUM(AI31:AI32)</f>
        <v>619.32524197791224</v>
      </c>
      <c r="AJ30" s="53">
        <f t="shared" ref="AJ30" ca="1" si="47">SUM(AJ31:AJ32)</f>
        <v>716.48055700178497</v>
      </c>
      <c r="AK30" s="53">
        <f t="shared" ref="AK30" ca="1" si="48">SUM(AK31:AK32)</f>
        <v>812.72224617686788</v>
      </c>
      <c r="AL30" s="53">
        <f t="shared" ref="AL30" ca="1" si="49">SUM(AL31:AL32)</f>
        <v>908.61726414688167</v>
      </c>
      <c r="AM30" s="53">
        <f t="shared" ref="AM30" ca="1" si="50">SUM(AM31:AM32)</f>
        <v>1004.1656123936301</v>
      </c>
      <c r="AN30" s="53">
        <f t="shared" ref="AN30" ca="1" si="51">SUM(AN31:AN32)</f>
        <v>1099.3672918847503</v>
      </c>
      <c r="AO30" s="53">
        <f t="shared" ref="AO30:AP30" ca="1" si="52">SUM(AO31:AO32)</f>
        <v>1194.2223030834107</v>
      </c>
      <c r="AP30" s="53">
        <f t="shared" si="52"/>
        <v>1288.730645976987</v>
      </c>
    </row>
    <row r="31" spans="1:42" x14ac:dyDescent="0.25">
      <c r="A31" s="1" t="s">
        <v>26</v>
      </c>
      <c r="B31" s="52"/>
      <c r="C31" s="41"/>
      <c r="D31" s="41"/>
      <c r="E31" s="28">
        <f>'Données capacités de stockage'!B17</f>
        <v>0</v>
      </c>
      <c r="F31" s="28">
        <f>'Données capacités de stockage'!C17</f>
        <v>11.230368856558853</v>
      </c>
      <c r="G31" s="28">
        <f>'Données capacités de stockage'!D17</f>
        <v>22.390570988923493</v>
      </c>
      <c r="H31" s="28">
        <f>'Données capacités de stockage'!E17</f>
        <v>33.480606397093922</v>
      </c>
      <c r="I31" s="28">
        <f>'Données capacités de stockage'!F17</f>
        <v>44.500475081070128</v>
      </c>
      <c r="J31" s="28">
        <f>'Données capacités de stockage'!G17</f>
        <v>55.450177040852118</v>
      </c>
      <c r="K31" s="28">
        <f>'Données capacités de stockage'!H17</f>
        <v>66.329712276439892</v>
      </c>
      <c r="L31" s="28">
        <f>'Données capacités de stockage'!I17</f>
        <v>77.139080787833436</v>
      </c>
      <c r="M31" s="28">
        <f>'Données capacités de stockage'!J17</f>
        <v>87.878282575032742</v>
      </c>
      <c r="N31" s="28">
        <f>'Données capacités de stockage'!K17</f>
        <v>98.547317638037839</v>
      </c>
      <c r="O31" s="28">
        <f>'Données capacités de stockage'!L17</f>
        <v>109.1461859768487</v>
      </c>
      <c r="P31" s="28">
        <f>'Données capacités de stockage'!M17</f>
        <v>119.67488759146534</v>
      </c>
      <c r="Q31" s="28">
        <f>'Données capacités de stockage'!N17</f>
        <v>136.88646195988798</v>
      </c>
      <c r="R31" s="28">
        <f>'Données capacités de stockage'!O17</f>
        <v>153.98250433626202</v>
      </c>
      <c r="S31" s="28">
        <f>'Données capacités de stockage'!P17</f>
        <v>170.96298981066121</v>
      </c>
      <c r="T31" s="28">
        <f>'Données capacités de stockage'!Q17</f>
        <v>187.82789728806395</v>
      </c>
      <c r="U31" s="28">
        <f>'Données capacités de stockage'!R17</f>
        <v>204.57720996571211</v>
      </c>
      <c r="V31" s="28">
        <f>'Données capacités de stockage'!S17</f>
        <v>221.21091565905971</v>
      </c>
      <c r="W31" s="28">
        <f>'Données capacités de stockage'!T17</f>
        <v>237.790752303121</v>
      </c>
      <c r="X31" s="28">
        <f>'Données capacités de stockage'!U17</f>
        <v>254.31671619264057</v>
      </c>
      <c r="Y31" s="28">
        <f>'Données capacités de stockage'!V17</f>
        <v>270.78880829932109</v>
      </c>
      <c r="Z31" s="28">
        <f>'Données capacités de stockage'!W17</f>
        <v>285.95378251837656</v>
      </c>
      <c r="AA31" s="28">
        <f>'Données capacités de stockage'!X17</f>
        <v>301.10242073477059</v>
      </c>
      <c r="AB31" s="28">
        <f>'Données capacités de stockage'!Y17</f>
        <v>316.23473625546535</v>
      </c>
      <c r="AC31" s="28">
        <f>'Données capacités de stockage'!Z17</f>
        <v>331.3507455584467</v>
      </c>
      <c r="AD31" s="28">
        <f>'Données capacités de stockage'!AA17</f>
        <v>346.45046767912186</v>
      </c>
      <c r="AE31" s="28">
        <f>'Données capacités de stockage'!AB17</f>
        <v>361.53392354176964</v>
      </c>
      <c r="AF31" s="28">
        <f>'Données capacités de stockage'!AC17</f>
        <v>376.60113525827563</v>
      </c>
      <c r="AG31" s="28">
        <f>'Données capacités de stockage'!AD17</f>
        <v>391.65212541656325</v>
      </c>
      <c r="AH31" s="28">
        <f>'Données capacités de stockage'!AE17</f>
        <v>406.68691638062904</v>
      </c>
      <c r="AI31" s="28">
        <f>'Données capacités de stockage'!AF17</f>
        <v>482.28378821048562</v>
      </c>
      <c r="AJ31" s="28">
        <f>'Données capacités de stockage'!AG17</f>
        <v>557.66022909289188</v>
      </c>
      <c r="AK31" s="28">
        <f>'Données capacités de stockage'!AH17</f>
        <v>632.27351593987305</v>
      </c>
      <c r="AL31" s="28">
        <f>'Données capacités de stockage'!AI17</f>
        <v>706.69060339514965</v>
      </c>
      <c r="AM31" s="28">
        <f>'Données capacités de stockage'!AJ17</f>
        <v>780.9114929405257</v>
      </c>
      <c r="AN31" s="28">
        <f>'Données capacités de stockage'!AK17</f>
        <v>854.93618554363832</v>
      </c>
      <c r="AO31" s="28">
        <f>'Données capacités de stockage'!AL17</f>
        <v>928.76468166765562</v>
      </c>
      <c r="AP31" s="28">
        <f>'Données capacités de stockage'!AM17</f>
        <v>1002.3969812999535</v>
      </c>
    </row>
    <row r="32" spans="1:42" x14ac:dyDescent="0.25">
      <c r="A32" s="1" t="s">
        <v>25</v>
      </c>
      <c r="B32" s="52"/>
      <c r="C32" s="41"/>
      <c r="D32" s="41"/>
      <c r="E32" s="28">
        <f>'Données capacités de stockage'!B18</f>
        <v>0</v>
      </c>
      <c r="F32" s="28">
        <f ca="1">'Données capacités de stockage'!C18</f>
        <v>3.2755242498296662</v>
      </c>
      <c r="G32" s="28">
        <f ca="1">'Données capacités de stockage'!D18</f>
        <v>6.5101179105460432</v>
      </c>
      <c r="H32" s="28">
        <f ca="1">'Données capacités de stockage'!E18</f>
        <v>9.7037809821491283</v>
      </c>
      <c r="I32" s="28">
        <f ca="1">'Données capacités de stockage'!F18</f>
        <v>12.856513464638917</v>
      </c>
      <c r="J32" s="28">
        <f ca="1">'Données capacités de stockage'!G18</f>
        <v>15.968315358015413</v>
      </c>
      <c r="K32" s="28">
        <f ca="1">'Données capacités de stockage'!H18</f>
        <v>19.039186662278613</v>
      </c>
      <c r="L32" s="28">
        <f ca="1">'Données capacités de stockage'!I18</f>
        <v>22.069127377428515</v>
      </c>
      <c r="M32" s="28">
        <f ca="1">'Données capacités de stockage'!J18</f>
        <v>25.058137503465119</v>
      </c>
      <c r="N32" s="28">
        <f ca="1">'Données capacités de stockage'!K18</f>
        <v>28.006217040388428</v>
      </c>
      <c r="O32" s="28">
        <f ca="1">'Données capacités de stockage'!L18</f>
        <v>30.913365988198436</v>
      </c>
      <c r="P32" s="28">
        <f ca="1">'Données capacités de stockage'!M18</f>
        <v>33.779584346895149</v>
      </c>
      <c r="Q32" s="28">
        <f ca="1">'Données capacités de stockage'!N18</f>
        <v>38.574222046722966</v>
      </c>
      <c r="R32" s="28">
        <f ca="1">'Données capacités de stockage'!O18</f>
        <v>43.301504264305684</v>
      </c>
      <c r="S32" s="28">
        <f ca="1">'Données capacités de stockage'!P18</f>
        <v>47.961430999643284</v>
      </c>
      <c r="T32" s="28">
        <f ca="1">'Données capacités de stockage'!Q18</f>
        <v>52.554002252735764</v>
      </c>
      <c r="U32" s="28">
        <f ca="1">'Données capacités de stockage'!R18</f>
        <v>57.079218023583131</v>
      </c>
      <c r="V32" s="28">
        <f ca="1">'Données capacités de stockage'!S18</f>
        <v>61.537078312185386</v>
      </c>
      <c r="W32" s="28">
        <f ca="1">'Données capacités de stockage'!T18</f>
        <v>66.174023237926122</v>
      </c>
      <c r="X32" s="28">
        <f ca="1">'Données capacités de stockage'!U18</f>
        <v>70.779630139295961</v>
      </c>
      <c r="Y32" s="28">
        <f ca="1">'Données capacités de stockage'!V18</f>
        <v>75.353899016294932</v>
      </c>
      <c r="Z32" s="28">
        <f ca="1">'Données capacités de stockage'!W18</f>
        <v>79.896829868922993</v>
      </c>
      <c r="AA32" s="28">
        <f ca="1">'Données capacités de stockage'!X18</f>
        <v>84.408422697180171</v>
      </c>
      <c r="AB32" s="28">
        <f ca="1">'Données capacités de stockage'!Y18</f>
        <v>88.888677501066468</v>
      </c>
      <c r="AC32" s="28">
        <f ca="1">'Données capacités de stockage'!Z18</f>
        <v>93.337594280581854</v>
      </c>
      <c r="AD32" s="28">
        <f ca="1">'Données capacités de stockage'!AA18</f>
        <v>97.755173035726372</v>
      </c>
      <c r="AE32" s="28">
        <f ca="1">'Données capacités de stockage'!AB18</f>
        <v>102.14141376649997</v>
      </c>
      <c r="AF32" s="28">
        <f ca="1">'Données capacités de stockage'!AC18</f>
        <v>106.49631647290269</v>
      </c>
      <c r="AG32" s="28">
        <f ca="1">'Données capacités de stockage'!AD18</f>
        <v>110.81988115493451</v>
      </c>
      <c r="AH32" s="28">
        <f ca="1">'Données capacités de stockage'!AE18</f>
        <v>115.11210781259544</v>
      </c>
      <c r="AI32" s="28">
        <f ca="1">'Données capacités de stockage'!AF18</f>
        <v>137.04145376742662</v>
      </c>
      <c r="AJ32" s="28">
        <f ca="1">'Données capacités de stockage'!AG18</f>
        <v>158.82032790889309</v>
      </c>
      <c r="AK32" s="28">
        <f ca="1">'Données capacités de stockage'!AH18</f>
        <v>180.44873023699489</v>
      </c>
      <c r="AL32" s="28">
        <f ca="1">'Données capacités de stockage'!AI18</f>
        <v>201.92666075173199</v>
      </c>
      <c r="AM32" s="28">
        <f ca="1">'Données capacités de stockage'!AJ18</f>
        <v>223.25411945310441</v>
      </c>
      <c r="AN32" s="28">
        <f ca="1">'Données capacités de stockage'!AK18</f>
        <v>244.43110634111204</v>
      </c>
      <c r="AO32" s="28">
        <f ca="1">'Données capacités de stockage'!AL18</f>
        <v>265.45762141575506</v>
      </c>
      <c r="AP32" s="28">
        <f>'Données capacités de stockage'!AM18</f>
        <v>286.33366467703343</v>
      </c>
    </row>
    <row r="33" spans="1:42" ht="6" customHeight="1" x14ac:dyDescent="0.25">
      <c r="A33" s="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41"/>
    </row>
    <row r="34" spans="1:42" x14ac:dyDescent="0.25">
      <c r="A34" s="16" t="s">
        <v>3</v>
      </c>
      <c r="B34" s="53"/>
      <c r="C34" s="53"/>
      <c r="D34" s="53"/>
      <c r="E34" s="53">
        <f t="shared" ref="E34:AP34" si="53">SUM(E35:E37)</f>
        <v>0</v>
      </c>
      <c r="F34" s="53">
        <f t="shared" ca="1" si="53"/>
        <v>0</v>
      </c>
      <c r="G34" s="53">
        <f t="shared" ca="1" si="53"/>
        <v>0</v>
      </c>
      <c r="H34" s="53">
        <f t="shared" ca="1" si="53"/>
        <v>0</v>
      </c>
      <c r="I34" s="53">
        <f t="shared" ca="1" si="53"/>
        <v>0</v>
      </c>
      <c r="J34" s="53">
        <f t="shared" ca="1" si="53"/>
        <v>0</v>
      </c>
      <c r="K34" s="53">
        <f t="shared" ca="1" si="53"/>
        <v>0</v>
      </c>
      <c r="L34" s="53">
        <f t="shared" ca="1" si="53"/>
        <v>0</v>
      </c>
      <c r="M34" s="53">
        <f t="shared" ca="1" si="53"/>
        <v>0</v>
      </c>
      <c r="N34" s="53">
        <f t="shared" ca="1" si="53"/>
        <v>0</v>
      </c>
      <c r="O34" s="53">
        <f t="shared" ca="1" si="53"/>
        <v>0</v>
      </c>
      <c r="P34" s="53">
        <f t="shared" ca="1" si="53"/>
        <v>0</v>
      </c>
      <c r="Q34" s="53">
        <f t="shared" ca="1" si="53"/>
        <v>0</v>
      </c>
      <c r="R34" s="53">
        <f t="shared" ca="1" si="53"/>
        <v>0</v>
      </c>
      <c r="S34" s="53">
        <f t="shared" ca="1" si="53"/>
        <v>0</v>
      </c>
      <c r="T34" s="53">
        <f t="shared" ca="1" si="53"/>
        <v>0</v>
      </c>
      <c r="U34" s="53">
        <f t="shared" ca="1" si="53"/>
        <v>0</v>
      </c>
      <c r="V34" s="53">
        <f t="shared" si="53"/>
        <v>0</v>
      </c>
      <c r="W34" s="53">
        <f t="shared" ca="1" si="53"/>
        <v>0</v>
      </c>
      <c r="X34" s="53">
        <f t="shared" ca="1" si="53"/>
        <v>0</v>
      </c>
      <c r="Y34" s="53">
        <f t="shared" ca="1" si="53"/>
        <v>0</v>
      </c>
      <c r="Z34" s="53">
        <f t="shared" ca="1" si="53"/>
        <v>0</v>
      </c>
      <c r="AA34" s="53">
        <f t="shared" ca="1" si="53"/>
        <v>0</v>
      </c>
      <c r="AB34" s="53">
        <f t="shared" ca="1" si="53"/>
        <v>0</v>
      </c>
      <c r="AC34" s="53">
        <f t="shared" ca="1" si="53"/>
        <v>0</v>
      </c>
      <c r="AD34" s="53">
        <f t="shared" ca="1" si="53"/>
        <v>0</v>
      </c>
      <c r="AE34" s="53">
        <f t="shared" ca="1" si="53"/>
        <v>0</v>
      </c>
      <c r="AF34" s="53">
        <f t="shared" ca="1" si="53"/>
        <v>0</v>
      </c>
      <c r="AG34" s="53">
        <f t="shared" ca="1" si="53"/>
        <v>0</v>
      </c>
      <c r="AH34" s="53">
        <f t="shared" ca="1" si="53"/>
        <v>322.37188858599819</v>
      </c>
      <c r="AI34" s="53">
        <f t="shared" ca="1" si="53"/>
        <v>644.7437771719965</v>
      </c>
      <c r="AJ34" s="53">
        <f t="shared" ca="1" si="53"/>
        <v>967.11566575799509</v>
      </c>
      <c r="AK34" s="53">
        <f t="shared" ca="1" si="53"/>
        <v>1289.4875543439941</v>
      </c>
      <c r="AL34" s="53">
        <f t="shared" ca="1" si="53"/>
        <v>1611.8594429299935</v>
      </c>
      <c r="AM34" s="53">
        <f t="shared" ca="1" si="53"/>
        <v>1934.231331515994</v>
      </c>
      <c r="AN34" s="53">
        <f t="shared" ca="1" si="53"/>
        <v>2256.6032201019948</v>
      </c>
      <c r="AO34" s="53">
        <f t="shared" ca="1" si="53"/>
        <v>2578.9751086879969</v>
      </c>
      <c r="AP34" s="53">
        <f t="shared" ca="1" si="53"/>
        <v>2901.3469972740004</v>
      </c>
    </row>
    <row r="35" spans="1:42" x14ac:dyDescent="0.25">
      <c r="A35" s="1" t="s">
        <v>26</v>
      </c>
      <c r="B35" s="52"/>
      <c r="C35" s="115"/>
      <c r="D35" s="115"/>
      <c r="E35" s="34">
        <f>'Données capacités de stockage'!B29+'Données capacités de stockage'!B65</f>
        <v>0</v>
      </c>
      <c r="F35" s="34">
        <f ca="1">'Données capacités de stockage'!C29+'Données capacités de stockage'!C65</f>
        <v>0</v>
      </c>
      <c r="G35" s="34">
        <f ca="1">'Données capacités de stockage'!D29+'Données capacités de stockage'!D65</f>
        <v>0</v>
      </c>
      <c r="H35" s="34">
        <f ca="1">'Données capacités de stockage'!E29+'Données capacités de stockage'!E65</f>
        <v>0</v>
      </c>
      <c r="I35" s="34">
        <f ca="1">'Données capacités de stockage'!F29+'Données capacités de stockage'!F65</f>
        <v>0</v>
      </c>
      <c r="J35" s="34">
        <f ca="1">'Données capacités de stockage'!G29+'Données capacités de stockage'!G65</f>
        <v>0</v>
      </c>
      <c r="K35" s="34">
        <f ca="1">'Données capacités de stockage'!H29+'Données capacités de stockage'!H65</f>
        <v>0</v>
      </c>
      <c r="L35" s="34">
        <f ca="1">'Données capacités de stockage'!I29+'Données capacités de stockage'!I65</f>
        <v>0</v>
      </c>
      <c r="M35" s="34">
        <f ca="1">'Données capacités de stockage'!J29+'Données capacités de stockage'!J65</f>
        <v>0</v>
      </c>
      <c r="N35" s="34">
        <f ca="1">'Données capacités de stockage'!K29+'Données capacités de stockage'!K65</f>
        <v>0</v>
      </c>
      <c r="O35" s="34">
        <f ca="1">'Données capacités de stockage'!L29+'Données capacités de stockage'!L65</f>
        <v>0</v>
      </c>
      <c r="P35" s="34">
        <f ca="1">'Données capacités de stockage'!M29+'Données capacités de stockage'!M65</f>
        <v>0</v>
      </c>
      <c r="Q35" s="34">
        <f ca="1">'Données capacités de stockage'!N29+'Données capacités de stockage'!N65</f>
        <v>0</v>
      </c>
      <c r="R35" s="34">
        <f ca="1">'Données capacités de stockage'!O29+'Données capacités de stockage'!O65</f>
        <v>0</v>
      </c>
      <c r="S35" s="34">
        <f ca="1">'Données capacités de stockage'!P29+'Données capacités de stockage'!P65</f>
        <v>0</v>
      </c>
      <c r="T35" s="34">
        <f ca="1">'Données capacités de stockage'!Q29+'Données capacités de stockage'!Q65</f>
        <v>0</v>
      </c>
      <c r="U35" s="34">
        <f ca="1">'Données capacités de stockage'!R29+'Données capacités de stockage'!R65</f>
        <v>0</v>
      </c>
      <c r="V35" s="34">
        <f>'Données capacités de stockage'!S29+'Données capacités de stockage'!S65</f>
        <v>0</v>
      </c>
      <c r="W35" s="34">
        <f ca="1">'Données capacités de stockage'!T29+'Données capacités de stockage'!T65</f>
        <v>0</v>
      </c>
      <c r="X35" s="34">
        <f ca="1">'Données capacités de stockage'!U29+'Données capacités de stockage'!U65</f>
        <v>0</v>
      </c>
      <c r="Y35" s="34">
        <f ca="1">'Données capacités de stockage'!V29+'Données capacités de stockage'!V65</f>
        <v>0</v>
      </c>
      <c r="Z35" s="34">
        <f ca="1">'Données capacités de stockage'!W29+'Données capacités de stockage'!W65</f>
        <v>0</v>
      </c>
      <c r="AA35" s="34">
        <f ca="1">'Données capacités de stockage'!X29+'Données capacités de stockage'!X65</f>
        <v>0</v>
      </c>
      <c r="AB35" s="34">
        <f ca="1">'Données capacités de stockage'!Y29+'Données capacités de stockage'!Y65</f>
        <v>0</v>
      </c>
      <c r="AC35" s="34">
        <f ca="1">'Données capacités de stockage'!Z29+'Données capacités de stockage'!Z65</f>
        <v>0</v>
      </c>
      <c r="AD35" s="34">
        <f ca="1">'Données capacités de stockage'!AA29+'Données capacités de stockage'!AA65</f>
        <v>0</v>
      </c>
      <c r="AE35" s="34">
        <f ca="1">'Données capacités de stockage'!AB29+'Données capacités de stockage'!AB65</f>
        <v>0</v>
      </c>
      <c r="AF35" s="34">
        <f ca="1">'Données capacités de stockage'!AC29+'Données capacités de stockage'!AC65</f>
        <v>0</v>
      </c>
      <c r="AG35" s="34">
        <f ca="1">'Données capacités de stockage'!AD29+'Données capacités de stockage'!AD65</f>
        <v>0</v>
      </c>
      <c r="AH35" s="34">
        <f ca="1">'Données capacités de stockage'!AE29+'Données capacités de stockage'!AE65</f>
        <v>86.019085199973077</v>
      </c>
      <c r="AI35" s="34">
        <f ca="1">'Données capacités de stockage'!AF29+'Données capacités de stockage'!AF65</f>
        <v>171.81924632776781</v>
      </c>
      <c r="AJ35" s="34">
        <f ca="1">'Données capacités de stockage'!AG29+'Données capacités de stockage'!AG65</f>
        <v>257.40048338338443</v>
      </c>
      <c r="AK35" s="34">
        <f ca="1">'Données capacités de stockage'!AH29+'Données capacités de stockage'!AH65</f>
        <v>342.76279636682261</v>
      </c>
      <c r="AL35" s="34">
        <f ca="1">'Données capacités de stockage'!AI29+'Données capacités de stockage'!AI65</f>
        <v>427.9061852780826</v>
      </c>
      <c r="AM35" s="34">
        <f ca="1">'Données capacités de stockage'!AJ29+'Données capacités de stockage'!AJ65</f>
        <v>512.83065011716496</v>
      </c>
      <c r="AN35" s="34">
        <f ca="1">'Données capacités de stockage'!AK29+'Données capacités de stockage'!AK65</f>
        <v>597.53619088406924</v>
      </c>
      <c r="AO35" s="34">
        <f ca="1">'Données capacités de stockage'!AL29+'Données capacités de stockage'!AL65</f>
        <v>682.02280757879566</v>
      </c>
      <c r="AP35" s="34">
        <f ca="1">'Données capacités de stockage'!AM29+'Données capacités de stockage'!AM65</f>
        <v>766.29050020134457</v>
      </c>
    </row>
    <row r="36" spans="1:42" x14ac:dyDescent="0.25">
      <c r="A36" s="1" t="s">
        <v>200</v>
      </c>
      <c r="B36" s="52"/>
      <c r="C36" s="115"/>
      <c r="D36" s="115"/>
      <c r="E36" s="34">
        <f>'Données capacités de stockage'!B66-'Coûts annuels réseaux et stocka'!E35</f>
        <v>0</v>
      </c>
      <c r="F36" s="34">
        <f ca="1">'Données capacités de stockage'!C66-'Coûts annuels réseaux et stocka'!F35</f>
        <v>0</v>
      </c>
      <c r="G36" s="34">
        <f ca="1">'Données capacités de stockage'!D66-'Coûts annuels réseaux et stocka'!G35</f>
        <v>0</v>
      </c>
      <c r="H36" s="34">
        <f ca="1">'Données capacités de stockage'!E66-'Coûts annuels réseaux et stocka'!H35</f>
        <v>0</v>
      </c>
      <c r="I36" s="34">
        <f ca="1">'Données capacités de stockage'!F66-'Coûts annuels réseaux et stocka'!I35</f>
        <v>0</v>
      </c>
      <c r="J36" s="34">
        <f ca="1">'Données capacités de stockage'!G66-'Coûts annuels réseaux et stocka'!J35</f>
        <v>0</v>
      </c>
      <c r="K36" s="34">
        <f ca="1">'Données capacités de stockage'!H66-'Coûts annuels réseaux et stocka'!K35</f>
        <v>0</v>
      </c>
      <c r="L36" s="34">
        <f ca="1">'Données capacités de stockage'!I66-'Coûts annuels réseaux et stocka'!L35</f>
        <v>0</v>
      </c>
      <c r="M36" s="34">
        <f ca="1">'Données capacités de stockage'!J66-'Coûts annuels réseaux et stocka'!M35</f>
        <v>0</v>
      </c>
      <c r="N36" s="34">
        <f ca="1">'Données capacités de stockage'!K66-'Coûts annuels réseaux et stocka'!N35</f>
        <v>0</v>
      </c>
      <c r="O36" s="34">
        <f ca="1">'Données capacités de stockage'!L66-'Coûts annuels réseaux et stocka'!O35</f>
        <v>0</v>
      </c>
      <c r="P36" s="34">
        <f ca="1">'Données capacités de stockage'!M66-'Coûts annuels réseaux et stocka'!P35</f>
        <v>0</v>
      </c>
      <c r="Q36" s="34">
        <f ca="1">'Données capacités de stockage'!N66-'Coûts annuels réseaux et stocka'!Q35</f>
        <v>0</v>
      </c>
      <c r="R36" s="34">
        <f ca="1">'Données capacités de stockage'!O66-'Coûts annuels réseaux et stocka'!R35</f>
        <v>0</v>
      </c>
      <c r="S36" s="34">
        <f ca="1">'Données capacités de stockage'!P66-'Coûts annuels réseaux et stocka'!S35</f>
        <v>0</v>
      </c>
      <c r="T36" s="34">
        <f ca="1">'Données capacités de stockage'!Q66-'Coûts annuels réseaux et stocka'!T35</f>
        <v>0</v>
      </c>
      <c r="U36" s="34">
        <f ca="1">'Données capacités de stockage'!R66-'Coûts annuels réseaux et stocka'!U35</f>
        <v>0</v>
      </c>
      <c r="V36" s="34">
        <f>'Données capacités de stockage'!S66-'Coûts annuels réseaux et stocka'!V35</f>
        <v>0</v>
      </c>
      <c r="W36" s="34">
        <f ca="1">'Données capacités de stockage'!T66-'Coûts annuels réseaux et stocka'!W35</f>
        <v>0</v>
      </c>
      <c r="X36" s="34">
        <f ca="1">'Données capacités de stockage'!U66-'Coûts annuels réseaux et stocka'!X35</f>
        <v>0</v>
      </c>
      <c r="Y36" s="34">
        <f ca="1">'Données capacités de stockage'!V66-'Coûts annuels réseaux et stocka'!Y35</f>
        <v>0</v>
      </c>
      <c r="Z36" s="34">
        <f ca="1">'Données capacités de stockage'!W66-'Coûts annuels réseaux et stocka'!Z35</f>
        <v>0</v>
      </c>
      <c r="AA36" s="34">
        <f ca="1">'Données capacités de stockage'!X66-'Coûts annuels réseaux et stocka'!AA35</f>
        <v>0</v>
      </c>
      <c r="AB36" s="34">
        <f ca="1">'Données capacités de stockage'!Y66-'Coûts annuels réseaux et stocka'!AB35</f>
        <v>0</v>
      </c>
      <c r="AC36" s="34">
        <f ca="1">'Données capacités de stockage'!Z66-'Coûts annuels réseaux et stocka'!AC35</f>
        <v>0</v>
      </c>
      <c r="AD36" s="34">
        <f ca="1">'Données capacités de stockage'!AA66-'Coûts annuels réseaux et stocka'!AD35</f>
        <v>0</v>
      </c>
      <c r="AE36" s="34">
        <f ca="1">'Données capacités de stockage'!AB66-'Coûts annuels réseaux et stocka'!AE35</f>
        <v>0</v>
      </c>
      <c r="AF36" s="34">
        <f ca="1">'Données capacités de stockage'!AC66-'Coûts annuels réseaux et stocka'!AF35</f>
        <v>0</v>
      </c>
      <c r="AG36" s="34">
        <f ca="1">'Données capacités de stockage'!AD66-'Coûts annuels réseaux et stocka'!AG35</f>
        <v>0</v>
      </c>
      <c r="AH36" s="34">
        <f ca="1">'Données capacités de stockage'!AE66-'Coûts annuels réseaux et stocka'!AH35</f>
        <v>236.35280338602513</v>
      </c>
      <c r="AI36" s="34">
        <f ca="1">'Données capacités de stockage'!AF66-'Coûts annuels réseaux et stocka'!AI35</f>
        <v>472.92453084422868</v>
      </c>
      <c r="AJ36" s="34">
        <f ca="1">'Données capacités de stockage'!AG66-'Coûts annuels réseaux et stocka'!AJ35</f>
        <v>709.71518237461066</v>
      </c>
      <c r="AK36" s="34">
        <f ca="1">'Données capacités de stockage'!AH66-'Coûts annuels réseaux et stocka'!AK35</f>
        <v>946.72475797717152</v>
      </c>
      <c r="AL36" s="34">
        <f ca="1">'Données capacités de stockage'!AI66-'Coûts annuels réseaux et stocka'!AL35</f>
        <v>1183.9532576519109</v>
      </c>
      <c r="AM36" s="34">
        <f ca="1">'Données capacités de stockage'!AJ66-'Coûts annuels réseaux et stocka'!AM35</f>
        <v>1421.400681398829</v>
      </c>
      <c r="AN36" s="34">
        <f ca="1">'Données capacités de stockage'!AK66-'Coûts annuels réseaux et stocka'!AN35</f>
        <v>1659.0670292179257</v>
      </c>
      <c r="AO36" s="34">
        <f ca="1">'Données capacités de stockage'!AL66-'Coûts annuels réseaux et stocka'!AO35</f>
        <v>1896.9523011092012</v>
      </c>
      <c r="AP36" s="34">
        <f ca="1">'Données capacités de stockage'!AM66-'Coûts annuels réseaux et stocka'!AP35</f>
        <v>2135.0564970726559</v>
      </c>
    </row>
    <row r="37" spans="1:42" x14ac:dyDescent="0.25">
      <c r="A37" s="1" t="s">
        <v>201</v>
      </c>
      <c r="B37" s="52"/>
      <c r="C37" s="115"/>
      <c r="D37" s="11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 ht="7.5" customHeight="1" x14ac:dyDescent="0.25">
      <c r="A38" s="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41"/>
    </row>
    <row r="39" spans="1:42" x14ac:dyDescent="0.25">
      <c r="A39" s="16" t="s">
        <v>2</v>
      </c>
      <c r="B39" s="54"/>
      <c r="C39" s="54"/>
      <c r="D39" s="54"/>
      <c r="E39" s="56">
        <f t="shared" ref="E39:AO39" ca="1" si="54">E40+E41</f>
        <v>353.82857142857142</v>
      </c>
      <c r="F39" s="56">
        <f t="shared" ca="1" si="54"/>
        <v>368.64000000000027</v>
      </c>
      <c r="G39" s="56">
        <f t="shared" ca="1" si="54"/>
        <v>383.45142857142912</v>
      </c>
      <c r="H39" s="56">
        <f t="shared" ca="1" si="54"/>
        <v>398.26285714285802</v>
      </c>
      <c r="I39" s="56">
        <f t="shared" ca="1" si="54"/>
        <v>413.0742857142867</v>
      </c>
      <c r="J39" s="56">
        <f t="shared" ca="1" si="54"/>
        <v>427.88571428571544</v>
      </c>
      <c r="K39" s="56">
        <f t="shared" ca="1" si="54"/>
        <v>442.69714285714417</v>
      </c>
      <c r="L39" s="56">
        <f t="shared" ca="1" si="54"/>
        <v>457.50857142857274</v>
      </c>
      <c r="M39" s="56">
        <f t="shared" ca="1" si="54"/>
        <v>472.3200000000013</v>
      </c>
      <c r="N39" s="56">
        <f t="shared" ca="1" si="54"/>
        <v>487.13142857142981</v>
      </c>
      <c r="O39" s="56">
        <f t="shared" ca="1" si="54"/>
        <v>501.94285714285832</v>
      </c>
      <c r="P39" s="56">
        <f t="shared" ca="1" si="54"/>
        <v>516.75428571428677</v>
      </c>
      <c r="Q39" s="56">
        <f t="shared" ca="1" si="54"/>
        <v>531.5657142857151</v>
      </c>
      <c r="R39" s="56">
        <f t="shared" ca="1" si="54"/>
        <v>546.37714285714344</v>
      </c>
      <c r="S39" s="56">
        <f t="shared" ca="1" si="54"/>
        <v>561.18857142857166</v>
      </c>
      <c r="T39" s="56">
        <f t="shared" si="54"/>
        <v>576</v>
      </c>
      <c r="U39" s="56">
        <f t="shared" si="54"/>
        <v>576</v>
      </c>
      <c r="V39" s="56">
        <f t="shared" si="54"/>
        <v>576</v>
      </c>
      <c r="W39" s="56">
        <f t="shared" si="54"/>
        <v>576</v>
      </c>
      <c r="X39" s="56">
        <f t="shared" si="54"/>
        <v>576</v>
      </c>
      <c r="Y39" s="56">
        <f t="shared" si="54"/>
        <v>576</v>
      </c>
      <c r="Z39" s="56">
        <f t="shared" si="54"/>
        <v>576</v>
      </c>
      <c r="AA39" s="56">
        <f t="shared" si="54"/>
        <v>576</v>
      </c>
      <c r="AB39" s="56">
        <f t="shared" si="54"/>
        <v>576</v>
      </c>
      <c r="AC39" s="56">
        <f t="shared" si="54"/>
        <v>576</v>
      </c>
      <c r="AD39" s="56">
        <f t="shared" si="54"/>
        <v>576</v>
      </c>
      <c r="AE39" s="56">
        <f t="shared" si="54"/>
        <v>576</v>
      </c>
      <c r="AF39" s="56">
        <f t="shared" si="54"/>
        <v>576</v>
      </c>
      <c r="AG39" s="56">
        <f t="shared" si="54"/>
        <v>576</v>
      </c>
      <c r="AH39" s="56">
        <f t="shared" si="54"/>
        <v>576</v>
      </c>
      <c r="AI39" s="56">
        <f t="shared" si="54"/>
        <v>576</v>
      </c>
      <c r="AJ39" s="56">
        <f t="shared" si="54"/>
        <v>576</v>
      </c>
      <c r="AK39" s="56">
        <f t="shared" si="54"/>
        <v>576</v>
      </c>
      <c r="AL39" s="56">
        <f t="shared" si="54"/>
        <v>576</v>
      </c>
      <c r="AM39" s="56">
        <f t="shared" si="54"/>
        <v>576</v>
      </c>
      <c r="AN39" s="56">
        <f t="shared" si="54"/>
        <v>576</v>
      </c>
      <c r="AO39" s="56">
        <f t="shared" si="54"/>
        <v>576</v>
      </c>
      <c r="AP39" s="56">
        <f>AP40+AP41</f>
        <v>576</v>
      </c>
    </row>
    <row r="40" spans="1:42" x14ac:dyDescent="0.25">
      <c r="A40" s="1" t="s">
        <v>26</v>
      </c>
      <c r="B40" s="52"/>
      <c r="C40" s="52"/>
      <c r="D40" s="52"/>
      <c r="E40" s="28">
        <f ca="1">'Données capacités de stockage'!B51</f>
        <v>290.18857142857144</v>
      </c>
      <c r="F40" s="28">
        <f ca="1">'Données capacités de stockage'!C51</f>
        <v>302.33600000000024</v>
      </c>
      <c r="G40" s="28">
        <f ca="1">'Données capacités de stockage'!D51</f>
        <v>314.48342857142904</v>
      </c>
      <c r="H40" s="28">
        <f ca="1">'Données capacités de stockage'!E51</f>
        <v>326.63085714285785</v>
      </c>
      <c r="I40" s="28">
        <f ca="1">'Données capacités de stockage'!F51</f>
        <v>338.77828571428654</v>
      </c>
      <c r="J40" s="28">
        <f ca="1">'Données capacités de stockage'!G51</f>
        <v>350.92571428571523</v>
      </c>
      <c r="K40" s="28">
        <f ca="1">'Données capacités de stockage'!H51</f>
        <v>363.07314285714392</v>
      </c>
      <c r="L40" s="28">
        <f ca="1">'Données capacités de stockage'!I51</f>
        <v>375.2205714285725</v>
      </c>
      <c r="M40" s="28">
        <f ca="1">'Données capacités de stockage'!J51</f>
        <v>387.36800000000108</v>
      </c>
      <c r="N40" s="28">
        <f ca="1">'Données capacités de stockage'!K51</f>
        <v>399.5154285714296</v>
      </c>
      <c r="O40" s="28">
        <f ca="1">'Données capacités de stockage'!L51</f>
        <v>411.66285714285812</v>
      </c>
      <c r="P40" s="28">
        <f ca="1">'Données capacités de stockage'!M51</f>
        <v>423.81028571428658</v>
      </c>
      <c r="Q40" s="28">
        <f ca="1">'Données capacités de stockage'!N51</f>
        <v>435.95771428571493</v>
      </c>
      <c r="R40" s="28">
        <f ca="1">'Données capacités de stockage'!O51</f>
        <v>448.10514285714333</v>
      </c>
      <c r="S40" s="28">
        <f ca="1">'Données capacités de stockage'!P51</f>
        <v>460.25257142857163</v>
      </c>
      <c r="T40" s="28">
        <f>'Données capacités de stockage'!Q51</f>
        <v>472.4</v>
      </c>
      <c r="U40" s="28">
        <f>'Données capacités de stockage'!R51</f>
        <v>472.4</v>
      </c>
      <c r="V40" s="28">
        <f>'Données capacités de stockage'!S51</f>
        <v>472.4</v>
      </c>
      <c r="W40" s="28">
        <f>'Données capacités de stockage'!T51</f>
        <v>472.4</v>
      </c>
      <c r="X40" s="28">
        <f>'Données capacités de stockage'!U51</f>
        <v>472.4</v>
      </c>
      <c r="Y40" s="28">
        <f>'Données capacités de stockage'!V51</f>
        <v>472.4</v>
      </c>
      <c r="Z40" s="28">
        <f>'Données capacités de stockage'!W51</f>
        <v>472.4</v>
      </c>
      <c r="AA40" s="28">
        <f>'Données capacités de stockage'!X51</f>
        <v>472.4</v>
      </c>
      <c r="AB40" s="28">
        <f>'Données capacités de stockage'!Y51</f>
        <v>472.4</v>
      </c>
      <c r="AC40" s="28">
        <f>'Données capacités de stockage'!Z51</f>
        <v>472.4</v>
      </c>
      <c r="AD40" s="28">
        <f>'Données capacités de stockage'!AA51</f>
        <v>472.4</v>
      </c>
      <c r="AE40" s="28">
        <f>'Données capacités de stockage'!AB51</f>
        <v>472.4</v>
      </c>
      <c r="AF40" s="28">
        <f>'Données capacités de stockage'!AC51</f>
        <v>472.4</v>
      </c>
      <c r="AG40" s="28">
        <f>'Données capacités de stockage'!AD51</f>
        <v>472.4</v>
      </c>
      <c r="AH40" s="28">
        <f>'Données capacités de stockage'!AE51</f>
        <v>472.4</v>
      </c>
      <c r="AI40" s="28">
        <f>'Données capacités de stockage'!AF51</f>
        <v>472.4</v>
      </c>
      <c r="AJ40" s="28">
        <f>'Données capacités de stockage'!AG51</f>
        <v>472.4</v>
      </c>
      <c r="AK40" s="28">
        <f>'Données capacités de stockage'!AH51</f>
        <v>472.4</v>
      </c>
      <c r="AL40" s="28">
        <f>'Données capacités de stockage'!AI51</f>
        <v>472.4</v>
      </c>
      <c r="AM40" s="28">
        <f>'Données capacités de stockage'!AJ51</f>
        <v>472.4</v>
      </c>
      <c r="AN40" s="28">
        <f>'Données capacités de stockage'!AK51</f>
        <v>472.4</v>
      </c>
      <c r="AO40" s="28">
        <f>'Données capacités de stockage'!AL51</f>
        <v>472.4</v>
      </c>
      <c r="AP40" s="28">
        <f>'Données capacités de stockage'!AM51</f>
        <v>472.4</v>
      </c>
    </row>
    <row r="41" spans="1:42" x14ac:dyDescent="0.25">
      <c r="A41" s="1" t="s">
        <v>25</v>
      </c>
      <c r="B41" s="52"/>
      <c r="C41" s="52"/>
      <c r="D41" s="52"/>
      <c r="E41" s="28">
        <f ca="1">'Données capacités de stockage'!B50</f>
        <v>63.64</v>
      </c>
      <c r="F41" s="28">
        <f ca="1">'Données capacités de stockage'!C50</f>
        <v>66.304000000000045</v>
      </c>
      <c r="G41" s="28">
        <f ca="1">'Données capacités de stockage'!D50</f>
        <v>68.968000000000103</v>
      </c>
      <c r="H41" s="28">
        <f ca="1">'Données capacités de stockage'!E50</f>
        <v>71.632000000000147</v>
      </c>
      <c r="I41" s="28">
        <f ca="1">'Données capacités de stockage'!F50</f>
        <v>74.296000000000191</v>
      </c>
      <c r="J41" s="28">
        <f ca="1">'Données capacités de stockage'!G50</f>
        <v>76.960000000000207</v>
      </c>
      <c r="K41" s="28">
        <f ca="1">'Données capacités de stockage'!H50</f>
        <v>79.624000000000223</v>
      </c>
      <c r="L41" s="28">
        <f ca="1">'Données capacités de stockage'!I50</f>
        <v>82.288000000000238</v>
      </c>
      <c r="M41" s="28">
        <f ca="1">'Données capacités de stockage'!J50</f>
        <v>84.95200000000024</v>
      </c>
      <c r="N41" s="28">
        <f ca="1">'Données capacités de stockage'!K50</f>
        <v>87.616000000000227</v>
      </c>
      <c r="O41" s="28">
        <f ca="1">'Données capacités de stockage'!L50</f>
        <v>90.280000000000214</v>
      </c>
      <c r="P41" s="28">
        <f ca="1">'Données capacités de stockage'!M50</f>
        <v>92.944000000000187</v>
      </c>
      <c r="Q41" s="28">
        <f ca="1">'Données capacités de stockage'!N50</f>
        <v>95.608000000000146</v>
      </c>
      <c r="R41" s="28">
        <f ca="1">'Données capacités de stockage'!O50</f>
        <v>98.272000000000105</v>
      </c>
      <c r="S41" s="28">
        <f ca="1">'Données capacités de stockage'!P50</f>
        <v>100.93600000000004</v>
      </c>
      <c r="T41" s="28">
        <f>'Données capacités de stockage'!Q50</f>
        <v>103.6</v>
      </c>
      <c r="U41" s="28">
        <f>'Données capacités de stockage'!R50</f>
        <v>103.6</v>
      </c>
      <c r="V41" s="28">
        <f>'Données capacités de stockage'!S50</f>
        <v>103.6</v>
      </c>
      <c r="W41" s="28">
        <f>'Données capacités de stockage'!T50</f>
        <v>103.6</v>
      </c>
      <c r="X41" s="28">
        <f>'Données capacités de stockage'!U50</f>
        <v>103.6</v>
      </c>
      <c r="Y41" s="28">
        <f>'Données capacités de stockage'!V50</f>
        <v>103.6</v>
      </c>
      <c r="Z41" s="28">
        <f>'Données capacités de stockage'!W50</f>
        <v>103.6</v>
      </c>
      <c r="AA41" s="28">
        <f>'Données capacités de stockage'!X50</f>
        <v>103.6</v>
      </c>
      <c r="AB41" s="28">
        <f>'Données capacités de stockage'!Y50</f>
        <v>103.6</v>
      </c>
      <c r="AC41" s="28">
        <f>'Données capacités de stockage'!Z50</f>
        <v>103.6</v>
      </c>
      <c r="AD41" s="28">
        <f>'Données capacités de stockage'!AA50</f>
        <v>103.6</v>
      </c>
      <c r="AE41" s="28">
        <f>'Données capacités de stockage'!AB50</f>
        <v>103.6</v>
      </c>
      <c r="AF41" s="28">
        <f>'Données capacités de stockage'!AC50</f>
        <v>103.6</v>
      </c>
      <c r="AG41" s="28">
        <f>'Données capacités de stockage'!AD50</f>
        <v>103.6</v>
      </c>
      <c r="AH41" s="28">
        <f>'Données capacités de stockage'!AE50</f>
        <v>103.6</v>
      </c>
      <c r="AI41" s="28">
        <f>'Données capacités de stockage'!AF50</f>
        <v>103.6</v>
      </c>
      <c r="AJ41" s="28">
        <f>'Données capacités de stockage'!AG50</f>
        <v>103.6</v>
      </c>
      <c r="AK41" s="28">
        <f>'Données capacités de stockage'!AH50</f>
        <v>103.6</v>
      </c>
      <c r="AL41" s="28">
        <f>'Données capacités de stockage'!AI50</f>
        <v>103.6</v>
      </c>
      <c r="AM41" s="28">
        <f>'Données capacités de stockage'!AJ50</f>
        <v>103.6</v>
      </c>
      <c r="AN41" s="28">
        <f>'Données capacités de stockage'!AK50</f>
        <v>103.6</v>
      </c>
      <c r="AO41" s="28">
        <f>'Données capacités de stockage'!AL50</f>
        <v>103.6</v>
      </c>
      <c r="AP41" s="28">
        <f>'Données capacités de stockage'!AM50</f>
        <v>103.6</v>
      </c>
    </row>
    <row r="42" spans="1:42" x14ac:dyDescent="0.25">
      <c r="A42" s="1"/>
      <c r="B42" s="52"/>
      <c r="C42" s="52"/>
      <c r="D42" s="5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</row>
    <row r="43" spans="1:42" x14ac:dyDescent="0.25">
      <c r="A43" s="1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r="44" spans="1:42" x14ac:dyDescent="0.25">
      <c r="A44" s="1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r="46" spans="1:42" x14ac:dyDescent="0.25">
      <c r="A46" s="15"/>
      <c r="B46" s="2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112"/>
  <sheetViews>
    <sheetView workbookViewId="0">
      <selection activeCell="AM20" sqref="AM20"/>
    </sheetView>
  </sheetViews>
  <sheetFormatPr baseColWidth="10" defaultRowHeight="15" outlineLevelRow="1" x14ac:dyDescent="0.25"/>
  <cols>
    <col min="1" max="1" width="30.140625" bestFit="1" customWidth="1"/>
    <col min="2" max="2" width="12.28515625" bestFit="1" customWidth="1"/>
    <col min="3" max="13" width="11.28515625" bestFit="1" customWidth="1"/>
    <col min="14" max="18" width="10.28515625" bestFit="1" customWidth="1"/>
    <col min="19" max="19" width="11.28515625" bestFit="1" customWidth="1"/>
    <col min="20" max="38" width="10.28515625" bestFit="1" customWidth="1"/>
    <col min="39" max="39" width="13.7109375" bestFit="1" customWidth="1"/>
  </cols>
  <sheetData>
    <row r="1" spans="1:39" ht="34.5" customHeight="1" x14ac:dyDescent="0.25">
      <c r="A1" s="62" t="s">
        <v>121</v>
      </c>
      <c r="B1" t="s">
        <v>30</v>
      </c>
      <c r="C1">
        <v>20</v>
      </c>
    </row>
    <row r="2" spans="1:39" outlineLevel="1" x14ac:dyDescent="0.25"/>
    <row r="3" spans="1:39" outlineLevel="1" x14ac:dyDescent="0.25">
      <c r="A3" s="3" t="s">
        <v>174</v>
      </c>
      <c r="B3" s="47">
        <v>2013</v>
      </c>
      <c r="C3" s="47">
        <v>2014</v>
      </c>
      <c r="D3" s="47">
        <v>2015</v>
      </c>
      <c r="E3" s="47">
        <v>2016</v>
      </c>
      <c r="F3" s="47">
        <v>2017</v>
      </c>
      <c r="G3" s="47">
        <v>2018</v>
      </c>
      <c r="H3" s="47">
        <v>2019</v>
      </c>
      <c r="I3" s="47">
        <v>2020</v>
      </c>
      <c r="J3" s="47">
        <v>2021</v>
      </c>
      <c r="K3" s="47">
        <v>2022</v>
      </c>
      <c r="L3" s="47">
        <v>2023</v>
      </c>
      <c r="M3" s="47">
        <v>2024</v>
      </c>
      <c r="N3" s="47">
        <v>2025</v>
      </c>
      <c r="O3" s="47">
        <v>2026</v>
      </c>
      <c r="P3" s="47">
        <v>2027</v>
      </c>
      <c r="Q3" s="47">
        <v>2028</v>
      </c>
      <c r="R3" s="47">
        <v>2029</v>
      </c>
      <c r="S3" s="47">
        <v>2030</v>
      </c>
      <c r="T3" s="47">
        <v>2031</v>
      </c>
      <c r="U3" s="47">
        <v>2032</v>
      </c>
      <c r="V3" s="47">
        <v>2033</v>
      </c>
      <c r="W3" s="47">
        <v>2034</v>
      </c>
      <c r="X3" s="47">
        <v>2035</v>
      </c>
      <c r="Y3" s="47">
        <v>2036</v>
      </c>
      <c r="Z3" s="47">
        <v>2037</v>
      </c>
      <c r="AA3" s="47">
        <v>2038</v>
      </c>
      <c r="AB3" s="47">
        <v>2039</v>
      </c>
      <c r="AC3" s="47">
        <v>2040</v>
      </c>
      <c r="AD3" s="47">
        <v>2041</v>
      </c>
      <c r="AE3" s="47">
        <v>2042</v>
      </c>
      <c r="AF3" s="47">
        <v>2043</v>
      </c>
      <c r="AG3" s="47">
        <v>2044</v>
      </c>
      <c r="AH3" s="47">
        <v>2045</v>
      </c>
      <c r="AI3" s="47">
        <v>2046</v>
      </c>
      <c r="AJ3" s="47">
        <v>2047</v>
      </c>
      <c r="AK3" s="47">
        <v>2048</v>
      </c>
      <c r="AL3" s="47">
        <v>2049</v>
      </c>
      <c r="AM3" s="47">
        <v>2050</v>
      </c>
    </row>
    <row r="4" spans="1:39" outlineLevel="1" x14ac:dyDescent="0.25">
      <c r="A4" t="s">
        <v>171</v>
      </c>
      <c r="B4" s="60">
        <f>'Linéarisation mix'!B4*1000000</f>
        <v>15900000</v>
      </c>
      <c r="C4" s="60">
        <f>'Linéarisation mix'!C4*1000000</f>
        <v>18900801.939033851</v>
      </c>
      <c r="D4" s="60">
        <f>'Linéarisation mix'!D4*1000000</f>
        <v>21901601.149389394</v>
      </c>
      <c r="E4" s="60">
        <f>'Linéarisation mix'!E4*1000000</f>
        <v>24902396.30597702</v>
      </c>
      <c r="F4" s="60">
        <f>'Linéarisation mix'!F4*1000000</f>
        <v>27903186.122392118</v>
      </c>
      <c r="G4" s="60">
        <f>'Linéarisation mix'!G4*1000000</f>
        <v>30903969.359888706</v>
      </c>
      <c r="H4" s="60">
        <f>'Linéarisation mix'!H4*1000000</f>
        <v>33904744.835945807</v>
      </c>
      <c r="I4" s="60">
        <f>'Linéarisation mix'!I4*1000000</f>
        <v>36905511.432367787</v>
      </c>
      <c r="J4" s="60">
        <f>'Linéarisation mix'!J4*1000000</f>
        <v>39906268.102863893</v>
      </c>
      <c r="K4" s="60">
        <f>'Linéarisation mix'!K4*1000000</f>
        <v>42907013.880056009</v>
      </c>
      <c r="L4" s="60">
        <f>'Linéarisation mix'!L4*1000000</f>
        <v>45907747.881868593</v>
      </c>
      <c r="M4" s="60">
        <f>'Linéarisation mix'!M4*1000000</f>
        <v>48908469.317259103</v>
      </c>
      <c r="N4" s="60">
        <f>'Linéarisation mix'!N4*1000000</f>
        <v>51909177.491252452</v>
      </c>
      <c r="O4" s="60">
        <f>'Linéarisation mix'!O4*1000000</f>
        <v>54909871.809248433</v>
      </c>
      <c r="P4" s="60">
        <f>'Linéarisation mix'!P4*1000000</f>
        <v>57910551.780576155</v>
      </c>
      <c r="Q4" s="60">
        <f>'Linéarisation mix'!Q4*1000000</f>
        <v>60911217.021275572</v>
      </c>
      <c r="R4" s="60">
        <f>'Linéarisation mix'!R4*1000000</f>
        <v>63911867.256091416</v>
      </c>
      <c r="S4" s="60">
        <f>'Linéarisation mix'!S4*1000000</f>
        <v>66912502.31967105</v>
      </c>
      <c r="T4" s="60">
        <f>'Linéarisation mix'!T4*1000000</f>
        <v>69913122.156963289</v>
      </c>
      <c r="U4" s="60">
        <f>'Linéarisation mix'!U4*1000000</f>
        <v>72913726.822820961</v>
      </c>
      <c r="V4" s="60">
        <f>'Linéarisation mix'!V4*1000000</f>
        <v>75914316.480816126</v>
      </c>
      <c r="W4" s="60">
        <f>'Linéarisation mix'!W4*1000000</f>
        <v>78914891.40128158</v>
      </c>
      <c r="X4" s="60">
        <f>'Linéarisation mix'!X4*1000000</f>
        <v>81915451.958598852</v>
      </c>
      <c r="Y4" s="60">
        <f>'Linéarisation mix'!Y4*1000000</f>
        <v>84915998.627757326</v>
      </c>
      <c r="Z4" s="60">
        <f>'Linéarisation mix'!Z4*1000000</f>
        <v>87916531.980214506</v>
      </c>
      <c r="AA4" s="60">
        <f>'Linéarisation mix'!AA4*1000000</f>
        <v>90917052.679092228</v>
      </c>
      <c r="AB4" s="60">
        <f>'Linéarisation mix'!AB4*1000000</f>
        <v>93917561.473748252</v>
      </c>
      <c r="AC4" s="60">
        <f>'Linéarisation mix'!AC4*1000000</f>
        <v>96918059.193766654</v>
      </c>
      <c r="AD4" s="60">
        <f>'Linéarisation mix'!AD4*1000000</f>
        <v>99918546.742414325</v>
      </c>
      <c r="AE4" s="60">
        <f>'Linéarisation mix'!AE4*1000000</f>
        <v>102919025.08961485</v>
      </c>
      <c r="AF4" s="60">
        <f>'Linéarisation mix'!AF4*1000000</f>
        <v>105919495.26449326</v>
      </c>
      <c r="AG4" s="60">
        <f>'Linéarisation mix'!AG4*1000000</f>
        <v>108919958.34754874</v>
      </c>
      <c r="AH4" s="60">
        <f>'Linéarisation mix'!AH4*1000000</f>
        <v>111920415.46251428</v>
      </c>
      <c r="AI4" s="60">
        <f>'Linéarisation mix'!AI4*1000000</f>
        <v>114920867.76796365</v>
      </c>
      <c r="AJ4" s="60">
        <f>'Linéarisation mix'!AJ4*1000000</f>
        <v>117921316.44872834</v>
      </c>
      <c r="AK4" s="60">
        <f>'Linéarisation mix'!AK4*1000000</f>
        <v>120921762.7071874</v>
      </c>
      <c r="AL4" s="60">
        <f>'Linéarisation mix'!AL4*1000000</f>
        <v>123922207.75449365</v>
      </c>
      <c r="AM4" s="60">
        <f>'Linéarisation mix'!AM4*1000000</f>
        <v>126922652.80179989</v>
      </c>
    </row>
    <row r="5" spans="1:39" outlineLevel="1" x14ac:dyDescent="0.25">
      <c r="A5" t="s">
        <v>185</v>
      </c>
      <c r="B5" s="60">
        <f>LCOE!B8</f>
        <v>80</v>
      </c>
      <c r="C5" s="60">
        <f ca="1">LCOE!C8</f>
        <v>79.411764705882291</v>
      </c>
      <c r="D5" s="60">
        <f ca="1">LCOE!D8</f>
        <v>78.823529411764582</v>
      </c>
      <c r="E5" s="60">
        <f ca="1">LCOE!E8</f>
        <v>78.235294117646887</v>
      </c>
      <c r="F5" s="60">
        <f ca="1">LCOE!F8</f>
        <v>77.647058823529193</v>
      </c>
      <c r="G5" s="60">
        <f ca="1">LCOE!G8</f>
        <v>77.058823529411512</v>
      </c>
      <c r="H5" s="60">
        <f ca="1">LCOE!H8</f>
        <v>76.470588235293846</v>
      </c>
      <c r="I5" s="60">
        <f ca="1">LCOE!I8</f>
        <v>75.88235294117618</v>
      </c>
      <c r="J5" s="60">
        <f ca="1">LCOE!J8</f>
        <v>75.294117647058528</v>
      </c>
      <c r="K5" s="60">
        <f ca="1">LCOE!K8</f>
        <v>74.705882352940876</v>
      </c>
      <c r="L5" s="60">
        <f ca="1">LCOE!L8</f>
        <v>74.117647058823238</v>
      </c>
      <c r="M5" s="60">
        <f ca="1">LCOE!M8</f>
        <v>73.5294117647056</v>
      </c>
      <c r="N5" s="60">
        <f ca="1">LCOE!N8</f>
        <v>72.941176470587976</v>
      </c>
      <c r="O5" s="60">
        <f ca="1">LCOE!O8</f>
        <v>72.352941176470367</v>
      </c>
      <c r="P5" s="60">
        <f ca="1">LCOE!P8</f>
        <v>71.764705882352757</v>
      </c>
      <c r="Q5" s="60">
        <f ca="1">LCOE!Q8</f>
        <v>71.176470588235162</v>
      </c>
      <c r="R5" s="60">
        <f ca="1">LCOE!R8</f>
        <v>70.588235294117581</v>
      </c>
      <c r="S5" s="60">
        <f>LCOE!S8</f>
        <v>70</v>
      </c>
      <c r="T5" s="60">
        <f ca="1">LCOE!T8</f>
        <v>69.749999999999915</v>
      </c>
      <c r="U5" s="60">
        <f ca="1">LCOE!U8</f>
        <v>69.499999999999844</v>
      </c>
      <c r="V5" s="60">
        <f ca="1">LCOE!V8</f>
        <v>69.249999999999773</v>
      </c>
      <c r="W5" s="60">
        <f ca="1">LCOE!W8</f>
        <v>68.999999999999716</v>
      </c>
      <c r="X5" s="60">
        <f ca="1">LCOE!X8</f>
        <v>68.749999999999673</v>
      </c>
      <c r="Y5" s="60">
        <f ca="1">LCOE!Y8</f>
        <v>68.499999999999631</v>
      </c>
      <c r="Z5" s="60">
        <f ca="1">LCOE!Z8</f>
        <v>68.249999999999602</v>
      </c>
      <c r="AA5" s="60">
        <f ca="1">LCOE!AA8</f>
        <v>67.999999999999588</v>
      </c>
      <c r="AB5" s="60">
        <f ca="1">LCOE!AB8</f>
        <v>67.749999999999574</v>
      </c>
      <c r="AC5" s="60">
        <f ca="1">LCOE!AC8</f>
        <v>67.499999999999574</v>
      </c>
      <c r="AD5" s="60">
        <f ca="1">LCOE!AD8</f>
        <v>67.249999999999574</v>
      </c>
      <c r="AE5" s="60">
        <f ca="1">LCOE!AE8</f>
        <v>66.999999999999588</v>
      </c>
      <c r="AF5" s="60">
        <f ca="1">LCOE!AF8</f>
        <v>66.749999999999602</v>
      </c>
      <c r="AG5" s="60">
        <f ca="1">LCOE!AG8</f>
        <v>66.499999999999631</v>
      </c>
      <c r="AH5" s="60">
        <f ca="1">LCOE!AH8</f>
        <v>66.249999999999673</v>
      </c>
      <c r="AI5" s="60">
        <f ca="1">LCOE!AI8</f>
        <v>65.999999999999716</v>
      </c>
      <c r="AJ5" s="60">
        <f ca="1">LCOE!AJ8</f>
        <v>65.749999999999773</v>
      </c>
      <c r="AK5" s="60">
        <f ca="1">LCOE!AK8</f>
        <v>65.499999999999844</v>
      </c>
      <c r="AL5" s="60">
        <f ca="1">LCOE!AL8</f>
        <v>65.249999999999915</v>
      </c>
      <c r="AM5" s="60">
        <f>LCOE!AM8</f>
        <v>65</v>
      </c>
    </row>
    <row r="6" spans="1:39" outlineLevel="1" x14ac:dyDescent="0.25">
      <c r="A6" t="s">
        <v>127</v>
      </c>
      <c r="B6" s="48">
        <v>0</v>
      </c>
      <c r="C6" s="64">
        <f>B6+C4-B4</f>
        <v>3000801.939033851</v>
      </c>
      <c r="D6" s="64">
        <f t="shared" ref="D6" si="0">C6+D4-C4</f>
        <v>6001601.1493893936</v>
      </c>
      <c r="E6" s="64">
        <f t="shared" ref="E6" si="1">D6+E4-D4</f>
        <v>9002396.3059770204</v>
      </c>
      <c r="F6" s="64">
        <f t="shared" ref="F6" si="2">E6+F4-E4</f>
        <v>12003186.122392114</v>
      </c>
      <c r="G6" s="64">
        <f t="shared" ref="G6" si="3">F6+G4-F4</f>
        <v>15003969.359888703</v>
      </c>
      <c r="H6" s="64">
        <f t="shared" ref="H6" si="4">G6+H4-G4</f>
        <v>18004744.835945804</v>
      </c>
      <c r="I6" s="64">
        <f t="shared" ref="I6" si="5">H6+I4-H4</f>
        <v>21005511.432367779</v>
      </c>
      <c r="J6" s="64">
        <f t="shared" ref="J6" si="6">I6+J4-I4</f>
        <v>24006268.102863885</v>
      </c>
      <c r="K6" s="64">
        <f t="shared" ref="K6" si="7">J6+K4-J4</f>
        <v>27007013.880056001</v>
      </c>
      <c r="L6" s="64">
        <f t="shared" ref="L6" si="8">K6+L4-K4</f>
        <v>30007747.881868586</v>
      </c>
      <c r="M6" s="64">
        <f t="shared" ref="M6" si="9">L6+M4-L4</f>
        <v>33008469.317259096</v>
      </c>
      <c r="N6" s="64">
        <f t="shared" ref="N6" si="10">M6+N4-M4</f>
        <v>36009177.491252452</v>
      </c>
      <c r="O6" s="64">
        <f t="shared" ref="O6" si="11">N6+O4-N4</f>
        <v>39009871.809248433</v>
      </c>
      <c r="P6" s="64">
        <f t="shared" ref="P6" si="12">O6+P4-O4</f>
        <v>42010551.780576155</v>
      </c>
      <c r="Q6" s="64">
        <f t="shared" ref="Q6" si="13">P6+Q4-P4</f>
        <v>45011217.021275565</v>
      </c>
      <c r="R6" s="64">
        <f t="shared" ref="R6" si="14">Q6+R4-Q4</f>
        <v>48011867.256091408</v>
      </c>
      <c r="S6" s="64">
        <f t="shared" ref="S6" si="15">R6+S4-R4</f>
        <v>51012502.319671035</v>
      </c>
      <c r="T6" s="64">
        <f t="shared" ref="T6" si="16">S6+T4-S4</f>
        <v>54013122.156963274</v>
      </c>
      <c r="U6" s="64">
        <f t="shared" ref="U6" si="17">T6+U4-T4</f>
        <v>57013726.822820947</v>
      </c>
      <c r="V6" s="64">
        <f t="shared" ref="V6" si="18">U6+V4-U4</f>
        <v>60014316.480816111</v>
      </c>
      <c r="W6" s="64">
        <f t="shared" ref="W6" si="19">V6+W4-V4</f>
        <v>63014891.401281565</v>
      </c>
      <c r="X6" s="64">
        <f t="shared" ref="X6" si="20">W6+X4-W4</f>
        <v>66015451.958598837</v>
      </c>
      <c r="Y6" s="64">
        <f t="shared" ref="Y6" si="21">X6+Y4-X4</f>
        <v>69015998.627757311</v>
      </c>
      <c r="Z6" s="64">
        <f t="shared" ref="Z6" si="22">Y6+Z4-Y4</f>
        <v>72016531.980214491</v>
      </c>
      <c r="AA6" s="64">
        <f t="shared" ref="AA6" si="23">Z6+AA4-Z4</f>
        <v>75017052.679092199</v>
      </c>
      <c r="AB6" s="64">
        <f t="shared" ref="AB6" si="24">AA6+AB4-AA4</f>
        <v>78017561.473748207</v>
      </c>
      <c r="AC6" s="64">
        <f t="shared" ref="AC6" si="25">AB6+AC4-AB4</f>
        <v>81018059.193766609</v>
      </c>
      <c r="AD6" s="64">
        <f t="shared" ref="AD6" si="26">AC6+AD4-AC4</f>
        <v>84018546.742414296</v>
      </c>
      <c r="AE6" s="64">
        <f t="shared" ref="AE6" si="27">AD6+AE4-AD4</f>
        <v>87019025.089614838</v>
      </c>
      <c r="AF6" s="64">
        <f t="shared" ref="AF6" si="28">AE6+AF4-AE4</f>
        <v>90019495.264493242</v>
      </c>
      <c r="AG6" s="64">
        <f t="shared" ref="AG6" si="29">AF6+AG4-AF4</f>
        <v>93019958.347548723</v>
      </c>
      <c r="AH6" s="64">
        <f t="shared" ref="AH6" si="30">AG6+AH4-AG4</f>
        <v>96020415.462514266</v>
      </c>
      <c r="AI6" s="64">
        <f t="shared" ref="AI6" si="31">AH6+AI4-AH4</f>
        <v>99020867.767963648</v>
      </c>
      <c r="AJ6" s="64">
        <f t="shared" ref="AJ6" si="32">AI6+AJ4-AI4</f>
        <v>102021316.44872832</v>
      </c>
      <c r="AK6" s="64">
        <f t="shared" ref="AK6" si="33">AJ6+AK4-AJ4</f>
        <v>105021762.7071874</v>
      </c>
      <c r="AL6" s="64">
        <f t="shared" ref="AL6" si="34">AK6+AL4-AK4</f>
        <v>108022207.75449367</v>
      </c>
      <c r="AM6" s="64">
        <f t="shared" ref="AM6" si="35">AL6+AM4-AL4</f>
        <v>111022652.80179989</v>
      </c>
    </row>
    <row r="7" spans="1:39" outlineLevel="1" x14ac:dyDescent="0.25">
      <c r="A7" t="s">
        <v>188</v>
      </c>
      <c r="B7" s="105"/>
      <c r="C7" s="42"/>
      <c r="D7" s="42"/>
      <c r="E7" s="42"/>
      <c r="F7" s="42"/>
      <c r="G7" s="42"/>
      <c r="H7" s="42"/>
      <c r="I7" s="42"/>
      <c r="J7" s="42"/>
      <c r="K7" s="42"/>
      <c r="L7" s="42"/>
      <c r="M7" s="49"/>
      <c r="N7" s="42"/>
      <c r="O7" s="42"/>
      <c r="P7" s="42"/>
      <c r="Q7" s="42"/>
      <c r="R7" s="42"/>
      <c r="S7" s="43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9"/>
      <c r="AF7" s="49"/>
      <c r="AG7" s="49"/>
      <c r="AH7" s="49"/>
      <c r="AI7" s="49"/>
      <c r="AJ7" s="49"/>
      <c r="AK7" s="49"/>
      <c r="AL7" s="42"/>
      <c r="AM7" s="104">
        <f>AM9/AM11</f>
        <v>0.29312062549819495</v>
      </c>
    </row>
    <row r="8" spans="1:39" outlineLevel="1" x14ac:dyDescent="0.25">
      <c r="A8" t="s">
        <v>206</v>
      </c>
      <c r="B8" s="58">
        <v>20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outlineLevel="1" x14ac:dyDescent="0.25">
      <c r="A9" t="s">
        <v>107</v>
      </c>
      <c r="B9" s="13">
        <f t="shared" ref="B9:AK9" si="36">B11*$AM$7</f>
        <v>372.84943563370399</v>
      </c>
      <c r="C9" s="13">
        <f t="shared" si="36"/>
        <v>442.56270397906388</v>
      </c>
      <c r="D9" s="13">
        <f t="shared" si="36"/>
        <v>512.55354590403101</v>
      </c>
      <c r="E9" s="13">
        <f t="shared" si="36"/>
        <v>581.88980837304393</v>
      </c>
      <c r="F9" s="13">
        <f t="shared" si="36"/>
        <v>650.57146350552512</v>
      </c>
      <c r="G9" s="13">
        <f t="shared" si="36"/>
        <v>718.59848516280852</v>
      </c>
      <c r="H9" s="13">
        <f t="shared" si="36"/>
        <v>785.97084910728586</v>
      </c>
      <c r="I9" s="13">
        <f t="shared" si="36"/>
        <v>852.68853314380192</v>
      </c>
      <c r="J9" s="13">
        <f t="shared" si="36"/>
        <v>918.75151724257103</v>
      </c>
      <c r="K9" s="13">
        <f t="shared" si="36"/>
        <v>984.1597836430409</v>
      </c>
      <c r="L9" s="13">
        <f t="shared" si="36"/>
        <v>1048.9133169382897</v>
      </c>
      <c r="M9" s="13">
        <f t="shared" si="36"/>
        <v>1113.012104139701</v>
      </c>
      <c r="N9" s="13">
        <f t="shared" si="36"/>
        <v>1176.4561347218194</v>
      </c>
      <c r="O9" s="13">
        <f t="shared" si="36"/>
        <v>1239.2454006474441</v>
      </c>
      <c r="P9" s="13">
        <f t="shared" si="36"/>
        <v>1301.3798963731724</v>
      </c>
      <c r="Q9" s="13">
        <f t="shared" si="36"/>
        <v>1362.8596188357499</v>
      </c>
      <c r="R9" s="13">
        <f t="shared" si="36"/>
        <v>1423.6845674197318</v>
      </c>
      <c r="S9" s="13">
        <f t="shared" si="36"/>
        <v>1483.8547439070851</v>
      </c>
      <c r="T9" s="13">
        <f t="shared" si="36"/>
        <v>1543.7464643595008</v>
      </c>
      <c r="U9" s="13">
        <f t="shared" si="36"/>
        <v>1603.3597321260045</v>
      </c>
      <c r="V9" s="13">
        <f t="shared" si="36"/>
        <v>1644.9842045578093</v>
      </c>
      <c r="W9" s="13">
        <f t="shared" si="36"/>
        <v>1694.0873827270382</v>
      </c>
      <c r="X9" s="13">
        <f t="shared" si="36"/>
        <v>1743.3467269114769</v>
      </c>
      <c r="Y9" s="13">
        <f t="shared" si="36"/>
        <v>1792.762251993626</v>
      </c>
      <c r="Z9" s="13">
        <f t="shared" si="36"/>
        <v>1842.3339741807749</v>
      </c>
      <c r="AA9" s="13">
        <f t="shared" si="36"/>
        <v>1892.0619108724898</v>
      </c>
      <c r="AB9" s="13">
        <f t="shared" si="36"/>
        <v>1941.9460805229453</v>
      </c>
      <c r="AC9" s="13">
        <f t="shared" si="36"/>
        <v>1991.9865024991373</v>
      </c>
      <c r="AD9" s="13">
        <f t="shared" si="36"/>
        <v>2042.1831969360167</v>
      </c>
      <c r="AE9" s="13">
        <f t="shared" si="36"/>
        <v>2092.5361845895941</v>
      </c>
      <c r="AF9" s="13">
        <f t="shared" si="36"/>
        <v>2143.0454866890245</v>
      </c>
      <c r="AG9" s="13">
        <f t="shared" si="36"/>
        <v>2193.7111247887055</v>
      </c>
      <c r="AH9" s="13">
        <f t="shared" si="36"/>
        <v>2244.5331206213655</v>
      </c>
      <c r="AI9" s="13">
        <f t="shared" si="36"/>
        <v>2295.5114959530947</v>
      </c>
      <c r="AJ9" s="13">
        <f t="shared" si="36"/>
        <v>2346.6462724412554</v>
      </c>
      <c r="AK9" s="13">
        <f t="shared" si="36"/>
        <v>2397.9374714961436</v>
      </c>
      <c r="AL9" s="13">
        <f>AL11*$AM$7</f>
        <v>2449.3851141472333</v>
      </c>
      <c r="AM9" s="13">
        <f>LCOE!AS8*1000*('Capacités installées'!B9+'Capacités installées'!B10)/1000000</f>
        <v>2500.9892209147956</v>
      </c>
    </row>
    <row r="10" spans="1:39" outlineLevel="1" x14ac:dyDescent="0.25">
      <c r="A10" t="s">
        <v>111</v>
      </c>
      <c r="B10" s="13">
        <f>B11-B9</f>
        <v>899.15056436629607</v>
      </c>
      <c r="C10" s="13">
        <f t="shared" ref="C10:AM10" si="37">C11-C9</f>
        <v>1067.2686264736244</v>
      </c>
      <c r="D10" s="13">
        <f t="shared" si="37"/>
        <v>1236.0560752472697</v>
      </c>
      <c r="E10" s="13">
        <f t="shared" si="37"/>
        <v>1403.2649632642294</v>
      </c>
      <c r="F10" s="13">
        <f t="shared" si="37"/>
        <v>1568.8952232886845</v>
      </c>
      <c r="G10" s="13">
        <f t="shared" si="37"/>
        <v>1732.9467922855492</v>
      </c>
      <c r="H10" s="13">
        <f t="shared" si="37"/>
        <v>1895.4196118042607</v>
      </c>
      <c r="I10" s="13">
        <f t="shared" si="37"/>
        <v>2056.313628319765</v>
      </c>
      <c r="J10" s="13">
        <f t="shared" si="37"/>
        <v>2215.6287935289365</v>
      </c>
      <c r="K10" s="13">
        <f t="shared" si="37"/>
        <v>2373.3650646010528</v>
      </c>
      <c r="L10" s="13">
        <f t="shared" si="37"/>
        <v>2529.5224043813241</v>
      </c>
      <c r="M10" s="13">
        <f t="shared" si="37"/>
        <v>2684.1007815468611</v>
      </c>
      <c r="N10" s="13">
        <f t="shared" si="37"/>
        <v>2837.1001707148453</v>
      </c>
      <c r="O10" s="13">
        <f t="shared" si="37"/>
        <v>2988.5205525030465</v>
      </c>
      <c r="P10" s="13">
        <f t="shared" si="37"/>
        <v>3138.36191354319</v>
      </c>
      <c r="Q10" s="13">
        <f t="shared" si="37"/>
        <v>3286.624246448041</v>
      </c>
      <c r="R10" s="13">
        <f t="shared" si="37"/>
        <v>3433.3075497334121</v>
      </c>
      <c r="S10" s="13">
        <f t="shared" si="37"/>
        <v>3578.4118276966337</v>
      </c>
      <c r="T10" s="13">
        <f t="shared" si="37"/>
        <v>3722.8445908953513</v>
      </c>
      <c r="U10" s="13">
        <f t="shared" si="37"/>
        <v>3866.605847405955</v>
      </c>
      <c r="V10" s="13">
        <f t="shared" si="37"/>
        <v>3966.9859587903143</v>
      </c>
      <c r="W10" s="13">
        <f t="shared" si="37"/>
        <v>4085.4014534738471</v>
      </c>
      <c r="X10" s="13">
        <f t="shared" si="37"/>
        <v>4204.1935526182979</v>
      </c>
      <c r="Y10" s="13">
        <f t="shared" si="37"/>
        <v>4323.362292113783</v>
      </c>
      <c r="Z10" s="13">
        <f t="shared" si="37"/>
        <v>4442.9077110452281</v>
      </c>
      <c r="AA10" s="13">
        <f t="shared" si="37"/>
        <v>4562.8298513728159</v>
      </c>
      <c r="AB10" s="13">
        <f t="shared" si="37"/>
        <v>4683.1287575999822</v>
      </c>
      <c r="AC10" s="13">
        <f t="shared" si="37"/>
        <v>4803.8044764314945</v>
      </c>
      <c r="AD10" s="13">
        <f t="shared" si="37"/>
        <v>4924.857056424089</v>
      </c>
      <c r="AE10" s="13">
        <f t="shared" si="37"/>
        <v>5046.2865476322295</v>
      </c>
      <c r="AF10" s="13">
        <f t="shared" si="37"/>
        <v>5168.0930012514</v>
      </c>
      <c r="AG10" s="13">
        <f t="shared" si="37"/>
        <v>5290.2764692614255</v>
      </c>
      <c r="AH10" s="13">
        <f t="shared" si="37"/>
        <v>5412.8370040721875</v>
      </c>
      <c r="AI10" s="13">
        <f t="shared" si="37"/>
        <v>5535.7746581740239</v>
      </c>
      <c r="AJ10" s="13">
        <f t="shared" si="37"/>
        <v>5659.0894837950673</v>
      </c>
      <c r="AK10" s="13">
        <f t="shared" si="37"/>
        <v>5782.7815325676293</v>
      </c>
      <c r="AL10" s="13">
        <f t="shared" si="37"/>
        <v>5906.8508552056519</v>
      </c>
      <c r="AM10" s="13">
        <f t="shared" si="37"/>
        <v>6031.2975011950975</v>
      </c>
    </row>
    <row r="11" spans="1:39" outlineLevel="1" x14ac:dyDescent="0.25">
      <c r="A11" t="s">
        <v>186</v>
      </c>
      <c r="B11" s="111">
        <v>1272</v>
      </c>
      <c r="C11" s="111">
        <v>1509.8313304526882</v>
      </c>
      <c r="D11" s="111">
        <v>1748.6096211513009</v>
      </c>
      <c r="E11" s="111">
        <v>1985.1547716372734</v>
      </c>
      <c r="F11" s="111">
        <v>2219.4666867942096</v>
      </c>
      <c r="G11" s="111">
        <v>2451.5452774483579</v>
      </c>
      <c r="H11" s="111">
        <v>2681.3904609115466</v>
      </c>
      <c r="I11" s="111">
        <v>2909.0021614635671</v>
      </c>
      <c r="J11" s="111">
        <v>3134.3803107715075</v>
      </c>
      <c r="K11" s="111">
        <v>3357.5248482440938</v>
      </c>
      <c r="L11" s="111">
        <v>3578.4357213196135</v>
      </c>
      <c r="M11" s="111">
        <v>3797.1128856865621</v>
      </c>
      <c r="N11" s="111">
        <v>4013.5563054366644</v>
      </c>
      <c r="O11" s="111">
        <v>4227.7659531504905</v>
      </c>
      <c r="P11" s="111">
        <v>4439.7418099163624</v>
      </c>
      <c r="Q11" s="111">
        <v>4649.4838652837907</v>
      </c>
      <c r="R11" s="111">
        <v>4856.9921171531441</v>
      </c>
      <c r="S11" s="111">
        <v>5062.2665716037191</v>
      </c>
      <c r="T11" s="111">
        <v>5266.5910552548521</v>
      </c>
      <c r="U11" s="111">
        <v>5469.9655795319595</v>
      </c>
      <c r="V11" s="111">
        <v>5611.9701633481236</v>
      </c>
      <c r="W11" s="111">
        <v>5779.4888362008851</v>
      </c>
      <c r="X11" s="111">
        <v>5947.540279529775</v>
      </c>
      <c r="Y11" s="111">
        <v>6116.1245441074088</v>
      </c>
      <c r="Z11" s="111">
        <v>6285.241685226003</v>
      </c>
      <c r="AA11" s="111">
        <v>6454.8917622453055</v>
      </c>
      <c r="AB11" s="111">
        <v>6625.0748381229278</v>
      </c>
      <c r="AC11" s="111">
        <v>6795.7909789306314</v>
      </c>
      <c r="AD11" s="111">
        <v>6967.0402533601055</v>
      </c>
      <c r="AE11" s="111">
        <v>7138.8227322218236</v>
      </c>
      <c r="AF11" s="111">
        <v>7311.1384879404241</v>
      </c>
      <c r="AG11" s="111">
        <v>7483.9875940501306</v>
      </c>
      <c r="AH11" s="111">
        <v>7657.3701246935534</v>
      </c>
      <c r="AI11" s="111">
        <v>7831.2861541271186</v>
      </c>
      <c r="AJ11" s="111">
        <v>8005.7357562363222</v>
      </c>
      <c r="AK11" s="111">
        <v>8180.7190040637724</v>
      </c>
      <c r="AL11" s="111">
        <v>8356.2359693528851</v>
      </c>
      <c r="AM11" s="111">
        <v>8532.2867221098932</v>
      </c>
    </row>
    <row r="12" spans="1:39" outlineLevel="1" x14ac:dyDescent="0.25"/>
    <row r="13" spans="1:39" outlineLevel="1" x14ac:dyDescent="0.25"/>
    <row r="14" spans="1:39" outlineLevel="1" x14ac:dyDescent="0.25">
      <c r="A14" s="3" t="s">
        <v>173</v>
      </c>
      <c r="B14" s="47">
        <v>2013</v>
      </c>
      <c r="C14" s="47">
        <v>2014</v>
      </c>
      <c r="D14" s="47">
        <v>2015</v>
      </c>
      <c r="E14" s="47">
        <v>2016</v>
      </c>
      <c r="F14" s="47">
        <v>2017</v>
      </c>
      <c r="G14" s="47">
        <v>2018</v>
      </c>
      <c r="H14" s="47">
        <v>2019</v>
      </c>
      <c r="I14" s="47">
        <v>2020</v>
      </c>
      <c r="J14" s="47">
        <v>2021</v>
      </c>
      <c r="K14" s="47">
        <v>2022</v>
      </c>
      <c r="L14" s="47">
        <v>2023</v>
      </c>
      <c r="M14" s="47">
        <v>2024</v>
      </c>
      <c r="N14" s="47">
        <v>2025</v>
      </c>
      <c r="O14" s="47">
        <v>2026</v>
      </c>
      <c r="P14" s="47">
        <v>2027</v>
      </c>
      <c r="Q14" s="47">
        <v>2028</v>
      </c>
      <c r="R14" s="47">
        <v>2029</v>
      </c>
      <c r="S14" s="47">
        <v>2030</v>
      </c>
      <c r="T14" s="47">
        <v>2031</v>
      </c>
      <c r="U14" s="47">
        <v>2032</v>
      </c>
      <c r="V14" s="47">
        <v>2033</v>
      </c>
      <c r="W14" s="47">
        <v>2034</v>
      </c>
      <c r="X14" s="47">
        <v>2035</v>
      </c>
      <c r="Y14" s="47">
        <v>2036</v>
      </c>
      <c r="Z14" s="47">
        <v>2037</v>
      </c>
      <c r="AA14" s="47">
        <v>2038</v>
      </c>
      <c r="AB14" s="47">
        <v>2039</v>
      </c>
      <c r="AC14" s="47">
        <v>2040</v>
      </c>
      <c r="AD14" s="47">
        <v>2041</v>
      </c>
      <c r="AE14" s="47">
        <v>2042</v>
      </c>
      <c r="AF14" s="47">
        <v>2043</v>
      </c>
      <c r="AG14" s="47">
        <v>2044</v>
      </c>
      <c r="AH14" s="47">
        <v>2045</v>
      </c>
      <c r="AI14" s="47">
        <v>2046</v>
      </c>
      <c r="AJ14" s="47">
        <v>2047</v>
      </c>
      <c r="AK14" s="47">
        <v>2048</v>
      </c>
      <c r="AL14" s="47">
        <v>2049</v>
      </c>
      <c r="AM14" s="47">
        <v>2050</v>
      </c>
    </row>
    <row r="15" spans="1:39" outlineLevel="1" x14ac:dyDescent="0.25">
      <c r="A15" t="s">
        <v>171</v>
      </c>
      <c r="B15" s="60">
        <f>'Linéarisation mix'!B5*1000000</f>
        <v>0</v>
      </c>
      <c r="C15" s="60">
        <v>0</v>
      </c>
      <c r="D15" s="60">
        <v>0</v>
      </c>
      <c r="E15" s="60">
        <v>0</v>
      </c>
      <c r="F15" s="60">
        <v>0</v>
      </c>
      <c r="G15" s="60">
        <f ca="1">(F15+H15)/2</f>
        <v>4707730.7200860679</v>
      </c>
      <c r="H15" s="60">
        <f t="shared" ref="H15:K15" ca="1" si="38">(G15+I15)/2</f>
        <v>9415461.4401721358</v>
      </c>
      <c r="I15" s="60">
        <f t="shared" ca="1" si="38"/>
        <v>14123192.160258204</v>
      </c>
      <c r="J15" s="60">
        <f t="shared" ca="1" si="38"/>
        <v>18830922.880344272</v>
      </c>
      <c r="K15" s="60">
        <f t="shared" ca="1" si="38"/>
        <v>23538653.600430343</v>
      </c>
      <c r="L15" s="60">
        <f>'Linéarisation mix'!L5*1000000</f>
        <v>28246384.320516415</v>
      </c>
      <c r="M15" s="60">
        <f>'Linéarisation mix'!M5*1000000</f>
        <v>31071106.862269454</v>
      </c>
      <c r="N15" s="60">
        <f>'Linéarisation mix'!N5*1000000</f>
        <v>33895850.310371004</v>
      </c>
      <c r="O15" s="60">
        <f>'Linéarisation mix'!O5*1000000</f>
        <v>36720615.602197371</v>
      </c>
      <c r="P15" s="60">
        <f>'Linéarisation mix'!P5*1000000</f>
        <v>39545403.511282146</v>
      </c>
      <c r="Q15" s="60">
        <f>'Linéarisation mix'!Q5*1000000</f>
        <v>42370214.642931312</v>
      </c>
      <c r="R15" s="60">
        <f>'Linéarisation mix'!R5*1000000</f>
        <v>45195049.431079738</v>
      </c>
      <c r="S15" s="60">
        <f>'Linéarisation mix'!S5*1000000</f>
        <v>48019908.136402793</v>
      </c>
      <c r="T15" s="60">
        <f>'Linéarisation mix'!T5*1000000</f>
        <v>50844790.845687672</v>
      </c>
      <c r="U15" s="60">
        <f>'Linéarisation mix'!U5*1000000</f>
        <v>53669697.472459838</v>
      </c>
      <c r="V15" s="60">
        <f>'Linéarisation mix'!V5*1000000</f>
        <v>56494627.758851022</v>
      </c>
      <c r="W15" s="60">
        <f>'Linéarisation mix'!W5*1000000</f>
        <v>59319581.278686538</v>
      </c>
      <c r="X15" s="60">
        <f>'Linéarisation mix'!X5*1000000</f>
        <v>62144557.441760778</v>
      </c>
      <c r="Y15" s="60">
        <f>'Linéarisation mix'!Y5*1000000</f>
        <v>64969555.499261729</v>
      </c>
      <c r="Z15" s="60">
        <f>'Linéarisation mix'!Z5*1000000</f>
        <v>67794574.550297171</v>
      </c>
      <c r="AA15" s="60">
        <f>'Linéarisation mix'!AA5*1000000</f>
        <v>70619613.549467698</v>
      </c>
      <c r="AB15" s="60">
        <f>'Linéarisation mix'!AB5*1000000</f>
        <v>73444671.315424621</v>
      </c>
      <c r="AC15" s="60">
        <f>'Linéarisation mix'!AC5*1000000</f>
        <v>76269746.540343896</v>
      </c>
      <c r="AD15" s="60">
        <f>'Linéarisation mix'!AD5*1000000</f>
        <v>79094837.800241888</v>
      </c>
      <c r="AE15" s="60">
        <f>'Linéarisation mix'!AE5*1000000</f>
        <v>81919943.56605196</v>
      </c>
      <c r="AF15" s="60">
        <f>'Linéarisation mix'!AF5*1000000</f>
        <v>84745062.215377435</v>
      </c>
      <c r="AG15" s="60">
        <f>'Linéarisation mix'!AG5*1000000</f>
        <v>87570192.044831157</v>
      </c>
      <c r="AH15" s="60">
        <f>'Linéarisation mix'!AH5*1000000</f>
        <v>90395331.282868847</v>
      </c>
      <c r="AI15" s="60">
        <f>'Linéarisation mix'!AI5*1000000</f>
        <v>93220478.103020281</v>
      </c>
      <c r="AJ15" s="60">
        <f>'Linéarisation mix'!AJ5*1000000</f>
        <v>96045630.637420371</v>
      </c>
      <c r="AK15" s="60">
        <f>'Linéarisation mix'!AK5*1000000</f>
        <v>98870786.990540713</v>
      </c>
      <c r="AL15" s="60">
        <f>'Linéarisation mix'!AL5*1000000</f>
        <v>101695945.25302115</v>
      </c>
      <c r="AM15" s="60">
        <f>'Linéarisation mix'!AM5*1000000</f>
        <v>104521103.51550159</v>
      </c>
    </row>
    <row r="16" spans="1:39" outlineLevel="1" x14ac:dyDescent="0.25">
      <c r="A16" t="s">
        <v>185</v>
      </c>
      <c r="B16" s="60">
        <f>LCOE!B11</f>
        <v>172.0735623748258</v>
      </c>
      <c r="C16" s="60">
        <f ca="1">LCOE!C11</f>
        <v>168.3613543422814</v>
      </c>
      <c r="D16" s="60">
        <f ca="1">LCOE!D11</f>
        <v>164.64920151176619</v>
      </c>
      <c r="E16" s="60">
        <f ca="1">LCOE!E11</f>
        <v>160.93712775662479</v>
      </c>
      <c r="F16" s="60">
        <f ca="1">LCOE!F11</f>
        <v>157.22515347425309</v>
      </c>
      <c r="G16" s="60">
        <f ca="1">LCOE!G11</f>
        <v>153.51329501476454</v>
      </c>
      <c r="H16" s="60">
        <f ca="1">LCOE!H11</f>
        <v>149.80156426559859</v>
      </c>
      <c r="I16" s="60">
        <f ca="1">LCOE!I11</f>
        <v>146.08996840083191</v>
      </c>
      <c r="J16" s="60">
        <f ca="1">LCOE!J11</f>
        <v>142.37850979809508</v>
      </c>
      <c r="K16" s="60">
        <f ca="1">LCOE!K11</f>
        <v>138.66718612024118</v>
      </c>
      <c r="L16" s="60">
        <f ca="1">LCOE!L11</f>
        <v>134.95599055344621</v>
      </c>
      <c r="M16" s="60">
        <f ca="1">LCOE!M11</f>
        <v>131.24491218842024</v>
      </c>
      <c r="N16" s="60">
        <f ca="1">LCOE!N11</f>
        <v>127.53393652702627</v>
      </c>
      <c r="O16" s="60">
        <f ca="1">LCOE!O11</f>
        <v>123.82304609296706</v>
      </c>
      <c r="P16" s="60">
        <f ca="1">LCOE!P11</f>
        <v>120.11222112240713</v>
      </c>
      <c r="Q16" s="60">
        <f ca="1">LCOE!Q11</f>
        <v>116.40144030851279</v>
      </c>
      <c r="R16" s="60">
        <f ca="1">LCOE!R11</f>
        <v>112.69068157295123</v>
      </c>
      <c r="S16" s="60">
        <f>LCOE!S11</f>
        <v>108.97992283738968</v>
      </c>
      <c r="T16" s="60">
        <f ca="1">LCOE!T11</f>
        <v>108.11379827244926</v>
      </c>
      <c r="U16" s="60">
        <f ca="1">LCOE!U11</f>
        <v>107.24795546305748</v>
      </c>
      <c r="V16" s="60">
        <f ca="1">LCOE!V11</f>
        <v>106.38252149689079</v>
      </c>
      <c r="W16" s="60">
        <f ca="1">LCOE!W11</f>
        <v>105.51761034646316</v>
      </c>
      <c r="X16" s="60">
        <f ca="1">LCOE!X11</f>
        <v>104.65332040097103</v>
      </c>
      <c r="Y16" s="60">
        <f ca="1">LCOE!Y11</f>
        <v>103.78973243988915</v>
      </c>
      <c r="Z16" s="60">
        <f ca="1">LCOE!Z11</f>
        <v>102.92690808709673</v>
      </c>
      <c r="AA16" s="60">
        <f ca="1">LCOE!AA11</f>
        <v>102.06488877160443</v>
      </c>
      <c r="AB16" s="60">
        <f ca="1">LCOE!AB11</f>
        <v>101.20369520791795</v>
      </c>
      <c r="AC16" s="60">
        <f ca="1">LCOE!AC11</f>
        <v>100.34332739603789</v>
      </c>
      <c r="AD16" s="60">
        <f ca="1">LCOE!AD11</f>
        <v>99.483765128379787</v>
      </c>
      <c r="AE16" s="60">
        <f ca="1">LCOE!AE11</f>
        <v>98.624968978803636</v>
      </c>
      <c r="AF16" s="60">
        <f ca="1">LCOE!AF11</f>
        <v>97.766881737751703</v>
      </c>
      <c r="AG16" s="60">
        <f ca="1">LCOE!AG11</f>
        <v>96.909430247457266</v>
      </c>
      <c r="AH16" s="60">
        <f ca="1">LCOE!AH11</f>
        <v>96.052527582523055</v>
      </c>
      <c r="AI16" s="60">
        <f ca="1">LCOE!AI11</f>
        <v>95.196075514055025</v>
      </c>
      <c r="AJ16" s="60">
        <f ca="1">LCOE!AJ11</f>
        <v>94.339967190110798</v>
      </c>
      <c r="AK16" s="60">
        <f ca="1">LCOE!AK11</f>
        <v>93.484089961573815</v>
      </c>
      <c r="AL16" s="60">
        <f ca="1">LCOE!AL11</f>
        <v>92.628328280740448</v>
      </c>
      <c r="AM16" s="60">
        <f>LCOE!AM11</f>
        <v>91.772566599907094</v>
      </c>
    </row>
    <row r="17" spans="1:39" outlineLevel="1" x14ac:dyDescent="0.25">
      <c r="A17" t="s">
        <v>127</v>
      </c>
      <c r="B17" s="48">
        <v>0</v>
      </c>
      <c r="C17" s="64">
        <f>B17+C15-B15</f>
        <v>0</v>
      </c>
      <c r="D17" s="64">
        <f t="shared" ref="D17" si="39">C17+D15-C15</f>
        <v>0</v>
      </c>
      <c r="E17" s="64">
        <f t="shared" ref="E17" si="40">D17+E15-D15</f>
        <v>0</v>
      </c>
      <c r="F17" s="64">
        <f t="shared" ref="F17" si="41">E17+F15-E15</f>
        <v>0</v>
      </c>
      <c r="G17" s="64">
        <f t="shared" ref="G17" ca="1" si="42">F17+G15-F15</f>
        <v>4707730.7200860679</v>
      </c>
      <c r="H17" s="64">
        <f t="shared" ref="H17" ca="1" si="43">G17+H15-G15</f>
        <v>9415461.4401721358</v>
      </c>
      <c r="I17" s="64">
        <f t="shared" ref="I17" ca="1" si="44">H17+I15-H15</f>
        <v>14123192.160258204</v>
      </c>
      <c r="J17" s="64">
        <f t="shared" ref="J17" ca="1" si="45">I17+J15-I15</f>
        <v>18830922.880344272</v>
      </c>
      <c r="K17" s="64">
        <f t="shared" ref="K17" ca="1" si="46">J17+K15-J15</f>
        <v>23538653.60043034</v>
      </c>
      <c r="L17" s="64">
        <f t="shared" ref="L17" ca="1" si="47">K17+L15-K15</f>
        <v>28246384.320516411</v>
      </c>
      <c r="M17" s="64">
        <f t="shared" ref="M17" ca="1" si="48">L17+M15-L15</f>
        <v>31071106.862269454</v>
      </c>
      <c r="N17" s="64">
        <f t="shared" ref="N17" ca="1" si="49">M17+N15-M15</f>
        <v>33895850.310371004</v>
      </c>
      <c r="O17" s="64">
        <f t="shared" ref="O17" ca="1" si="50">N17+O15-N15</f>
        <v>36720615.602197371</v>
      </c>
      <c r="P17" s="64">
        <f t="shared" ref="P17" ca="1" si="51">O17+P15-O15</f>
        <v>39545403.511282153</v>
      </c>
      <c r="Q17" s="64">
        <f t="shared" ref="Q17" ca="1" si="52">P17+Q15-P15</f>
        <v>42370214.642931312</v>
      </c>
      <c r="R17" s="64">
        <f t="shared" ref="R17" ca="1" si="53">Q17+R15-Q15</f>
        <v>45195049.431079745</v>
      </c>
      <c r="S17" s="64">
        <f t="shared" ref="S17" ca="1" si="54">R17+S15-R15</f>
        <v>48019908.136402793</v>
      </c>
      <c r="T17" s="64">
        <f t="shared" ref="T17" ca="1" si="55">S17+T15-S15</f>
        <v>50844790.84568768</v>
      </c>
      <c r="U17" s="64">
        <f t="shared" ref="U17" ca="1" si="56">T17+U15-T15</f>
        <v>53669697.472459838</v>
      </c>
      <c r="V17" s="64">
        <f t="shared" ref="V17" ca="1" si="57">U17+V15-U15</f>
        <v>56494627.758851022</v>
      </c>
      <c r="W17" s="64">
        <f t="shared" ref="W17" ca="1" si="58">V17+W15-V15</f>
        <v>59319581.278686538</v>
      </c>
      <c r="X17" s="64">
        <f t="shared" ref="X17" ca="1" si="59">W17+X15-W15</f>
        <v>62144557.441760778</v>
      </c>
      <c r="Y17" s="64">
        <f t="shared" ref="Y17" ca="1" si="60">X17+Y15-X15</f>
        <v>64969555.499261737</v>
      </c>
      <c r="Z17" s="64">
        <f t="shared" ref="Z17" ca="1" si="61">Y17+Z15-Y15</f>
        <v>67794574.550297171</v>
      </c>
      <c r="AA17" s="64">
        <f t="shared" ref="AA17" ca="1" si="62">Z17+AA15-Z15</f>
        <v>70619613.549467713</v>
      </c>
      <c r="AB17" s="64">
        <f t="shared" ref="AB17" ca="1" si="63">AA17+AB15-AA15</f>
        <v>73444671.315424636</v>
      </c>
      <c r="AC17" s="64">
        <f t="shared" ref="AC17" ca="1" si="64">AB17+AC15-AB15</f>
        <v>76269746.54034391</v>
      </c>
      <c r="AD17" s="64">
        <f t="shared" ref="AD17" ca="1" si="65">AC17+AD15-AC15</f>
        <v>79094837.800241902</v>
      </c>
      <c r="AE17" s="64">
        <f t="shared" ref="AE17" ca="1" si="66">AD17+AE15-AD15</f>
        <v>81919943.56605196</v>
      </c>
      <c r="AF17" s="64">
        <f t="shared" ref="AF17" ca="1" si="67">AE17+AF15-AE15</f>
        <v>84745062.21537745</v>
      </c>
      <c r="AG17" s="64">
        <f t="shared" ref="AG17" ca="1" si="68">AF17+AG15-AF15</f>
        <v>87570192.044831172</v>
      </c>
      <c r="AH17" s="64">
        <f t="shared" ref="AH17" ca="1" si="69">AG17+AH15-AG15</f>
        <v>90395331.282868862</v>
      </c>
      <c r="AI17" s="64">
        <f t="shared" ref="AI17" ca="1" si="70">AH17+AI15-AH15</f>
        <v>93220478.103020296</v>
      </c>
      <c r="AJ17" s="64">
        <f t="shared" ref="AJ17" ca="1" si="71">AI17+AJ15-AI15</f>
        <v>96045630.637420386</v>
      </c>
      <c r="AK17" s="64">
        <f t="shared" ref="AK17" ca="1" si="72">AJ17+AK15-AJ15</f>
        <v>98870786.990540728</v>
      </c>
      <c r="AL17" s="64">
        <f t="shared" ref="AL17" ca="1" si="73">AK17+AL15-AK15</f>
        <v>101695945.25302115</v>
      </c>
      <c r="AM17" s="64">
        <f t="shared" ref="AM17" ca="1" si="74">AL17+AM15-AL15</f>
        <v>104521103.51550159</v>
      </c>
    </row>
    <row r="18" spans="1:39" outlineLevel="1" x14ac:dyDescent="0.25">
      <c r="A18" t="s">
        <v>188</v>
      </c>
      <c r="B18" s="105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9"/>
      <c r="N18" s="42"/>
      <c r="O18" s="42"/>
      <c r="P18" s="42"/>
      <c r="Q18" s="42"/>
      <c r="R18" s="42"/>
      <c r="S18" s="43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9"/>
      <c r="AF18" s="49"/>
      <c r="AG18" s="49"/>
      <c r="AH18" s="49"/>
      <c r="AI18" s="49"/>
      <c r="AJ18" s="49"/>
      <c r="AK18" s="49"/>
      <c r="AL18" s="42"/>
      <c r="AM18" s="104">
        <f>AM20/AM22</f>
        <v>0.42064986476972543</v>
      </c>
    </row>
    <row r="19" spans="1:39" outlineLevel="1" x14ac:dyDescent="0.25">
      <c r="A19" t="s">
        <v>206</v>
      </c>
      <c r="B19" s="58">
        <v>20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outlineLevel="1" x14ac:dyDescent="0.25">
      <c r="A20" t="s">
        <v>107</v>
      </c>
      <c r="B20" s="13">
        <f t="shared" ref="B20:AK20" si="75">$AM$18*B22</f>
        <v>0</v>
      </c>
      <c r="C20" s="13">
        <f t="shared" si="75"/>
        <v>0</v>
      </c>
      <c r="D20" s="13">
        <f t="shared" si="75"/>
        <v>0</v>
      </c>
      <c r="E20" s="13">
        <f t="shared" si="75"/>
        <v>0</v>
      </c>
      <c r="F20" s="13">
        <f t="shared" si="75"/>
        <v>0</v>
      </c>
      <c r="G20" s="13">
        <f t="shared" si="75"/>
        <v>304.00155981782319</v>
      </c>
      <c r="H20" s="13">
        <f t="shared" si="75"/>
        <v>600.65257278139234</v>
      </c>
      <c r="I20" s="13">
        <f t="shared" si="75"/>
        <v>889.95337860297298</v>
      </c>
      <c r="J20" s="13">
        <f t="shared" si="75"/>
        <v>1171.9043229829972</v>
      </c>
      <c r="K20" s="13">
        <f t="shared" si="75"/>
        <v>1446.5057457356904</v>
      </c>
      <c r="L20" s="13">
        <f t="shared" si="75"/>
        <v>1713.757969514364</v>
      </c>
      <c r="M20" s="13">
        <f t="shared" si="75"/>
        <v>1869.7046050129702</v>
      </c>
      <c r="N20" s="13">
        <f t="shared" si="75"/>
        <v>2021.2430436975753</v>
      </c>
      <c r="O20" s="13">
        <f t="shared" si="75"/>
        <v>2168.3733979187127</v>
      </c>
      <c r="P20" s="13">
        <f t="shared" si="75"/>
        <v>2311.0957374949899</v>
      </c>
      <c r="Q20" s="13">
        <f t="shared" si="75"/>
        <v>2449.4100881887784</v>
      </c>
      <c r="R20" s="13">
        <f t="shared" si="75"/>
        <v>2583.3164314406677</v>
      </c>
      <c r="S20" s="13">
        <f t="shared" si="75"/>
        <v>2712.8147053517705</v>
      </c>
      <c r="T20" s="13">
        <f t="shared" si="75"/>
        <v>2841.2835800145504</v>
      </c>
      <c r="U20" s="13">
        <f t="shared" si="75"/>
        <v>2968.7234322305781</v>
      </c>
      <c r="V20" s="13">
        <f t="shared" si="75"/>
        <v>3095.1348108558172</v>
      </c>
      <c r="W20" s="13">
        <f t="shared" si="75"/>
        <v>3220.5184186568317</v>
      </c>
      <c r="X20" s="13">
        <f t="shared" si="75"/>
        <v>3344.8750907238964</v>
      </c>
      <c r="Y20" s="13">
        <f t="shared" si="75"/>
        <v>3468.2057700607766</v>
      </c>
      <c r="Z20" s="13">
        <f t="shared" si="75"/>
        <v>3590.5114810256264</v>
      </c>
      <c r="AA20" s="13">
        <f t="shared" si="75"/>
        <v>3711.7933013341976</v>
      </c>
      <c r="AB20" s="13">
        <f t="shared" si="75"/>
        <v>3832.052333354939</v>
      </c>
      <c r="AC20" s="13">
        <f t="shared" si="75"/>
        <v>3951.2896754255471</v>
      </c>
      <c r="AD20" s="13">
        <f t="shared" si="75"/>
        <v>4069.5063939025799</v>
      </c>
      <c r="AE20" s="13">
        <f t="shared" si="75"/>
        <v>4186.7034966206902</v>
      </c>
      <c r="AF20" s="13">
        <f t="shared" si="75"/>
        <v>4302.8819083872449</v>
      </c>
      <c r="AG20" s="13">
        <f t="shared" si="75"/>
        <v>4418.0424490730747</v>
      </c>
      <c r="AH20" s="13">
        <f t="shared" si="75"/>
        <v>4532.1858147828862</v>
      </c>
      <c r="AI20" s="13">
        <f t="shared" si="75"/>
        <v>4645.3125625015873</v>
      </c>
      <c r="AJ20" s="13">
        <f t="shared" si="75"/>
        <v>4757.4230985178774</v>
      </c>
      <c r="AK20" s="13">
        <f t="shared" si="75"/>
        <v>4749.6397875491057</v>
      </c>
      <c r="AL20" s="13">
        <f>$AM$18*AL22</f>
        <v>4746.4982031156032</v>
      </c>
      <c r="AM20" s="13">
        <f>LCOE!AS11*1000*('Capacités installées'!B11+'Capacités installées'!B20)/1000000</f>
        <v>4747.9979304226963</v>
      </c>
    </row>
    <row r="21" spans="1:39" outlineLevel="1" x14ac:dyDescent="0.25">
      <c r="A21" t="s">
        <v>111</v>
      </c>
      <c r="B21" s="41">
        <f t="shared" ref="B21:AL21" si="76">B22-B20</f>
        <v>0</v>
      </c>
      <c r="C21" s="41">
        <f t="shared" si="76"/>
        <v>0</v>
      </c>
      <c r="D21" s="41">
        <f t="shared" si="76"/>
        <v>0</v>
      </c>
      <c r="E21" s="41">
        <f t="shared" si="76"/>
        <v>0</v>
      </c>
      <c r="F21" s="41">
        <f t="shared" si="76"/>
        <v>0</v>
      </c>
      <c r="G21" s="41">
        <f t="shared" si="76"/>
        <v>418.69345396576972</v>
      </c>
      <c r="H21" s="41">
        <f t="shared" si="76"/>
        <v>827.26319062959806</v>
      </c>
      <c r="I21" s="41">
        <f t="shared" si="76"/>
        <v>1225.7096778683667</v>
      </c>
      <c r="J21" s="41">
        <f t="shared" si="76"/>
        <v>1614.0333918063034</v>
      </c>
      <c r="K21" s="41">
        <f t="shared" si="76"/>
        <v>1992.2348004607168</v>
      </c>
      <c r="L21" s="41">
        <f t="shared" si="76"/>
        <v>2360.3143482136334</v>
      </c>
      <c r="M21" s="41">
        <f t="shared" si="76"/>
        <v>2575.0955996334633</v>
      </c>
      <c r="N21" s="41">
        <f t="shared" si="76"/>
        <v>2783.8055560542771</v>
      </c>
      <c r="O21" s="41">
        <f t="shared" si="76"/>
        <v>2986.4443722135475</v>
      </c>
      <c r="P21" s="41">
        <f t="shared" si="76"/>
        <v>3183.0121442706281</v>
      </c>
      <c r="Q21" s="41">
        <f t="shared" si="76"/>
        <v>3373.5089077073658</v>
      </c>
      <c r="R21" s="41">
        <f t="shared" si="76"/>
        <v>3557.9346369623654</v>
      </c>
      <c r="S21" s="41">
        <f t="shared" si="76"/>
        <v>3736.2892467838974</v>
      </c>
      <c r="T21" s="41">
        <f t="shared" si="76"/>
        <v>3913.2260917523527</v>
      </c>
      <c r="U21" s="41">
        <f t="shared" si="76"/>
        <v>4088.7456908267509</v>
      </c>
      <c r="V21" s="41">
        <f t="shared" si="76"/>
        <v>4262.8487999321569</v>
      </c>
      <c r="W21" s="41">
        <f t="shared" si="76"/>
        <v>4435.5363869707089</v>
      </c>
      <c r="X21" s="41">
        <f t="shared" si="76"/>
        <v>4606.8096020905587</v>
      </c>
      <c r="Y21" s="41">
        <f t="shared" si="76"/>
        <v>4776.6697440663029</v>
      </c>
      <c r="Z21" s="41">
        <f t="shared" si="76"/>
        <v>4945.1182237198273</v>
      </c>
      <c r="AA21" s="41">
        <f t="shared" si="76"/>
        <v>5112.1565253610497</v>
      </c>
      <c r="AB21" s="41">
        <f t="shared" si="76"/>
        <v>5277.7861672534073</v>
      </c>
      <c r="AC21" s="41">
        <f t="shared" si="76"/>
        <v>5442.0086621088885</v>
      </c>
      <c r="AD21" s="41">
        <f t="shared" si="76"/>
        <v>5604.8254785926893</v>
      </c>
      <c r="AE21" s="41">
        <f t="shared" si="76"/>
        <v>5766.2380047693059</v>
      </c>
      <c r="AF21" s="41">
        <f t="shared" si="76"/>
        <v>5926.2475143519086</v>
      </c>
      <c r="AG21" s="41">
        <f t="shared" si="76"/>
        <v>6084.8551365273033</v>
      </c>
      <c r="AH21" s="41">
        <f t="shared" si="76"/>
        <v>6242.0618300224232</v>
      </c>
      <c r="AI21" s="41">
        <f t="shared" si="76"/>
        <v>6397.8683619581188</v>
      </c>
      <c r="AJ21" s="41">
        <f t="shared" si="76"/>
        <v>6552.2752919052682</v>
      </c>
      <c r="AK21" s="41">
        <f t="shared" si="76"/>
        <v>6541.5555398265024</v>
      </c>
      <c r="AL21" s="41">
        <f t="shared" si="76"/>
        <v>6537.2287171675125</v>
      </c>
      <c r="AM21" s="41">
        <f>AM22-AM20</f>
        <v>6539.2942526423631</v>
      </c>
    </row>
    <row r="22" spans="1:39" outlineLevel="1" x14ac:dyDescent="0.25">
      <c r="A22" t="s">
        <v>186</v>
      </c>
      <c r="B22" s="111">
        <v>0</v>
      </c>
      <c r="C22" s="111">
        <v>0</v>
      </c>
      <c r="D22" s="111">
        <v>0</v>
      </c>
      <c r="E22" s="111">
        <v>0</v>
      </c>
      <c r="F22" s="111">
        <v>0</v>
      </c>
      <c r="G22" s="111">
        <v>722.69501378359291</v>
      </c>
      <c r="H22" s="111">
        <v>1427.9157634109904</v>
      </c>
      <c r="I22" s="111">
        <v>2115.6630564713396</v>
      </c>
      <c r="J22" s="111">
        <v>2785.9377147893006</v>
      </c>
      <c r="K22" s="111">
        <v>3438.7405461964072</v>
      </c>
      <c r="L22" s="111">
        <v>4074.0723177279974</v>
      </c>
      <c r="M22" s="111">
        <v>4444.8002046464335</v>
      </c>
      <c r="N22" s="111">
        <v>4805.0485997518526</v>
      </c>
      <c r="O22" s="111">
        <v>5154.8177701322602</v>
      </c>
      <c r="P22" s="111">
        <v>5494.107881765618</v>
      </c>
      <c r="Q22" s="111">
        <v>5822.9189958961442</v>
      </c>
      <c r="R22" s="111">
        <v>6141.2510684030331</v>
      </c>
      <c r="S22" s="111">
        <v>6449.1039521356679</v>
      </c>
      <c r="T22" s="111">
        <v>6754.509671766903</v>
      </c>
      <c r="U22" s="111">
        <v>7057.4691230573289</v>
      </c>
      <c r="V22" s="111">
        <v>7357.9836107879737</v>
      </c>
      <c r="W22" s="111">
        <v>7656.0548056275411</v>
      </c>
      <c r="X22" s="111">
        <v>7951.684692814455</v>
      </c>
      <c r="Y22" s="111">
        <v>8244.8755141270794</v>
      </c>
      <c r="Z22" s="111">
        <v>8535.6297047454536</v>
      </c>
      <c r="AA22" s="111">
        <v>8823.9498266952469</v>
      </c>
      <c r="AB22" s="111">
        <v>9109.8385006083463</v>
      </c>
      <c r="AC22" s="111">
        <v>9393.2983375344356</v>
      </c>
      <c r="AD22" s="111">
        <v>9674.3318724952696</v>
      </c>
      <c r="AE22" s="111">
        <v>9952.9415013899961</v>
      </c>
      <c r="AF22" s="111">
        <v>10229.129422739154</v>
      </c>
      <c r="AG22" s="111">
        <v>10502.897585600378</v>
      </c>
      <c r="AH22" s="111">
        <v>10774.247644805309</v>
      </c>
      <c r="AI22" s="111">
        <v>11043.180924459706</v>
      </c>
      <c r="AJ22" s="111">
        <v>11309.698390423146</v>
      </c>
      <c r="AK22" s="111">
        <v>11291.195327375608</v>
      </c>
      <c r="AL22" s="111">
        <v>11283.726920283116</v>
      </c>
      <c r="AM22" s="111">
        <v>11287.292183065059</v>
      </c>
    </row>
    <row r="23" spans="1:39" outlineLevel="1" x14ac:dyDescent="0.25"/>
    <row r="25" spans="1:39" ht="30.75" customHeight="1" x14ac:dyDescent="0.25">
      <c r="A25" s="62" t="s">
        <v>122</v>
      </c>
      <c r="B25" t="s">
        <v>30</v>
      </c>
      <c r="C25">
        <v>25</v>
      </c>
    </row>
    <row r="26" spans="1:39" outlineLevel="1" x14ac:dyDescent="0.25"/>
    <row r="27" spans="1:39" outlineLevel="1" x14ac:dyDescent="0.25">
      <c r="A27" s="3" t="s">
        <v>172</v>
      </c>
      <c r="B27" s="47">
        <v>2013</v>
      </c>
      <c r="C27" s="47">
        <v>2014</v>
      </c>
      <c r="D27" s="47">
        <v>2015</v>
      </c>
      <c r="E27" s="47">
        <v>2016</v>
      </c>
      <c r="F27" s="47">
        <v>2017</v>
      </c>
      <c r="G27" s="47">
        <v>2018</v>
      </c>
      <c r="H27" s="47">
        <v>2019</v>
      </c>
      <c r="I27" s="47">
        <v>2020</v>
      </c>
      <c r="J27" s="47">
        <v>2021</v>
      </c>
      <c r="K27" s="47">
        <v>2022</v>
      </c>
      <c r="L27" s="47">
        <v>2023</v>
      </c>
      <c r="M27" s="47">
        <v>2024</v>
      </c>
      <c r="N27" s="47">
        <v>2025</v>
      </c>
      <c r="O27" s="47">
        <v>2026</v>
      </c>
      <c r="P27" s="47">
        <v>2027</v>
      </c>
      <c r="Q27" s="47">
        <v>2028</v>
      </c>
      <c r="R27" s="47">
        <v>2029</v>
      </c>
      <c r="S27" s="47">
        <v>2030</v>
      </c>
      <c r="T27" s="47">
        <v>2031</v>
      </c>
      <c r="U27" s="47">
        <v>2032</v>
      </c>
      <c r="V27" s="47">
        <v>2033</v>
      </c>
      <c r="W27" s="47">
        <v>2034</v>
      </c>
      <c r="X27" s="47">
        <v>2035</v>
      </c>
      <c r="Y27" s="47">
        <v>2036</v>
      </c>
      <c r="Z27" s="47">
        <v>2037</v>
      </c>
      <c r="AA27" s="47">
        <v>2038</v>
      </c>
      <c r="AB27" s="47">
        <v>2039</v>
      </c>
      <c r="AC27" s="47">
        <v>2040</v>
      </c>
      <c r="AD27" s="47">
        <v>2041</v>
      </c>
      <c r="AE27" s="47">
        <v>2042</v>
      </c>
      <c r="AF27" s="47">
        <v>2043</v>
      </c>
      <c r="AG27" s="47">
        <v>2044</v>
      </c>
      <c r="AH27" s="47">
        <v>2045</v>
      </c>
      <c r="AI27" s="47">
        <v>2046</v>
      </c>
      <c r="AJ27" s="47">
        <v>2047</v>
      </c>
      <c r="AK27" s="47">
        <v>2048</v>
      </c>
      <c r="AL27" s="47">
        <v>2049</v>
      </c>
      <c r="AM27" s="47">
        <v>2050</v>
      </c>
    </row>
    <row r="28" spans="1:39" outlineLevel="1" x14ac:dyDescent="0.25">
      <c r="A28" t="s">
        <v>171</v>
      </c>
      <c r="B28" s="60">
        <f>'Linéarisation mix'!B6*1000000</f>
        <v>4600000</v>
      </c>
      <c r="C28" s="60">
        <f>'Linéarisation mix'!C6*1000000</f>
        <v>7740181.5349045563</v>
      </c>
      <c r="D28" s="60">
        <f>'Linéarisation mix'!D6*1000000</f>
        <v>10880366.291586721</v>
      </c>
      <c r="E28" s="60">
        <f>'Linéarisation mix'!E6*1000000</f>
        <v>14020555.834592961</v>
      </c>
      <c r="F28" s="60">
        <f>'Linéarisation mix'!F6*1000000</f>
        <v>17160751.682793994</v>
      </c>
      <c r="G28" s="60">
        <f>'Linéarisation mix'!G6*1000000</f>
        <v>20300955.298789512</v>
      </c>
      <c r="H28" s="60">
        <f>'Linéarisation mix'!H6*1000000</f>
        <v>23441168.078793801</v>
      </c>
      <c r="I28" s="60">
        <f>'Linéarisation mix'!I6*1000000</f>
        <v>26581391.343071543</v>
      </c>
      <c r="J28" s="60">
        <f>'Linéarisation mix'!J6*1000000</f>
        <v>29721626.326988656</v>
      </c>
      <c r="K28" s="60">
        <f>'Linéarisation mix'!K6*1000000</f>
        <v>32861874.172738068</v>
      </c>
      <c r="L28" s="60">
        <f>'Linéarisation mix'!L6*1000000</f>
        <v>36002135.92179516</v>
      </c>
      <c r="M28" s="60">
        <f>'Linéarisation mix'!M6*1000000</f>
        <v>39142412.508151725</v>
      </c>
      <c r="N28" s="60">
        <f>'Linéarisation mix'!N6*1000000</f>
        <v>42282704.752371751</v>
      </c>
      <c r="O28" s="60">
        <f>'Linéarisation mix'!O6*1000000</f>
        <v>45423013.356505617</v>
      </c>
      <c r="P28" s="60">
        <f>'Linéarisation mix'!P6*1000000</f>
        <v>48563338.899893314</v>
      </c>
      <c r="Q28" s="60">
        <f>'Linéarisation mix'!Q6*1000000</f>
        <v>51703681.835880302</v>
      </c>
      <c r="R28" s="60">
        <f>'Linéarisation mix'!R6*1000000</f>
        <v>54844042.489463203</v>
      </c>
      <c r="S28" s="60">
        <f>'Linéarisation mix'!S6*1000000</f>
        <v>57984421.055875532</v>
      </c>
      <c r="T28" s="60">
        <f>'Linéarisation mix'!T6*1000000</f>
        <v>61124817.60011676</v>
      </c>
      <c r="U28" s="60">
        <f>'Linéarisation mix'!U6*1000000</f>
        <v>64265232.057421573</v>
      </c>
      <c r="V28" s="60">
        <f>'Linéarisation mix'!V6*1000000</f>
        <v>67405664.234658852</v>
      </c>
      <c r="W28" s="60">
        <f>'Linéarisation mix'!W6*1000000</f>
        <v>70546113.81264399</v>
      </c>
      <c r="X28" s="60">
        <f>'Linéarisation mix'!X6*1000000</f>
        <v>73686580.349340975</v>
      </c>
      <c r="Y28" s="60">
        <f>'Linéarisation mix'!Y6*1000000</f>
        <v>76827063.283925101</v>
      </c>
      <c r="Z28" s="60">
        <f>'Linéarisation mix'!Z6*1000000</f>
        <v>79967561.94167085</v>
      </c>
      <c r="AA28" s="60">
        <f>'Linéarisation mix'!AA6*1000000</f>
        <v>83108075.539623663</v>
      </c>
      <c r="AB28" s="60">
        <f>'Linéarisation mix'!AB6*1000000</f>
        <v>86248603.193009347</v>
      </c>
      <c r="AC28" s="60">
        <f>'Linéarisation mix'!AC6*1000000</f>
        <v>89389143.922329798</v>
      </c>
      <c r="AD28" s="60">
        <f>'Linéarisation mix'!AD6*1000000</f>
        <v>92529696.661088765</v>
      </c>
      <c r="AE28" s="60">
        <f>'Linéarisation mix'!AE6*1000000</f>
        <v>95670260.264087856</v>
      </c>
      <c r="AF28" s="60">
        <f>'Linéarisation mix'!AF6*1000000</f>
        <v>98810833.516228944</v>
      </c>
      <c r="AG28" s="60">
        <f>'Linéarisation mix'!AG6*1000000</f>
        <v>101951415.1417558</v>
      </c>
      <c r="AH28" s="60">
        <f>'Linéarisation mix'!AH6*1000000</f>
        <v>105092003.81386581</v>
      </c>
      <c r="AI28" s="60">
        <f>'Linéarisation mix'!AI6*1000000</f>
        <v>108232598.1646194</v>
      </c>
      <c r="AJ28" s="60">
        <f>'Linéarisation mix'!AJ6*1000000</f>
        <v>111373196.79507422</v>
      </c>
      <c r="AK28" s="60">
        <f>'Linéarisation mix'!AK6*1000000</f>
        <v>114513798.28556937</v>
      </c>
      <c r="AL28" s="60">
        <f>'Linéarisation mix'!AL6*1000000</f>
        <v>117654401.20608468</v>
      </c>
      <c r="AM28" s="60">
        <f>'Linéarisation mix'!AM6*1000000</f>
        <v>120795004.1266</v>
      </c>
    </row>
    <row r="29" spans="1:39" outlineLevel="1" x14ac:dyDescent="0.25">
      <c r="A29" t="s">
        <v>185</v>
      </c>
      <c r="B29" s="60">
        <f>LCOE!B15</f>
        <v>179.46998377501353</v>
      </c>
      <c r="C29" s="60">
        <f ca="1">LCOE!C15</f>
        <v>176.21624830472561</v>
      </c>
      <c r="D29" s="60">
        <f ca="1">LCOE!D15</f>
        <v>172.96251283443769</v>
      </c>
      <c r="E29" s="60">
        <f ca="1">LCOE!E15</f>
        <v>169.7087773641498</v>
      </c>
      <c r="F29" s="60">
        <f ca="1">LCOE!F15</f>
        <v>166.4550418938619</v>
      </c>
      <c r="G29" s="60">
        <f ca="1">LCOE!G15</f>
        <v>163.20130642357404</v>
      </c>
      <c r="H29" s="60">
        <f ca="1">LCOE!H15</f>
        <v>159.94757095328617</v>
      </c>
      <c r="I29" s="60">
        <f ca="1">LCOE!I15</f>
        <v>156.69383548299834</v>
      </c>
      <c r="J29" s="60">
        <f ca="1">LCOE!J15</f>
        <v>153.44010001271053</v>
      </c>
      <c r="K29" s="60">
        <f ca="1">LCOE!K15</f>
        <v>150.18636454242272</v>
      </c>
      <c r="L29" s="60">
        <f ca="1">LCOE!L15</f>
        <v>146.93262907213494</v>
      </c>
      <c r="M29" s="60">
        <f ca="1">LCOE!M15</f>
        <v>143.67889360184719</v>
      </c>
      <c r="N29" s="60">
        <f ca="1">LCOE!N15</f>
        <v>140.42515813155944</v>
      </c>
      <c r="O29" s="60">
        <f ca="1">LCOE!O15</f>
        <v>137.17142266127172</v>
      </c>
      <c r="P29" s="60">
        <f ca="1">LCOE!P15</f>
        <v>133.91768719098403</v>
      </c>
      <c r="Q29" s="60">
        <f ca="1">LCOE!Q15</f>
        <v>130.66395172069633</v>
      </c>
      <c r="R29" s="60">
        <f ca="1">LCOE!R15</f>
        <v>127.41021625040865</v>
      </c>
      <c r="S29" s="60">
        <f>LCOE!S15</f>
        <v>124.15648078012097</v>
      </c>
      <c r="T29" s="60">
        <f ca="1">LCOE!T15</f>
        <v>121.90584978838126</v>
      </c>
      <c r="U29" s="60">
        <f ca="1">LCOE!U15</f>
        <v>119.65521879664156</v>
      </c>
      <c r="V29" s="60">
        <f ca="1">LCOE!V15</f>
        <v>117.40458780490187</v>
      </c>
      <c r="W29" s="60">
        <f ca="1">LCOE!W15</f>
        <v>115.15395681316218</v>
      </c>
      <c r="X29" s="60">
        <f ca="1">LCOE!X15</f>
        <v>112.90332582142251</v>
      </c>
      <c r="Y29" s="60">
        <f ca="1">LCOE!Y15</f>
        <v>110.65269482968284</v>
      </c>
      <c r="Z29" s="60">
        <f ca="1">LCOE!Z15</f>
        <v>108.40206383794319</v>
      </c>
      <c r="AA29" s="60">
        <f ca="1">LCOE!AA15</f>
        <v>106.15143284620353</v>
      </c>
      <c r="AB29" s="60">
        <f ca="1">LCOE!AB15</f>
        <v>103.90080185446389</v>
      </c>
      <c r="AC29" s="60">
        <f ca="1">LCOE!AC15</f>
        <v>101.65017086272425</v>
      </c>
      <c r="AD29" s="60">
        <f ca="1">LCOE!AD15</f>
        <v>99.399539870984626</v>
      </c>
      <c r="AE29" s="60">
        <f ca="1">LCOE!AE15</f>
        <v>97.148908879245013</v>
      </c>
      <c r="AF29" s="60">
        <f ca="1">LCOE!AF15</f>
        <v>94.898277887505401</v>
      </c>
      <c r="AG29" s="60">
        <f ca="1">LCOE!AG15</f>
        <v>92.647646895765803</v>
      </c>
      <c r="AH29" s="60">
        <f ca="1">LCOE!AH15</f>
        <v>90.397015904026219</v>
      </c>
      <c r="AI29" s="60">
        <f ca="1">LCOE!AI15</f>
        <v>88.146384912286635</v>
      </c>
      <c r="AJ29" s="60">
        <f ca="1">LCOE!AJ15</f>
        <v>85.895753920547065</v>
      </c>
      <c r="AK29" s="60">
        <f ca="1">LCOE!AK15</f>
        <v>83.64512292880751</v>
      </c>
      <c r="AL29" s="60">
        <f ca="1">LCOE!AL15</f>
        <v>81.394491937067954</v>
      </c>
      <c r="AM29" s="60">
        <f>LCOE!AM15</f>
        <v>79.143860945328399</v>
      </c>
    </row>
    <row r="30" spans="1:39" outlineLevel="1" x14ac:dyDescent="0.25">
      <c r="A30" t="s">
        <v>127</v>
      </c>
      <c r="B30" s="48">
        <v>0</v>
      </c>
      <c r="C30" s="64">
        <f>B30+C28-B28</f>
        <v>3140181.5349045563</v>
      </c>
      <c r="D30" s="64">
        <f t="shared" ref="D30" si="77">C30+D28-C28</f>
        <v>6280366.2915867213</v>
      </c>
      <c r="E30" s="64">
        <f t="shared" ref="E30" si="78">D30+E28-D28</f>
        <v>9420555.8345929589</v>
      </c>
      <c r="F30" s="64">
        <f t="shared" ref="F30" si="79">E30+F28-E28</f>
        <v>12560751.68279399</v>
      </c>
      <c r="G30" s="64">
        <f t="shared" ref="G30" si="80">F30+G28-F28</f>
        <v>15700955.298789509</v>
      </c>
      <c r="H30" s="64">
        <f t="shared" ref="H30" si="81">G30+H28-G28</f>
        <v>18841168.078793798</v>
      </c>
      <c r="I30" s="64">
        <f t="shared" ref="I30" si="82">H30+I28-H28</f>
        <v>21981391.343071543</v>
      </c>
      <c r="J30" s="64">
        <f t="shared" ref="J30" si="83">I30+J28-I28</f>
        <v>25121626.32698866</v>
      </c>
      <c r="K30" s="64">
        <f t="shared" ref="K30" si="84">J30+K28-J28</f>
        <v>28261874.172738072</v>
      </c>
      <c r="L30" s="64">
        <f t="shared" ref="L30" si="85">K30+L28-K28</f>
        <v>31402135.921795167</v>
      </c>
      <c r="M30" s="64">
        <f t="shared" ref="M30" si="86">L30+M28-L28</f>
        <v>34542412.50815174</v>
      </c>
      <c r="N30" s="64">
        <f t="shared" ref="N30" si="87">M30+N28-M28</f>
        <v>37682704.752371773</v>
      </c>
      <c r="O30" s="64">
        <f t="shared" ref="O30" si="88">N30+O28-N28</f>
        <v>40823013.35650564</v>
      </c>
      <c r="P30" s="64">
        <f t="shared" ref="P30" si="89">O30+P28-O28</f>
        <v>43963338.899893329</v>
      </c>
      <c r="Q30" s="64">
        <f t="shared" ref="Q30" si="90">P30+Q28-P28</f>
        <v>47103681.835880309</v>
      </c>
      <c r="R30" s="64">
        <f t="shared" ref="R30" si="91">Q30+R28-Q28</f>
        <v>50244042.489463218</v>
      </c>
      <c r="S30" s="64">
        <f t="shared" ref="S30" si="92">R30+S28-R28</f>
        <v>53384421.055875547</v>
      </c>
      <c r="T30" s="64">
        <f t="shared" ref="T30" si="93">S30+T28-S28</f>
        <v>56524817.600116767</v>
      </c>
      <c r="U30" s="64">
        <f t="shared" ref="U30" si="94">T30+U28-T28</f>
        <v>59665232.05742158</v>
      </c>
      <c r="V30" s="64">
        <f t="shared" ref="V30" si="95">U30+V28-U28</f>
        <v>62805664.23465886</v>
      </c>
      <c r="W30" s="64">
        <f t="shared" ref="W30" si="96">V30+W28-V28</f>
        <v>65946113.81264399</v>
      </c>
      <c r="X30" s="64">
        <f t="shared" ref="X30" si="97">W30+X28-W28</f>
        <v>69086580.34934099</v>
      </c>
      <c r="Y30" s="64">
        <f t="shared" ref="Y30" si="98">X30+Y28-X28</f>
        <v>72227063.283925116</v>
      </c>
      <c r="Z30" s="64">
        <f t="shared" ref="Z30" si="99">Y30+Z28-Y28</f>
        <v>75367561.94167085</v>
      </c>
      <c r="AA30" s="64">
        <f t="shared" ref="AA30" si="100">Z30+AA28-Z28</f>
        <v>78508075.539623663</v>
      </c>
      <c r="AB30" s="64">
        <f t="shared" ref="AB30" si="101">AA30+AB28-AA28</f>
        <v>81648603.193009332</v>
      </c>
      <c r="AC30" s="64">
        <f t="shared" ref="AC30" si="102">AB30+AC28-AB28</f>
        <v>84789143.922329783</v>
      </c>
      <c r="AD30" s="64">
        <f t="shared" ref="AD30" si="103">AC30+AD28-AC28</f>
        <v>87929696.66108875</v>
      </c>
      <c r="AE30" s="64">
        <f t="shared" ref="AE30" si="104">AD30+AE28-AD28</f>
        <v>91070260.264087856</v>
      </c>
      <c r="AF30" s="64">
        <f t="shared" ref="AF30" si="105">AE30+AF28-AE28</f>
        <v>94210833.516228944</v>
      </c>
      <c r="AG30" s="64">
        <f t="shared" ref="AG30" si="106">AF30+AG28-AF28</f>
        <v>97351415.14175579</v>
      </c>
      <c r="AH30" s="64">
        <f t="shared" ref="AH30" si="107">AG30+AH28-AG28</f>
        <v>100492003.8138658</v>
      </c>
      <c r="AI30" s="64">
        <f t="shared" ref="AI30" si="108">AH30+AI28-AH28</f>
        <v>103632598.16461939</v>
      </c>
      <c r="AJ30" s="64">
        <f t="shared" ref="AJ30" si="109">AI30+AJ28-AI28</f>
        <v>106773196.79507421</v>
      </c>
      <c r="AK30" s="64">
        <f t="shared" ref="AK30" si="110">AJ30+AK28-AJ28</f>
        <v>109913798.28556937</v>
      </c>
      <c r="AL30" s="64">
        <f t="shared" ref="AL30" si="111">AK30+AL28-AK28</f>
        <v>113054401.20608467</v>
      </c>
      <c r="AM30" s="64">
        <f t="shared" ref="AM30" si="112">AL30+AM28-AL28</f>
        <v>116195004.12659998</v>
      </c>
    </row>
    <row r="31" spans="1:39" outlineLevel="1" x14ac:dyDescent="0.25">
      <c r="A31" t="s">
        <v>188</v>
      </c>
      <c r="B31" s="60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9"/>
      <c r="N31" s="42"/>
      <c r="O31" s="42"/>
      <c r="P31" s="42"/>
      <c r="Q31" s="42"/>
      <c r="R31" s="42"/>
      <c r="S31" s="43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9"/>
      <c r="AF31" s="49"/>
      <c r="AG31" s="49"/>
      <c r="AH31" s="49"/>
      <c r="AI31" s="49"/>
      <c r="AJ31" s="49"/>
      <c r="AK31" s="49"/>
      <c r="AL31" s="42"/>
      <c r="AM31" s="104">
        <f>AM33/AM35</f>
        <v>0.11988030735611016</v>
      </c>
    </row>
    <row r="32" spans="1:39" outlineLevel="1" x14ac:dyDescent="0.25">
      <c r="A32" t="s">
        <v>206</v>
      </c>
      <c r="B32" s="58">
        <v>25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outlineLevel="1" x14ac:dyDescent="0.25">
      <c r="A33" t="s">
        <v>107</v>
      </c>
      <c r="B33" s="13">
        <f t="shared" ref="B33:AK33" si="113">$AM$31*B35</f>
        <v>98.968617354265746</v>
      </c>
      <c r="C33" s="13">
        <f t="shared" si="113"/>
        <v>165.23273557747339</v>
      </c>
      <c r="D33" s="13">
        <f t="shared" si="113"/>
        <v>230.20029431573531</v>
      </c>
      <c r="E33" s="13">
        <f t="shared" si="113"/>
        <v>293.87132288597775</v>
      </c>
      <c r="F33" s="13">
        <f t="shared" si="113"/>
        <v>356.24584786288665</v>
      </c>
      <c r="G33" s="13">
        <f t="shared" si="113"/>
        <v>417.32389294287987</v>
      </c>
      <c r="H33" s="13">
        <f t="shared" si="113"/>
        <v>477.10547883796414</v>
      </c>
      <c r="I33" s="13">
        <f t="shared" si="113"/>
        <v>535.59062319965358</v>
      </c>
      <c r="J33" s="13">
        <f t="shared" si="113"/>
        <v>592.77934057285427</v>
      </c>
      <c r="K33" s="13">
        <f t="shared" si="113"/>
        <v>648.6716423793531</v>
      </c>
      <c r="L33" s="13">
        <f t="shared" si="113"/>
        <v>703.26753693029821</v>
      </c>
      <c r="M33" s="13">
        <f t="shared" si="113"/>
        <v>756.56702946680059</v>
      </c>
      <c r="N33" s="13">
        <f t="shared" si="113"/>
        <v>808.57012222756964</v>
      </c>
      <c r="O33" s="13">
        <f t="shared" si="113"/>
        <v>859.27681454225342</v>
      </c>
      <c r="P33" s="13">
        <f t="shared" si="113"/>
        <v>908.68710294897335</v>
      </c>
      <c r="Q33" s="13">
        <f t="shared" si="113"/>
        <v>956.80098133433808</v>
      </c>
      <c r="R33" s="13">
        <f t="shared" si="113"/>
        <v>1003.6184410940652</v>
      </c>
      <c r="S33" s="13">
        <f t="shared" si="113"/>
        <v>1049.1394713121854</v>
      </c>
      <c r="T33" s="13">
        <f t="shared" si="113"/>
        <v>1093.7638258612817</v>
      </c>
      <c r="U33" s="13">
        <f t="shared" si="113"/>
        <v>1137.4914941113609</v>
      </c>
      <c r="V33" s="13">
        <f t="shared" si="113"/>
        <v>1180.322463678207</v>
      </c>
      <c r="W33" s="13">
        <f t="shared" si="113"/>
        <v>1222.2567205938317</v>
      </c>
      <c r="X33" s="13">
        <f t="shared" si="113"/>
        <v>1263.2942494858519</v>
      </c>
      <c r="Y33" s="13">
        <f t="shared" si="113"/>
        <v>1303.4350337639589</v>
      </c>
      <c r="Z33" s="13">
        <f t="shared" si="113"/>
        <v>1342.6790558116329</v>
      </c>
      <c r="AA33" s="13">
        <f t="shared" si="113"/>
        <v>1381.0262971812374</v>
      </c>
      <c r="AB33" s="13">
        <f t="shared" si="113"/>
        <v>1391.3256542862348</v>
      </c>
      <c r="AC33" s="13">
        <f t="shared" si="113"/>
        <v>1401.1775499845576</v>
      </c>
      <c r="AD33" s="13">
        <f t="shared" si="113"/>
        <v>1410.581952100089</v>
      </c>
      <c r="AE33" s="13">
        <f t="shared" si="113"/>
        <v>1419.5388293472645</v>
      </c>
      <c r="AF33" s="13">
        <f t="shared" si="113"/>
        <v>1428.0481515809217</v>
      </c>
      <c r="AG33" s="13">
        <f t="shared" si="113"/>
        <v>1436.1098900289096</v>
      </c>
      <c r="AH33" s="13">
        <f t="shared" si="113"/>
        <v>1443.7240175057846</v>
      </c>
      <c r="AI33" s="13">
        <f t="shared" si="113"/>
        <v>1450.8905086061247</v>
      </c>
      <c r="AJ33" s="13">
        <f t="shared" si="113"/>
        <v>1457.609339876208</v>
      </c>
      <c r="AK33" s="13">
        <f t="shared" si="113"/>
        <v>1463.8804899630143</v>
      </c>
      <c r="AL33" s="13">
        <f>$AM$31*AL35</f>
        <v>1469.7039397397402</v>
      </c>
      <c r="AM33" s="13">
        <f>LCOE!AS15*1000*('Capacités installées'!B7+'Capacités installées'!B8+'Capacités installées'!B22)/1000000</f>
        <v>1475.0796724072327</v>
      </c>
    </row>
    <row r="34" spans="1:39" outlineLevel="1" x14ac:dyDescent="0.25">
      <c r="A34" t="s">
        <v>111</v>
      </c>
      <c r="B34" s="41">
        <f>B35-B33</f>
        <v>726.59330801079659</v>
      </c>
      <c r="C34" s="41">
        <f t="shared" ref="C34:AM34" si="114">C35-C33</f>
        <v>1213.0815115377068</v>
      </c>
      <c r="D34" s="41">
        <f t="shared" si="114"/>
        <v>1690.0508244265145</v>
      </c>
      <c r="E34" s="41">
        <f t="shared" si="114"/>
        <v>2157.501461911937</v>
      </c>
      <c r="F34" s="41">
        <f t="shared" si="114"/>
        <v>2615.4336190961139</v>
      </c>
      <c r="G34" s="41">
        <f t="shared" si="114"/>
        <v>3063.8474699499375</v>
      </c>
      <c r="H34" s="41">
        <f t="shared" si="114"/>
        <v>3502.7431665337863</v>
      </c>
      <c r="I34" s="41">
        <f t="shared" si="114"/>
        <v>3932.1208384389633</v>
      </c>
      <c r="J34" s="41">
        <f t="shared" si="114"/>
        <v>4351.9805924491311</v>
      </c>
      <c r="K34" s="41">
        <f t="shared" si="114"/>
        <v>4762.3225124190922</v>
      </c>
      <c r="L34" s="41">
        <f t="shared" si="114"/>
        <v>5163.1466593664172</v>
      </c>
      <c r="M34" s="41">
        <f t="shared" si="114"/>
        <v>5554.4530717695288</v>
      </c>
      <c r="N34" s="41">
        <f t="shared" si="114"/>
        <v>5936.241766064255</v>
      </c>
      <c r="O34" s="41">
        <f t="shared" si="114"/>
        <v>6308.5127373291043</v>
      </c>
      <c r="P34" s="41">
        <f t="shared" si="114"/>
        <v>6671.2659601481628</v>
      </c>
      <c r="Q34" s="41">
        <f t="shared" si="114"/>
        <v>7024.5013896390301</v>
      </c>
      <c r="R34" s="41">
        <f t="shared" si="114"/>
        <v>7368.2189626320442</v>
      </c>
      <c r="S34" s="41">
        <f t="shared" si="114"/>
        <v>7702.4185989859388</v>
      </c>
      <c r="T34" s="41">
        <f t="shared" si="114"/>
        <v>8030.0351531670613</v>
      </c>
      <c r="U34" s="41">
        <f t="shared" si="114"/>
        <v>8351.0685471336819</v>
      </c>
      <c r="V34" s="41">
        <f t="shared" si="114"/>
        <v>8665.5186899651762</v>
      </c>
      <c r="W34" s="41">
        <f t="shared" si="114"/>
        <v>8973.3854791134127</v>
      </c>
      <c r="X34" s="41">
        <f t="shared" si="114"/>
        <v>9274.6688017196811</v>
      </c>
      <c r="Y34" s="41">
        <f t="shared" si="114"/>
        <v>9569.3685359836818</v>
      </c>
      <c r="Z34" s="41">
        <f t="shared" si="114"/>
        <v>9857.4845525710243</v>
      </c>
      <c r="AA34" s="41">
        <f t="shared" si="114"/>
        <v>10139.016716045557</v>
      </c>
      <c r="AB34" s="41">
        <f t="shared" si="114"/>
        <v>10214.631028434271</v>
      </c>
      <c r="AC34" s="41">
        <f t="shared" si="114"/>
        <v>10286.960234166203</v>
      </c>
      <c r="AD34" s="41">
        <f t="shared" si="114"/>
        <v>10356.004097015453</v>
      </c>
      <c r="AE34" s="41">
        <f t="shared" si="114"/>
        <v>10421.762387294239</v>
      </c>
      <c r="AF34" s="41">
        <f t="shared" si="114"/>
        <v>10484.234883687221</v>
      </c>
      <c r="AG34" s="41">
        <f t="shared" si="114"/>
        <v>10543.421374959233</v>
      </c>
      <c r="AH34" s="41">
        <f t="shared" si="114"/>
        <v>10599.321661524164</v>
      </c>
      <c r="AI34" s="41">
        <f t="shared" si="114"/>
        <v>10651.935556864208</v>
      </c>
      <c r="AJ34" s="41">
        <f t="shared" si="114"/>
        <v>10701.262888790257</v>
      </c>
      <c r="AK34" s="41">
        <f t="shared" si="114"/>
        <v>10747.30350053584</v>
      </c>
      <c r="AL34" s="41">
        <f t="shared" si="114"/>
        <v>10790.057251678585</v>
      </c>
      <c r="AM34" s="41">
        <f t="shared" si="114"/>
        <v>10829.524018884935</v>
      </c>
    </row>
    <row r="35" spans="1:39" outlineLevel="1" x14ac:dyDescent="0.25">
      <c r="A35" t="s">
        <v>186</v>
      </c>
      <c r="B35" s="111">
        <v>825.56192536506228</v>
      </c>
      <c r="C35" s="111">
        <v>1378.3142471151803</v>
      </c>
      <c r="D35" s="111">
        <v>1920.2511187422499</v>
      </c>
      <c r="E35" s="111">
        <v>2451.3727847979148</v>
      </c>
      <c r="F35" s="111">
        <v>2971.6794669590008</v>
      </c>
      <c r="G35" s="111">
        <v>3481.1713628928173</v>
      </c>
      <c r="H35" s="111">
        <v>3979.8486453717505</v>
      </c>
      <c r="I35" s="111">
        <v>4467.711461638617</v>
      </c>
      <c r="J35" s="111">
        <v>4944.7599330219855</v>
      </c>
      <c r="K35" s="111">
        <v>5410.9941547984454</v>
      </c>
      <c r="L35" s="111">
        <v>5866.4141962967151</v>
      </c>
      <c r="M35" s="111">
        <v>6311.0201012363295</v>
      </c>
      <c r="N35" s="111">
        <v>6744.8118882918243</v>
      </c>
      <c r="O35" s="111">
        <v>7167.7895518713576</v>
      </c>
      <c r="P35" s="111">
        <v>7579.9530630971358</v>
      </c>
      <c r="Q35" s="111">
        <v>7981.3023709733679</v>
      </c>
      <c r="R35" s="111">
        <v>8371.8374037261092</v>
      </c>
      <c r="S35" s="111">
        <v>8751.5580702981242</v>
      </c>
      <c r="T35" s="111">
        <v>9123.7989790283427</v>
      </c>
      <c r="U35" s="111">
        <v>9488.5600412450422</v>
      </c>
      <c r="V35" s="111">
        <v>9845.8411536433832</v>
      </c>
      <c r="W35" s="111">
        <v>10195.642199707245</v>
      </c>
      <c r="X35" s="111">
        <v>10537.963051205534</v>
      </c>
      <c r="Y35" s="111">
        <v>10872.803569747641</v>
      </c>
      <c r="Z35" s="111">
        <v>11200.163608382658</v>
      </c>
      <c r="AA35" s="111">
        <v>11520.043013226794</v>
      </c>
      <c r="AB35" s="111">
        <v>11605.956682720505</v>
      </c>
      <c r="AC35" s="111">
        <v>11688.13778415076</v>
      </c>
      <c r="AD35" s="111">
        <v>11766.586049115542</v>
      </c>
      <c r="AE35" s="111">
        <v>11841.301216641503</v>
      </c>
      <c r="AF35" s="111">
        <v>11912.283035268143</v>
      </c>
      <c r="AG35" s="111">
        <v>11979.531264988142</v>
      </c>
      <c r="AH35" s="111">
        <v>12043.045679029949</v>
      </c>
      <c r="AI35" s="111">
        <v>12102.826065470332</v>
      </c>
      <c r="AJ35" s="111">
        <v>12158.872228666465</v>
      </c>
      <c r="AK35" s="111">
        <v>12211.183990498854</v>
      </c>
      <c r="AL35" s="111">
        <v>12259.761191418325</v>
      </c>
      <c r="AM35" s="111">
        <v>12304.603691292168</v>
      </c>
    </row>
    <row r="36" spans="1:39" outlineLevel="1" x14ac:dyDescent="0.25"/>
    <row r="38" spans="1:39" ht="23.25" x14ac:dyDescent="0.25">
      <c r="A38" s="62" t="s">
        <v>124</v>
      </c>
    </row>
    <row r="40" spans="1:39" outlineLevel="1" x14ac:dyDescent="0.25">
      <c r="A40" s="3" t="s">
        <v>125</v>
      </c>
      <c r="B40" s="47">
        <v>2013</v>
      </c>
      <c r="C40" s="47">
        <v>2014</v>
      </c>
      <c r="D40" s="47">
        <v>2015</v>
      </c>
      <c r="E40" s="47">
        <v>2016</v>
      </c>
      <c r="F40" s="47">
        <v>2017</v>
      </c>
      <c r="G40" s="47">
        <v>2018</v>
      </c>
      <c r="H40" s="47">
        <v>2019</v>
      </c>
      <c r="I40" s="47">
        <v>2020</v>
      </c>
      <c r="J40" s="47">
        <v>2021</v>
      </c>
      <c r="K40" s="47">
        <v>2022</v>
      </c>
      <c r="L40" s="47">
        <v>2023</v>
      </c>
      <c r="M40" s="47">
        <v>2024</v>
      </c>
      <c r="N40" s="47">
        <v>2025</v>
      </c>
      <c r="O40" s="47">
        <v>2026</v>
      </c>
      <c r="P40" s="47">
        <v>2027</v>
      </c>
      <c r="Q40" s="47">
        <v>2028</v>
      </c>
      <c r="R40" s="47">
        <v>2029</v>
      </c>
      <c r="S40" s="47">
        <v>2030</v>
      </c>
      <c r="T40" s="47">
        <v>2031</v>
      </c>
      <c r="U40" s="47">
        <v>2032</v>
      </c>
      <c r="V40" s="47">
        <v>2033</v>
      </c>
      <c r="W40" s="47">
        <v>2034</v>
      </c>
      <c r="X40" s="47">
        <v>2035</v>
      </c>
      <c r="Y40" s="47">
        <v>2036</v>
      </c>
      <c r="Z40" s="47">
        <v>2037</v>
      </c>
      <c r="AA40" s="47">
        <v>2038</v>
      </c>
      <c r="AB40" s="47">
        <v>2039</v>
      </c>
      <c r="AC40" s="47">
        <v>2040</v>
      </c>
      <c r="AD40" s="47">
        <v>2041</v>
      </c>
      <c r="AE40" s="47">
        <v>2042</v>
      </c>
      <c r="AF40" s="47">
        <v>2043</v>
      </c>
      <c r="AG40" s="47">
        <v>2044</v>
      </c>
      <c r="AH40" s="47">
        <v>2045</v>
      </c>
      <c r="AI40" s="47">
        <v>2046</v>
      </c>
      <c r="AJ40" s="47">
        <v>2047</v>
      </c>
      <c r="AK40" s="47">
        <v>2048</v>
      </c>
      <c r="AL40" s="47">
        <v>2049</v>
      </c>
      <c r="AM40" s="47">
        <v>2050</v>
      </c>
    </row>
    <row r="41" spans="1:39" outlineLevel="1" x14ac:dyDescent="0.25">
      <c r="A41" t="s">
        <v>171</v>
      </c>
      <c r="B41" s="60">
        <f>'Linéarisation mix'!B9*1000000</f>
        <v>1704132.2700000003</v>
      </c>
      <c r="C41" s="60">
        <f>'Linéarisation mix'!C9*1000000</f>
        <v>2287894.7406766671</v>
      </c>
      <c r="D41" s="60">
        <f>'Linéarisation mix'!D9*1000000</f>
        <v>2871657.257422721</v>
      </c>
      <c r="E41" s="60">
        <f>'Linéarisation mix'!E9*1000000</f>
        <v>3455419.8426101888</v>
      </c>
      <c r="F41" s="60">
        <f>'Linéarisation mix'!F9*1000000</f>
        <v>4039182.517957963</v>
      </c>
      <c r="G41" s="60">
        <f>'Linéarisation mix'!G9*1000000</f>
        <v>4622945.3043802977</v>
      </c>
      <c r="H41" s="60">
        <f>'Linéarisation mix'!H9*1000000</f>
        <v>5206708.2218421753</v>
      </c>
      <c r="I41" s="60">
        <f>'Linéarisation mix'!I9*1000000</f>
        <v>5790471.2892225487</v>
      </c>
      <c r="J41" s="60">
        <f>'Linéarisation mix'!J9*1000000</f>
        <v>6374234.524186369</v>
      </c>
      <c r="K41" s="60">
        <f>'Linéarisation mix'!K9*1000000</f>
        <v>6957997.9430662766</v>
      </c>
      <c r="L41" s="60">
        <f>'Linéarisation mix'!L9*1000000</f>
        <v>7541761.5607547108</v>
      </c>
      <c r="M41" s="60">
        <f>'Linéarisation mix'!M9*1000000</f>
        <v>8125525.390607168</v>
      </c>
      <c r="N41" s="60">
        <f>'Linéarisation mix'!N9*1000000</f>
        <v>8709289.4443571903</v>
      </c>
      <c r="O41" s="60">
        <f>'Linéarisation mix'!O9*1000000</f>
        <v>9293053.7320436593</v>
      </c>
      <c r="P41" s="60">
        <f>'Linéarisation mix'!P9*1000000</f>
        <v>9876818.2619507704</v>
      </c>
      <c r="Q41" s="60">
        <f>'Linéarisation mix'!Q9*1000000</f>
        <v>10460583.040561076</v>
      </c>
      <c r="R41" s="60">
        <f>'Linéarisation mix'!R9*1000000</f>
        <v>11044348.072521824</v>
      </c>
      <c r="S41" s="60">
        <f>'Linéarisation mix'!S9*1000000</f>
        <v>11628113.360624731</v>
      </c>
      <c r="T41" s="60">
        <f>'Linéarisation mix'!T9*1000000</f>
        <v>12211878.905799247</v>
      </c>
      <c r="U41" s="60">
        <f>'Linéarisation mix'!U9*1000000</f>
        <v>12795644.707119271</v>
      </c>
      <c r="V41" s="60">
        <f>'Linéarisation mix'!V9*1000000</f>
        <v>13379410.761823149</v>
      </c>
      <c r="W41" s="60">
        <f>'Linéarisation mix'!W9*1000000</f>
        <v>13963177.06534674</v>
      </c>
      <c r="X41" s="60">
        <f>'Linéarisation mix'!X9*1000000</f>
        <v>14546943.611369209</v>
      </c>
      <c r="Y41" s="60">
        <f>'Linéarisation mix'!Y9*1000000</f>
        <v>15130710.391871123</v>
      </c>
      <c r="Z41" s="60">
        <f>'Linéarisation mix'!Z9*1000000</f>
        <v>15714477.397204325</v>
      </c>
      <c r="AA41" s="60">
        <f>'Linéarisation mix'!AA9*1000000</f>
        <v>16298244.616173061</v>
      </c>
      <c r="AB41" s="60">
        <f>'Linéarisation mix'!AB9*1000000</f>
        <v>16882012.036125615</v>
      </c>
      <c r="AC41" s="60">
        <f>'Linéarisation mix'!AC9*1000000</f>
        <v>17465779.643055789</v>
      </c>
      <c r="AD41" s="60">
        <f>'Linéarisation mix'!AD9*1000000</f>
        <v>18049547.421713356</v>
      </c>
      <c r="AE41" s="60">
        <f>'Linéarisation mix'!AE9*1000000</f>
        <v>18633315.355722699</v>
      </c>
      <c r="AF41" s="60">
        <f>'Linéarisation mix'!AF9*1000000</f>
        <v>19217083.427708689</v>
      </c>
      <c r="AG41" s="60">
        <f>'Linéarisation mix'!AG9*1000000</f>
        <v>19800851.619428813</v>
      </c>
      <c r="AH41" s="60">
        <f>'Linéarisation mix'!AH9*1000000</f>
        <v>20384619.911910631</v>
      </c>
      <c r="AI41" s="60">
        <f>'Linéarisation mix'!AI9*1000000</f>
        <v>20968388.285593461</v>
      </c>
      <c r="AJ41" s="60">
        <f>'Linéarisation mix'!AJ9*1000000</f>
        <v>21552156.720473327</v>
      </c>
      <c r="AK41" s="60">
        <f>'Linéarisation mix'!AK9*1000000</f>
        <v>22135925.196249962</v>
      </c>
      <c r="AL41" s="60">
        <f>'Linéarisation mix'!AL9*1000000</f>
        <v>22719693.692474984</v>
      </c>
      <c r="AM41" s="60">
        <f>'Linéarisation mix'!AM9*1000000</f>
        <v>23303462.188700002</v>
      </c>
    </row>
    <row r="42" spans="1:39" outlineLevel="1" x14ac:dyDescent="0.25">
      <c r="A42" t="s">
        <v>185</v>
      </c>
      <c r="B42" s="60">
        <f>LCOE!B3</f>
        <v>70</v>
      </c>
      <c r="C42" s="60">
        <f>LCOE!C3</f>
        <v>70</v>
      </c>
      <c r="D42" s="60">
        <f>LCOE!D3</f>
        <v>70</v>
      </c>
      <c r="E42" s="60">
        <f>LCOE!E3</f>
        <v>70</v>
      </c>
      <c r="F42" s="60">
        <f>LCOE!F3</f>
        <v>70</v>
      </c>
      <c r="G42" s="60">
        <f>LCOE!G3</f>
        <v>70</v>
      </c>
      <c r="H42" s="60">
        <f>LCOE!H3</f>
        <v>70</v>
      </c>
      <c r="I42" s="60">
        <f>LCOE!I3</f>
        <v>70</v>
      </c>
      <c r="J42" s="60">
        <f>LCOE!J3</f>
        <v>70</v>
      </c>
      <c r="K42" s="60">
        <f>LCOE!K3</f>
        <v>70</v>
      </c>
      <c r="L42" s="60">
        <f>LCOE!L3</f>
        <v>70</v>
      </c>
      <c r="M42" s="60">
        <f>LCOE!M3</f>
        <v>70</v>
      </c>
      <c r="N42" s="60">
        <f>LCOE!N3</f>
        <v>70</v>
      </c>
      <c r="O42" s="60">
        <f>LCOE!O3</f>
        <v>70</v>
      </c>
      <c r="P42" s="60">
        <f>LCOE!P3</f>
        <v>70</v>
      </c>
      <c r="Q42" s="60">
        <f>LCOE!Q3</f>
        <v>70</v>
      </c>
      <c r="R42" s="60">
        <f>LCOE!R3</f>
        <v>70</v>
      </c>
      <c r="S42" s="60">
        <f>LCOE!S3</f>
        <v>70</v>
      </c>
      <c r="T42" s="60">
        <f>LCOE!T3</f>
        <v>70</v>
      </c>
      <c r="U42" s="60">
        <f>LCOE!U3</f>
        <v>70</v>
      </c>
      <c r="V42" s="60">
        <f>LCOE!V3</f>
        <v>70</v>
      </c>
      <c r="W42" s="60">
        <f>LCOE!W3</f>
        <v>70</v>
      </c>
      <c r="X42" s="60">
        <f>LCOE!X3</f>
        <v>70</v>
      </c>
      <c r="Y42" s="60">
        <f>LCOE!Y3</f>
        <v>70</v>
      </c>
      <c r="Z42" s="60">
        <f>LCOE!Z3</f>
        <v>70</v>
      </c>
      <c r="AA42" s="60">
        <f>LCOE!AA3</f>
        <v>70</v>
      </c>
      <c r="AB42" s="60">
        <f>LCOE!AB3</f>
        <v>70</v>
      </c>
      <c r="AC42" s="60">
        <f>LCOE!AC3</f>
        <v>70</v>
      </c>
      <c r="AD42" s="60">
        <f>LCOE!AD3</f>
        <v>70</v>
      </c>
      <c r="AE42" s="60">
        <f>LCOE!AE3</f>
        <v>70</v>
      </c>
      <c r="AF42" s="60">
        <f>LCOE!AF3</f>
        <v>70</v>
      </c>
      <c r="AG42" s="60">
        <f>LCOE!AG3</f>
        <v>70</v>
      </c>
      <c r="AH42" s="60">
        <f>LCOE!AH3</f>
        <v>70</v>
      </c>
      <c r="AI42" s="60">
        <f>LCOE!AI3</f>
        <v>70</v>
      </c>
      <c r="AJ42" s="60">
        <f>LCOE!AJ3</f>
        <v>70</v>
      </c>
      <c r="AK42" s="60">
        <f>LCOE!AK3</f>
        <v>70</v>
      </c>
      <c r="AL42" s="60">
        <f>LCOE!AL3</f>
        <v>70</v>
      </c>
      <c r="AM42" s="60">
        <f>LCOE!AM3</f>
        <v>70</v>
      </c>
    </row>
    <row r="43" spans="1:39" outlineLevel="1" x14ac:dyDescent="0.25">
      <c r="A43" t="s">
        <v>127</v>
      </c>
      <c r="B43" s="48">
        <v>0</v>
      </c>
      <c r="C43" s="64">
        <f>B43+C41-B41</f>
        <v>583762.47067666682</v>
      </c>
      <c r="D43" s="64">
        <f t="shared" ref="D43:AM43" si="115">C43+D41-C41</f>
        <v>1167524.987422721</v>
      </c>
      <c r="E43" s="64">
        <f t="shared" si="115"/>
        <v>1751287.5726101883</v>
      </c>
      <c r="F43" s="64">
        <f t="shared" si="115"/>
        <v>2335050.2479579626</v>
      </c>
      <c r="G43" s="64">
        <f t="shared" si="115"/>
        <v>2918813.0343802972</v>
      </c>
      <c r="H43" s="64">
        <f t="shared" si="115"/>
        <v>3502575.9518421749</v>
      </c>
      <c r="I43" s="64">
        <f t="shared" si="115"/>
        <v>4086339.0192225482</v>
      </c>
      <c r="J43" s="64">
        <f t="shared" si="115"/>
        <v>4670102.2541863685</v>
      </c>
      <c r="K43" s="64">
        <f t="shared" si="115"/>
        <v>5253865.6730662771</v>
      </c>
      <c r="L43" s="64">
        <f t="shared" si="115"/>
        <v>5837629.2907547113</v>
      </c>
      <c r="M43" s="64">
        <f t="shared" si="115"/>
        <v>6421393.1206071693</v>
      </c>
      <c r="N43" s="64">
        <f t="shared" si="115"/>
        <v>7005157.1743571917</v>
      </c>
      <c r="O43" s="64">
        <f t="shared" si="115"/>
        <v>7588921.4620436616</v>
      </c>
      <c r="P43" s="64">
        <f t="shared" si="115"/>
        <v>8172685.9919507746</v>
      </c>
      <c r="Q43" s="64">
        <f t="shared" si="115"/>
        <v>8756450.7705610823</v>
      </c>
      <c r="R43" s="64">
        <f t="shared" si="115"/>
        <v>9340215.8025218286</v>
      </c>
      <c r="S43" s="64">
        <f t="shared" si="115"/>
        <v>9923981.0906247348</v>
      </c>
      <c r="T43" s="64">
        <f t="shared" si="115"/>
        <v>10507746.635799251</v>
      </c>
      <c r="U43" s="64">
        <f t="shared" si="115"/>
        <v>11091512.437119275</v>
      </c>
      <c r="V43" s="64">
        <f t="shared" si="115"/>
        <v>11675278.491823152</v>
      </c>
      <c r="W43" s="64">
        <f t="shared" si="115"/>
        <v>12259044.795346742</v>
      </c>
      <c r="X43" s="64">
        <f t="shared" si="115"/>
        <v>12842811.341369212</v>
      </c>
      <c r="Y43" s="64">
        <f t="shared" si="115"/>
        <v>13426578.121871127</v>
      </c>
      <c r="Z43" s="64">
        <f t="shared" si="115"/>
        <v>14010345.127204331</v>
      </c>
      <c r="AA43" s="64">
        <f t="shared" si="115"/>
        <v>14594112.346173067</v>
      </c>
      <c r="AB43" s="64">
        <f t="shared" si="115"/>
        <v>15177879.766125621</v>
      </c>
      <c r="AC43" s="64">
        <f t="shared" si="115"/>
        <v>15761647.373055793</v>
      </c>
      <c r="AD43" s="64">
        <f t="shared" si="115"/>
        <v>16345415.151713364</v>
      </c>
      <c r="AE43" s="64">
        <f t="shared" si="115"/>
        <v>16929183.085722711</v>
      </c>
      <c r="AF43" s="64">
        <f t="shared" si="115"/>
        <v>17512951.157708701</v>
      </c>
      <c r="AG43" s="64">
        <f t="shared" si="115"/>
        <v>18096719.349428829</v>
      </c>
      <c r="AH43" s="64">
        <f t="shared" si="115"/>
        <v>18680487.641910642</v>
      </c>
      <c r="AI43" s="64">
        <f t="shared" si="115"/>
        <v>19264256.015593477</v>
      </c>
      <c r="AJ43" s="64">
        <f t="shared" si="115"/>
        <v>19848024.450473342</v>
      </c>
      <c r="AK43" s="64">
        <f t="shared" si="115"/>
        <v>20431792.926249973</v>
      </c>
      <c r="AL43" s="64">
        <f t="shared" si="115"/>
        <v>21015561.422474995</v>
      </c>
      <c r="AM43" s="64">
        <f t="shared" si="115"/>
        <v>21599329.918700017</v>
      </c>
    </row>
    <row r="44" spans="1:39" outlineLevel="1" x14ac:dyDescent="0.25">
      <c r="A44" t="s">
        <v>188</v>
      </c>
      <c r="B44" s="48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9"/>
      <c r="N44" s="42"/>
      <c r="O44" s="42"/>
      <c r="P44" s="42"/>
      <c r="Q44" s="42"/>
      <c r="R44" s="42"/>
      <c r="S44" s="43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9"/>
      <c r="AF44" s="49"/>
      <c r="AG44" s="49"/>
      <c r="AH44" s="49"/>
      <c r="AI44" s="49"/>
      <c r="AJ44" s="49"/>
      <c r="AK44" s="49"/>
      <c r="AL44" s="42"/>
      <c r="AM44" s="104">
        <f>AM47/AM49</f>
        <v>0.19787236221693572</v>
      </c>
    </row>
    <row r="45" spans="1:39" outlineLevel="1" x14ac:dyDescent="0.25">
      <c r="A45" t="s">
        <v>143</v>
      </c>
      <c r="B45" s="13">
        <f>$AM$45</f>
        <v>16</v>
      </c>
      <c r="C45" s="13">
        <f t="shared" ref="C45:AL45" si="116">$AM$45</f>
        <v>16</v>
      </c>
      <c r="D45" s="13">
        <f t="shared" si="116"/>
        <v>16</v>
      </c>
      <c r="E45" s="13">
        <f t="shared" si="116"/>
        <v>16</v>
      </c>
      <c r="F45" s="13">
        <f t="shared" si="116"/>
        <v>16</v>
      </c>
      <c r="G45" s="13">
        <f t="shared" si="116"/>
        <v>16</v>
      </c>
      <c r="H45" s="13">
        <f t="shared" si="116"/>
        <v>16</v>
      </c>
      <c r="I45" s="13">
        <f t="shared" si="116"/>
        <v>16</v>
      </c>
      <c r="J45" s="13">
        <f t="shared" si="116"/>
        <v>16</v>
      </c>
      <c r="K45" s="13">
        <f t="shared" si="116"/>
        <v>16</v>
      </c>
      <c r="L45" s="13">
        <f t="shared" si="116"/>
        <v>16</v>
      </c>
      <c r="M45" s="13">
        <f t="shared" si="116"/>
        <v>16</v>
      </c>
      <c r="N45" s="13">
        <f t="shared" si="116"/>
        <v>16</v>
      </c>
      <c r="O45" s="13">
        <f t="shared" si="116"/>
        <v>16</v>
      </c>
      <c r="P45" s="13">
        <f t="shared" si="116"/>
        <v>16</v>
      </c>
      <c r="Q45" s="13">
        <f t="shared" si="116"/>
        <v>16</v>
      </c>
      <c r="R45" s="13">
        <f t="shared" si="116"/>
        <v>16</v>
      </c>
      <c r="S45" s="13">
        <f t="shared" si="116"/>
        <v>16</v>
      </c>
      <c r="T45" s="13">
        <f t="shared" si="116"/>
        <v>16</v>
      </c>
      <c r="U45" s="13">
        <f t="shared" si="116"/>
        <v>16</v>
      </c>
      <c r="V45" s="13">
        <f t="shared" si="116"/>
        <v>16</v>
      </c>
      <c r="W45" s="13">
        <f t="shared" si="116"/>
        <v>16</v>
      </c>
      <c r="X45" s="13">
        <f t="shared" si="116"/>
        <v>16</v>
      </c>
      <c r="Y45" s="13">
        <f t="shared" si="116"/>
        <v>16</v>
      </c>
      <c r="Z45" s="13">
        <f t="shared" si="116"/>
        <v>16</v>
      </c>
      <c r="AA45" s="13">
        <f t="shared" si="116"/>
        <v>16</v>
      </c>
      <c r="AB45" s="13">
        <f t="shared" si="116"/>
        <v>16</v>
      </c>
      <c r="AC45" s="13">
        <f t="shared" si="116"/>
        <v>16</v>
      </c>
      <c r="AD45" s="13">
        <f t="shared" si="116"/>
        <v>16</v>
      </c>
      <c r="AE45" s="13">
        <f t="shared" si="116"/>
        <v>16</v>
      </c>
      <c r="AF45" s="13">
        <f t="shared" si="116"/>
        <v>16</v>
      </c>
      <c r="AG45" s="13">
        <f t="shared" si="116"/>
        <v>16</v>
      </c>
      <c r="AH45" s="13">
        <f t="shared" si="116"/>
        <v>16</v>
      </c>
      <c r="AI45" s="13">
        <f t="shared" si="116"/>
        <v>16</v>
      </c>
      <c r="AJ45" s="13">
        <f t="shared" si="116"/>
        <v>16</v>
      </c>
      <c r="AK45" s="13">
        <f t="shared" si="116"/>
        <v>16</v>
      </c>
      <c r="AL45" s="13">
        <f t="shared" si="116"/>
        <v>16</v>
      </c>
      <c r="AM45" s="13">
        <f>LCOE!AT3*10</f>
        <v>16</v>
      </c>
    </row>
    <row r="46" spans="1:39" outlineLevel="1" x14ac:dyDescent="0.25">
      <c r="A46" t="s">
        <v>206</v>
      </c>
      <c r="B46" s="58">
        <v>25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outlineLevel="1" x14ac:dyDescent="0.25">
      <c r="A47" t="s">
        <v>107</v>
      </c>
      <c r="B47" s="13">
        <f t="shared" ref="B47:AK47" si="117">$AM$44*B49</f>
        <v>18.208836600930482</v>
      </c>
      <c r="C47" s="13">
        <f t="shared" si="117"/>
        <v>24.446401389435369</v>
      </c>
      <c r="D47" s="13">
        <f t="shared" si="117"/>
        <v>30.683966670196611</v>
      </c>
      <c r="E47" s="13">
        <f t="shared" si="117"/>
        <v>36.92153268226172</v>
      </c>
      <c r="F47" s="13">
        <f t="shared" si="117"/>
        <v>43.159099657699393</v>
      </c>
      <c r="G47" s="13">
        <f t="shared" si="117"/>
        <v>49.396667819980713</v>
      </c>
      <c r="H47" s="13">
        <f t="shared" si="117"/>
        <v>55.634237382433639</v>
      </c>
      <c r="I47" s="13">
        <f t="shared" si="117"/>
        <v>61.871808546781807</v>
      </c>
      <c r="J47" s="13">
        <f t="shared" si="117"/>
        <v>68.109381501777136</v>
      </c>
      <c r="K47" s="13">
        <f t="shared" si="117"/>
        <v>74.34695642193563</v>
      </c>
      <c r="L47" s="13">
        <f t="shared" si="117"/>
        <v>80.584533466384627</v>
      </c>
      <c r="M47" s="13">
        <f t="shared" si="117"/>
        <v>86.82211277782902</v>
      </c>
      <c r="N47" s="13">
        <f t="shared" si="117"/>
        <v>93.059694481642993</v>
      </c>
      <c r="O47" s="13">
        <f t="shared" si="117"/>
        <v>99.297278685093033</v>
      </c>
      <c r="P47" s="13">
        <f t="shared" si="117"/>
        <v>105.53486547669672</v>
      </c>
      <c r="Q47" s="13">
        <f t="shared" si="117"/>
        <v>111.77245492572077</v>
      </c>
      <c r="R47" s="13">
        <f t="shared" si="117"/>
        <v>118.01004708182157</v>
      </c>
      <c r="S47" s="13">
        <f t="shared" si="117"/>
        <v>124.24764197482885</v>
      </c>
      <c r="T47" s="13">
        <f t="shared" si="117"/>
        <v>130.48523961467396</v>
      </c>
      <c r="U47" s="13">
        <f t="shared" si="117"/>
        <v>136.72283999146134</v>
      </c>
      <c r="V47" s="13">
        <f t="shared" si="117"/>
        <v>142.96044307568246</v>
      </c>
      <c r="W47" s="13">
        <f t="shared" si="117"/>
        <v>149.19804881856899</v>
      </c>
      <c r="X47" s="13">
        <f t="shared" si="117"/>
        <v>155.43565715258211</v>
      </c>
      <c r="Y47" s="13">
        <f t="shared" si="117"/>
        <v>161.67326799203332</v>
      </c>
      <c r="Z47" s="13">
        <f t="shared" si="117"/>
        <v>167.91088123383099</v>
      </c>
      <c r="AA47" s="13">
        <f t="shared" si="117"/>
        <v>174.14849675834733</v>
      </c>
      <c r="AB47" s="13">
        <f t="shared" si="117"/>
        <v>180.38611443039744</v>
      </c>
      <c r="AC47" s="13">
        <f t="shared" si="117"/>
        <v>186.6237341003235</v>
      </c>
      <c r="AD47" s="13">
        <f t="shared" si="117"/>
        <v>192.86135560517522</v>
      </c>
      <c r="AE47" s="13">
        <f t="shared" si="117"/>
        <v>199.09897876997741</v>
      </c>
      <c r="AF47" s="13">
        <f t="shared" si="117"/>
        <v>205.33660340907488</v>
      </c>
      <c r="AG47" s="13">
        <f t="shared" si="117"/>
        <v>211.57422932754446</v>
      </c>
      <c r="AH47" s="13">
        <f t="shared" si="117"/>
        <v>217.81185632266357</v>
      </c>
      <c r="AI47" s="13">
        <f t="shared" si="117"/>
        <v>224.04948418542423</v>
      </c>
      <c r="AJ47" s="13">
        <f t="shared" si="117"/>
        <v>230.2871127020818</v>
      </c>
      <c r="AK47" s="13">
        <f t="shared" si="117"/>
        <v>236.52474165572576</v>
      </c>
      <c r="AL47" s="13">
        <f>$AM$44*AL49</f>
        <v>242.76237082786292</v>
      </c>
      <c r="AM47" s="13">
        <f>LCOE!AS3*1000*'Capacités installées'!B2/1000000</f>
        <v>249</v>
      </c>
    </row>
    <row r="48" spans="1:39" outlineLevel="1" x14ac:dyDescent="0.25">
      <c r="A48" t="s">
        <v>111</v>
      </c>
      <c r="B48" s="41">
        <f>B49-B47</f>
        <v>73.81430597906953</v>
      </c>
      <c r="C48" s="41">
        <f t="shared" ref="C48:AM48" si="118">C49-C47</f>
        <v>99.099914607104665</v>
      </c>
      <c r="D48" s="41">
        <f t="shared" si="118"/>
        <v>124.38552523063035</v>
      </c>
      <c r="E48" s="41">
        <f t="shared" si="118"/>
        <v>149.67113881868849</v>
      </c>
      <c r="F48" s="41">
        <f t="shared" si="118"/>
        <v>174.95675631203062</v>
      </c>
      <c r="G48" s="41">
        <f t="shared" si="118"/>
        <v>200.24237861655544</v>
      </c>
      <c r="H48" s="41">
        <f t="shared" si="118"/>
        <v>225.52800659704394</v>
      </c>
      <c r="I48" s="41">
        <f t="shared" si="118"/>
        <v>250.81364107123593</v>
      </c>
      <c r="J48" s="41">
        <f t="shared" si="118"/>
        <v>276.09928280428687</v>
      </c>
      <c r="K48" s="41">
        <f t="shared" si="118"/>
        <v>301.38493250364343</v>
      </c>
      <c r="L48" s="41">
        <f t="shared" si="118"/>
        <v>326.67059081436986</v>
      </c>
      <c r="M48" s="41">
        <f t="shared" si="118"/>
        <v>351.95625831495818</v>
      </c>
      <c r="N48" s="41">
        <f t="shared" si="118"/>
        <v>377.24193551364544</v>
      </c>
      <c r="O48" s="41">
        <f t="shared" si="118"/>
        <v>402.52762284526466</v>
      </c>
      <c r="P48" s="41">
        <f t="shared" si="118"/>
        <v>427.81332066864502</v>
      </c>
      <c r="Q48" s="41">
        <f t="shared" si="118"/>
        <v>453.0990292645775</v>
      </c>
      <c r="R48" s="41">
        <f t="shared" si="118"/>
        <v>478.3847488343572</v>
      </c>
      <c r="S48" s="41">
        <f t="shared" si="118"/>
        <v>503.67047949890673</v>
      </c>
      <c r="T48" s="41">
        <f t="shared" si="118"/>
        <v>528.95622129848562</v>
      </c>
      <c r="U48" s="41">
        <f t="shared" si="118"/>
        <v>554.24197419297946</v>
      </c>
      <c r="V48" s="41">
        <f t="shared" si="118"/>
        <v>579.52773806276764</v>
      </c>
      <c r="W48" s="41">
        <f t="shared" si="118"/>
        <v>604.81351271015501</v>
      </c>
      <c r="X48" s="41">
        <f t="shared" si="118"/>
        <v>630.09929786135513</v>
      </c>
      <c r="Y48" s="41">
        <f t="shared" si="118"/>
        <v>655.3850931690074</v>
      </c>
      <c r="Z48" s="41">
        <f t="shared" si="118"/>
        <v>680.67089821520244</v>
      </c>
      <c r="AA48" s="41">
        <f t="shared" si="118"/>
        <v>705.95671251499766</v>
      </c>
      <c r="AB48" s="41">
        <f t="shared" si="118"/>
        <v>731.24253552038556</v>
      </c>
      <c r="AC48" s="41">
        <f t="shared" si="118"/>
        <v>756.52836662468894</v>
      </c>
      <c r="AD48" s="41">
        <f t="shared" si="118"/>
        <v>781.81420516734579</v>
      </c>
      <c r="AE48" s="41">
        <f t="shared" si="118"/>
        <v>807.10005043904823</v>
      </c>
      <c r="AF48" s="41">
        <f t="shared" si="118"/>
        <v>832.38590168719418</v>
      </c>
      <c r="AG48" s="41">
        <f t="shared" si="118"/>
        <v>857.67175812161133</v>
      </c>
      <c r="AH48" s="41">
        <f t="shared" si="118"/>
        <v>882.95761892051041</v>
      </c>
      <c r="AI48" s="41">
        <f t="shared" si="118"/>
        <v>908.24348323662252</v>
      </c>
      <c r="AJ48" s="41">
        <f t="shared" si="118"/>
        <v>933.52935020347775</v>
      </c>
      <c r="AK48" s="41">
        <f t="shared" si="118"/>
        <v>958.81521894177206</v>
      </c>
      <c r="AL48" s="41">
        <f t="shared" si="118"/>
        <v>984.10108856578609</v>
      </c>
      <c r="AM48" s="41">
        <f t="shared" si="118"/>
        <v>1009.3869581897998</v>
      </c>
    </row>
    <row r="49" spans="1:39" outlineLevel="1" x14ac:dyDescent="0.25">
      <c r="A49" t="s">
        <v>186</v>
      </c>
      <c r="B49" s="13">
        <f t="shared" ref="B49:AM49" si="119">B51-B50</f>
        <v>92.023142580000012</v>
      </c>
      <c r="C49" s="13">
        <f t="shared" si="119"/>
        <v>123.54631599654003</v>
      </c>
      <c r="D49" s="13">
        <f t="shared" si="119"/>
        <v>155.06949190082696</v>
      </c>
      <c r="E49" s="13">
        <f t="shared" si="119"/>
        <v>186.59267150095022</v>
      </c>
      <c r="F49" s="13">
        <f t="shared" si="119"/>
        <v>218.11585596973001</v>
      </c>
      <c r="G49" s="13">
        <f t="shared" si="119"/>
        <v>249.63904643653615</v>
      </c>
      <c r="H49" s="13">
        <f t="shared" si="119"/>
        <v>281.16224397947758</v>
      </c>
      <c r="I49" s="13">
        <f t="shared" si="119"/>
        <v>312.68544961801774</v>
      </c>
      <c r="J49" s="13">
        <f t="shared" si="119"/>
        <v>344.20866430606401</v>
      </c>
      <c r="K49" s="13">
        <f t="shared" si="119"/>
        <v>375.73188892557903</v>
      </c>
      <c r="L49" s="13">
        <f t="shared" si="119"/>
        <v>407.2551242807545</v>
      </c>
      <c r="M49" s="13">
        <f t="shared" si="119"/>
        <v>438.77837109278721</v>
      </c>
      <c r="N49" s="13">
        <f t="shared" si="119"/>
        <v>470.30162999528841</v>
      </c>
      <c r="O49" s="13">
        <f t="shared" si="119"/>
        <v>501.82490153035769</v>
      </c>
      <c r="P49" s="13">
        <f t="shared" si="119"/>
        <v>533.34818614534174</v>
      </c>
      <c r="Q49" s="13">
        <f t="shared" si="119"/>
        <v>564.87148419029825</v>
      </c>
      <c r="R49" s="13">
        <f t="shared" si="119"/>
        <v>596.39479591617874</v>
      </c>
      <c r="S49" s="13">
        <f t="shared" si="119"/>
        <v>627.9181214737356</v>
      </c>
      <c r="T49" s="13">
        <f t="shared" si="119"/>
        <v>659.44146091315952</v>
      </c>
      <c r="U49" s="13">
        <f t="shared" si="119"/>
        <v>690.9648141844408</v>
      </c>
      <c r="V49" s="13">
        <f t="shared" si="119"/>
        <v>722.48818113845005</v>
      </c>
      <c r="W49" s="13">
        <f t="shared" si="119"/>
        <v>754.01156152872397</v>
      </c>
      <c r="X49" s="13">
        <f t="shared" si="119"/>
        <v>785.53495501393729</v>
      </c>
      <c r="Y49" s="13">
        <f t="shared" si="119"/>
        <v>817.05836116104069</v>
      </c>
      <c r="Z49" s="13">
        <f t="shared" si="119"/>
        <v>848.58177944903343</v>
      </c>
      <c r="AA49" s="13">
        <f t="shared" si="119"/>
        <v>880.10520927334505</v>
      </c>
      <c r="AB49" s="13">
        <f t="shared" si="119"/>
        <v>911.62864995078303</v>
      </c>
      <c r="AC49" s="13">
        <f t="shared" si="119"/>
        <v>943.15210072501247</v>
      </c>
      <c r="AD49" s="13">
        <f t="shared" si="119"/>
        <v>974.67556077252107</v>
      </c>
      <c r="AE49" s="13">
        <f t="shared" si="119"/>
        <v>1006.1990292090256</v>
      </c>
      <c r="AF49" s="13">
        <f t="shared" si="119"/>
        <v>1037.7225050962691</v>
      </c>
      <c r="AG49" s="13">
        <f t="shared" si="119"/>
        <v>1069.2459874491558</v>
      </c>
      <c r="AH49" s="13">
        <f t="shared" si="119"/>
        <v>1100.7694752431739</v>
      </c>
      <c r="AI49" s="13">
        <f t="shared" si="119"/>
        <v>1132.2929674220468</v>
      </c>
      <c r="AJ49" s="13">
        <f t="shared" si="119"/>
        <v>1163.8164629055595</v>
      </c>
      <c r="AK49" s="13">
        <f t="shared" si="119"/>
        <v>1195.3399605974978</v>
      </c>
      <c r="AL49" s="13">
        <f t="shared" si="119"/>
        <v>1226.863459393649</v>
      </c>
      <c r="AM49" s="13">
        <f t="shared" si="119"/>
        <v>1258.3869581897998</v>
      </c>
    </row>
    <row r="50" spans="1:39" outlineLevel="1" x14ac:dyDescent="0.25">
      <c r="A50" t="s">
        <v>189</v>
      </c>
      <c r="B50" s="13">
        <f t="shared" ref="B50:AM50" si="120">B45*B41/1000000</f>
        <v>27.266116320000005</v>
      </c>
      <c r="C50" s="13">
        <f t="shared" si="120"/>
        <v>36.606315850826675</v>
      </c>
      <c r="D50" s="13">
        <f t="shared" si="120"/>
        <v>45.946516118763533</v>
      </c>
      <c r="E50" s="13">
        <f t="shared" si="120"/>
        <v>55.28671748176302</v>
      </c>
      <c r="F50" s="13">
        <f t="shared" si="120"/>
        <v>64.626920287327408</v>
      </c>
      <c r="G50" s="13">
        <f t="shared" si="120"/>
        <v>73.96712487008476</v>
      </c>
      <c r="H50" s="13">
        <f t="shared" si="120"/>
        <v>83.30733154947481</v>
      </c>
      <c r="I50" s="13">
        <f t="shared" si="120"/>
        <v>92.647540627560772</v>
      </c>
      <c r="J50" s="13">
        <f t="shared" si="120"/>
        <v>101.98775238698191</v>
      </c>
      <c r="K50" s="13">
        <f t="shared" si="120"/>
        <v>111.32796708906042</v>
      </c>
      <c r="L50" s="13">
        <f t="shared" si="120"/>
        <v>120.66818497207537</v>
      </c>
      <c r="M50" s="13">
        <f t="shared" si="120"/>
        <v>130.00840624971468</v>
      </c>
      <c r="N50" s="13">
        <f t="shared" si="120"/>
        <v>139.34863110971506</v>
      </c>
      <c r="O50" s="13">
        <f t="shared" si="120"/>
        <v>148.68885971269856</v>
      </c>
      <c r="P50" s="13">
        <f t="shared" si="120"/>
        <v>158.02909219121233</v>
      </c>
      <c r="Q50" s="13">
        <f t="shared" si="120"/>
        <v>167.36932864897722</v>
      </c>
      <c r="R50" s="13">
        <f t="shared" si="120"/>
        <v>176.70956916034919</v>
      </c>
      <c r="S50" s="13">
        <f t="shared" si="120"/>
        <v>186.04981376999569</v>
      </c>
      <c r="T50" s="13">
        <f t="shared" si="120"/>
        <v>195.39006249278796</v>
      </c>
      <c r="U50" s="13">
        <f t="shared" si="120"/>
        <v>204.73031531390833</v>
      </c>
      <c r="V50" s="13">
        <f t="shared" si="120"/>
        <v>214.07057218917038</v>
      </c>
      <c r="W50" s="13">
        <f t="shared" si="120"/>
        <v>223.41083304554783</v>
      </c>
      <c r="X50" s="13">
        <f t="shared" si="120"/>
        <v>232.75109778190736</v>
      </c>
      <c r="Y50" s="13">
        <f t="shared" si="120"/>
        <v>242.09136626993796</v>
      </c>
      <c r="Z50" s="13">
        <f t="shared" si="120"/>
        <v>251.4316383552692</v>
      </c>
      <c r="AA50" s="13">
        <f t="shared" si="120"/>
        <v>260.77191385876898</v>
      </c>
      <c r="AB50" s="13">
        <f t="shared" si="120"/>
        <v>270.11219257800985</v>
      </c>
      <c r="AC50" s="13">
        <f t="shared" si="120"/>
        <v>279.45247428889263</v>
      </c>
      <c r="AD50" s="13">
        <f t="shared" si="120"/>
        <v>288.7927587474137</v>
      </c>
      <c r="AE50" s="13">
        <f t="shared" si="120"/>
        <v>298.13304569156321</v>
      </c>
      <c r="AF50" s="13">
        <f t="shared" si="120"/>
        <v>307.47333484333905</v>
      </c>
      <c r="AG50" s="13">
        <f t="shared" si="120"/>
        <v>316.81362591086099</v>
      </c>
      <c r="AH50" s="13">
        <f t="shared" si="120"/>
        <v>326.15391859057007</v>
      </c>
      <c r="AI50" s="13">
        <f t="shared" si="120"/>
        <v>335.4942125694954</v>
      </c>
      <c r="AJ50" s="13">
        <f t="shared" si="120"/>
        <v>344.83450752757324</v>
      </c>
      <c r="AK50" s="13">
        <f t="shared" si="120"/>
        <v>354.17480313999937</v>
      </c>
      <c r="AL50" s="13">
        <f t="shared" si="120"/>
        <v>363.51509907959974</v>
      </c>
      <c r="AM50" s="13">
        <f t="shared" si="120"/>
        <v>372.85539501920005</v>
      </c>
    </row>
    <row r="51" spans="1:39" outlineLevel="1" x14ac:dyDescent="0.25">
      <c r="A51" t="s">
        <v>187</v>
      </c>
      <c r="B51" s="111">
        <v>119.28925890000002</v>
      </c>
      <c r="C51" s="111">
        <v>160.15263184736671</v>
      </c>
      <c r="D51" s="111">
        <v>201.01600801959049</v>
      </c>
      <c r="E51" s="111">
        <v>241.87938898271324</v>
      </c>
      <c r="F51" s="111">
        <v>282.74277625705741</v>
      </c>
      <c r="G51" s="111">
        <v>323.60617130662092</v>
      </c>
      <c r="H51" s="111">
        <v>364.46957552895236</v>
      </c>
      <c r="I51" s="111">
        <v>405.33299024557851</v>
      </c>
      <c r="J51" s="111">
        <v>446.19641669304593</v>
      </c>
      <c r="K51" s="111">
        <v>487.05985601463948</v>
      </c>
      <c r="L51" s="111">
        <v>527.92330925282988</v>
      </c>
      <c r="M51" s="111">
        <v>568.78677734250186</v>
      </c>
      <c r="N51" s="111">
        <v>609.65026110500344</v>
      </c>
      <c r="O51" s="111">
        <v>650.51376124305625</v>
      </c>
      <c r="P51" s="111">
        <v>691.37727833655401</v>
      </c>
      <c r="Q51" s="111">
        <v>732.24081283927546</v>
      </c>
      <c r="R51" s="111">
        <v>773.10436507652787</v>
      </c>
      <c r="S51" s="111">
        <v>813.96793524373129</v>
      </c>
      <c r="T51" s="111">
        <v>854.83152340594745</v>
      </c>
      <c r="U51" s="111">
        <v>895.69512949834916</v>
      </c>
      <c r="V51" s="111">
        <v>936.55875332762048</v>
      </c>
      <c r="W51" s="111">
        <v>977.42239457427183</v>
      </c>
      <c r="X51" s="111">
        <v>1018.2860527958446</v>
      </c>
      <c r="Y51" s="111">
        <v>1059.1497274309786</v>
      </c>
      <c r="Z51" s="111">
        <v>1100.0134178043027</v>
      </c>
      <c r="AA51" s="111">
        <v>1140.8771231321141</v>
      </c>
      <c r="AB51" s="111">
        <v>1181.7408425287929</v>
      </c>
      <c r="AC51" s="111">
        <v>1222.6045750139051</v>
      </c>
      <c r="AD51" s="111">
        <v>1263.4683195199348</v>
      </c>
      <c r="AE51" s="111">
        <v>1304.3320749005889</v>
      </c>
      <c r="AF51" s="111">
        <v>1345.195839939608</v>
      </c>
      <c r="AG51" s="111">
        <v>1386.0596133600168</v>
      </c>
      <c r="AH51" s="111">
        <v>1426.9233938337441</v>
      </c>
      <c r="AI51" s="111">
        <v>1467.7871799915422</v>
      </c>
      <c r="AJ51" s="111">
        <v>1508.6509704331327</v>
      </c>
      <c r="AK51" s="111">
        <v>1549.5147637374971</v>
      </c>
      <c r="AL51" s="111">
        <v>1590.3785584732486</v>
      </c>
      <c r="AM51" s="111">
        <v>1631.2423532089999</v>
      </c>
    </row>
    <row r="52" spans="1:39" outlineLevel="1" x14ac:dyDescent="0.25"/>
    <row r="53" spans="1:39" outlineLevel="1" x14ac:dyDescent="0.25">
      <c r="A53" s="3" t="s">
        <v>21</v>
      </c>
      <c r="B53" s="47">
        <v>2013</v>
      </c>
      <c r="C53" s="47">
        <v>2014</v>
      </c>
      <c r="D53" s="47">
        <v>2015</v>
      </c>
      <c r="E53" s="47">
        <v>2016</v>
      </c>
      <c r="F53" s="47">
        <v>2017</v>
      </c>
      <c r="G53" s="47">
        <v>2018</v>
      </c>
      <c r="H53" s="47">
        <v>2019</v>
      </c>
      <c r="I53" s="47">
        <v>2020</v>
      </c>
      <c r="J53" s="47">
        <v>2021</v>
      </c>
      <c r="K53" s="47">
        <v>2022</v>
      </c>
      <c r="L53" s="47">
        <v>2023</v>
      </c>
      <c r="M53" s="47">
        <v>2024</v>
      </c>
      <c r="N53" s="47">
        <v>2025</v>
      </c>
      <c r="O53" s="47">
        <v>2026</v>
      </c>
      <c r="P53" s="47">
        <v>2027</v>
      </c>
      <c r="Q53" s="47">
        <v>2028</v>
      </c>
      <c r="R53" s="47">
        <v>2029</v>
      </c>
      <c r="S53" s="47">
        <v>2030</v>
      </c>
      <c r="T53" s="47">
        <v>2031</v>
      </c>
      <c r="U53" s="47">
        <v>2032</v>
      </c>
      <c r="V53" s="47">
        <v>2033</v>
      </c>
      <c r="W53" s="47">
        <v>2034</v>
      </c>
      <c r="X53" s="47">
        <v>2035</v>
      </c>
      <c r="Y53" s="47">
        <v>2036</v>
      </c>
      <c r="Z53" s="47">
        <v>2037</v>
      </c>
      <c r="AA53" s="47">
        <v>2038</v>
      </c>
      <c r="AB53" s="47">
        <v>2039</v>
      </c>
      <c r="AC53" s="47">
        <v>2040</v>
      </c>
      <c r="AD53" s="47">
        <v>2041</v>
      </c>
      <c r="AE53" s="47">
        <v>2042</v>
      </c>
      <c r="AF53" s="47">
        <v>2043</v>
      </c>
      <c r="AG53" s="47">
        <v>2044</v>
      </c>
      <c r="AH53" s="47">
        <v>2045</v>
      </c>
      <c r="AI53" s="47">
        <v>2046</v>
      </c>
      <c r="AJ53" s="47">
        <v>2047</v>
      </c>
      <c r="AK53" s="47">
        <v>2048</v>
      </c>
      <c r="AL53" s="47">
        <v>2049</v>
      </c>
      <c r="AM53" s="47">
        <v>2050</v>
      </c>
    </row>
    <row r="54" spans="1:39" outlineLevel="1" x14ac:dyDescent="0.25">
      <c r="A54" t="s">
        <v>171</v>
      </c>
      <c r="B54" s="60">
        <f>'Linéarisation mix'!B8*1000000</f>
        <v>2136367.0350000006</v>
      </c>
      <c r="C54" s="60">
        <f>'Linéarisation mix'!C8*1000000</f>
        <v>2180196.0340540595</v>
      </c>
      <c r="D54" s="60">
        <f>'Linéarisation mix'!D8*1000000</f>
        <v>2224025.033108118</v>
      </c>
      <c r="E54" s="60">
        <f>'Linéarisation mix'!E8*1000000</f>
        <v>2267854.0321621769</v>
      </c>
      <c r="F54" s="60">
        <f>'Linéarisation mix'!F8*1000000</f>
        <v>2311683.0312162349</v>
      </c>
      <c r="G54" s="60">
        <f>'Linéarisation mix'!G8*1000000</f>
        <v>2355512.0302702929</v>
      </c>
      <c r="H54" s="60">
        <f>'Linéarisation mix'!H8*1000000</f>
        <v>2399341.0293243509</v>
      </c>
      <c r="I54" s="60">
        <f>'Linéarisation mix'!I8*1000000</f>
        <v>2443170.0283784079</v>
      </c>
      <c r="J54" s="60">
        <f>'Linéarisation mix'!J8*1000000</f>
        <v>2486999.027432465</v>
      </c>
      <c r="K54" s="60">
        <f>'Linéarisation mix'!K8*1000000</f>
        <v>2530828.0264865221</v>
      </c>
      <c r="L54" s="60">
        <f>'Linéarisation mix'!L8*1000000</f>
        <v>2574657.0255405782</v>
      </c>
      <c r="M54" s="60">
        <f>'Linéarisation mix'!M8*1000000</f>
        <v>2618486.0245946348</v>
      </c>
      <c r="N54" s="60">
        <f>'Linéarisation mix'!N8*1000000</f>
        <v>2662315.0236486904</v>
      </c>
      <c r="O54" s="60">
        <f>'Linéarisation mix'!O8*1000000</f>
        <v>2706144.0227027466</v>
      </c>
      <c r="P54" s="60">
        <f>'Linéarisation mix'!P8*1000000</f>
        <v>2749973.0217568018</v>
      </c>
      <c r="Q54" s="60">
        <f>'Linéarisation mix'!Q8*1000000</f>
        <v>2793802.0208108574</v>
      </c>
      <c r="R54" s="60">
        <f>'Linéarisation mix'!R8*1000000</f>
        <v>2837631.0198649126</v>
      </c>
      <c r="S54" s="60">
        <f>'Linéarisation mix'!S8*1000000</f>
        <v>2881460.0189189669</v>
      </c>
      <c r="T54" s="60">
        <f>'Linéarisation mix'!T8*1000000</f>
        <v>2925289.0179730216</v>
      </c>
      <c r="U54" s="60">
        <f>'Linéarisation mix'!U8*1000000</f>
        <v>2969118.0170270759</v>
      </c>
      <c r="V54" s="60">
        <f>'Linéarisation mix'!V8*1000000</f>
        <v>3012947.0160811292</v>
      </c>
      <c r="W54" s="60">
        <f>'Linéarisation mix'!W8*1000000</f>
        <v>3056776.015135183</v>
      </c>
      <c r="X54" s="60">
        <f>'Linéarisation mix'!X8*1000000</f>
        <v>3100605.0141892363</v>
      </c>
      <c r="Y54" s="60">
        <f>'Linéarisation mix'!Y8*1000000</f>
        <v>3144434.0132432892</v>
      </c>
      <c r="Z54" s="60">
        <f>'Linéarisation mix'!Z8*1000000</f>
        <v>3188263.0122973421</v>
      </c>
      <c r="AA54" s="60">
        <f>'Linéarisation mix'!AA8*1000000</f>
        <v>3232092.011351394</v>
      </c>
      <c r="AB54" s="60">
        <f>'Linéarisation mix'!AB8*1000000</f>
        <v>3275921.0104054459</v>
      </c>
      <c r="AC54" s="60">
        <f>'Linéarisation mix'!AC8*1000000</f>
        <v>3319750.0094594979</v>
      </c>
      <c r="AD54" s="60">
        <f>'Linéarisation mix'!AD8*1000000</f>
        <v>3363579.0085135493</v>
      </c>
      <c r="AE54" s="60">
        <f>'Linéarisation mix'!AE8*1000000</f>
        <v>3407408.0075676003</v>
      </c>
      <c r="AF54" s="60">
        <f>'Linéarisation mix'!AF8*1000000</f>
        <v>3451237.0066216514</v>
      </c>
      <c r="AG54" s="60">
        <f>'Linéarisation mix'!AG8*1000000</f>
        <v>3495066.0056757024</v>
      </c>
      <c r="AH54" s="60">
        <f>'Linéarisation mix'!AH8*1000000</f>
        <v>3538895.0047297524</v>
      </c>
      <c r="AI54" s="60">
        <f>'Linéarisation mix'!AI8*1000000</f>
        <v>3582724.0037838025</v>
      </c>
      <c r="AJ54" s="60">
        <f>'Linéarisation mix'!AJ8*1000000</f>
        <v>3626553.0028378521</v>
      </c>
      <c r="AK54" s="60">
        <f>'Linéarisation mix'!AK8*1000000</f>
        <v>3670382.0018919013</v>
      </c>
      <c r="AL54" s="60">
        <f>'Linéarisation mix'!AL8*1000000</f>
        <v>3714211.0009459504</v>
      </c>
      <c r="AM54" s="60">
        <f>'Linéarisation mix'!AM8*1000000</f>
        <v>3758040</v>
      </c>
    </row>
    <row r="55" spans="1:39" outlineLevel="1" x14ac:dyDescent="0.25">
      <c r="A55" t="s">
        <v>185</v>
      </c>
      <c r="B55" s="60">
        <f>LCOE!B4</f>
        <v>60</v>
      </c>
      <c r="C55" s="60">
        <f>LCOE!C4</f>
        <v>60</v>
      </c>
      <c r="D55" s="60">
        <f>LCOE!D4</f>
        <v>60</v>
      </c>
      <c r="E55" s="60">
        <f>LCOE!E4</f>
        <v>60</v>
      </c>
      <c r="F55" s="60">
        <f>LCOE!F4</f>
        <v>60</v>
      </c>
      <c r="G55" s="60">
        <f>LCOE!G4</f>
        <v>60</v>
      </c>
      <c r="H55" s="60">
        <f>LCOE!H4</f>
        <v>60</v>
      </c>
      <c r="I55" s="60">
        <f>LCOE!I4</f>
        <v>60</v>
      </c>
      <c r="J55" s="60">
        <f>LCOE!J4</f>
        <v>60</v>
      </c>
      <c r="K55" s="60">
        <f>LCOE!K4</f>
        <v>60</v>
      </c>
      <c r="L55" s="60">
        <f>LCOE!L4</f>
        <v>60</v>
      </c>
      <c r="M55" s="60">
        <f>LCOE!M4</f>
        <v>60</v>
      </c>
      <c r="N55" s="60">
        <f>LCOE!N4</f>
        <v>60</v>
      </c>
      <c r="O55" s="60">
        <f>LCOE!O4</f>
        <v>60</v>
      </c>
      <c r="P55" s="60">
        <f>LCOE!P4</f>
        <v>60</v>
      </c>
      <c r="Q55" s="60">
        <f>LCOE!Q4</f>
        <v>60</v>
      </c>
      <c r="R55" s="60">
        <f>LCOE!R4</f>
        <v>60</v>
      </c>
      <c r="S55" s="60">
        <f>LCOE!S4</f>
        <v>60</v>
      </c>
      <c r="T55" s="60">
        <f>LCOE!T4</f>
        <v>60</v>
      </c>
      <c r="U55" s="60">
        <f>LCOE!U4</f>
        <v>60</v>
      </c>
      <c r="V55" s="60">
        <f>LCOE!V4</f>
        <v>60</v>
      </c>
      <c r="W55" s="60">
        <f>LCOE!W4</f>
        <v>60</v>
      </c>
      <c r="X55" s="60">
        <f>LCOE!X4</f>
        <v>60</v>
      </c>
      <c r="Y55" s="60">
        <f>LCOE!Y4</f>
        <v>60</v>
      </c>
      <c r="Z55" s="60">
        <f>LCOE!Z4</f>
        <v>60</v>
      </c>
      <c r="AA55" s="60">
        <f>LCOE!AA4</f>
        <v>60</v>
      </c>
      <c r="AB55" s="60">
        <f>LCOE!AB4</f>
        <v>60</v>
      </c>
      <c r="AC55" s="60">
        <f>LCOE!AC4</f>
        <v>60</v>
      </c>
      <c r="AD55" s="60">
        <f>LCOE!AD4</f>
        <v>60</v>
      </c>
      <c r="AE55" s="60">
        <f>LCOE!AE4</f>
        <v>60</v>
      </c>
      <c r="AF55" s="60">
        <f>LCOE!AF4</f>
        <v>60</v>
      </c>
      <c r="AG55" s="60">
        <f>LCOE!AG4</f>
        <v>60</v>
      </c>
      <c r="AH55" s="60">
        <f>LCOE!AH4</f>
        <v>60</v>
      </c>
      <c r="AI55" s="60">
        <f>LCOE!AI4</f>
        <v>60</v>
      </c>
      <c r="AJ55" s="60">
        <f>LCOE!AJ4</f>
        <v>60</v>
      </c>
      <c r="AK55" s="60">
        <f>LCOE!AK4</f>
        <v>60</v>
      </c>
      <c r="AL55" s="60">
        <f>LCOE!AL4</f>
        <v>60</v>
      </c>
      <c r="AM55" s="60">
        <f>LCOE!AM4</f>
        <v>60</v>
      </c>
    </row>
    <row r="56" spans="1:39" outlineLevel="1" x14ac:dyDescent="0.25">
      <c r="A56" t="s">
        <v>127</v>
      </c>
      <c r="B56" s="48">
        <v>0</v>
      </c>
      <c r="C56" s="64">
        <f>B56+C54-B54</f>
        <v>43828.999054058921</v>
      </c>
      <c r="D56" s="64">
        <f t="shared" ref="D56" si="121">C56+D54-C54</f>
        <v>87657.998108117376</v>
      </c>
      <c r="E56" s="64">
        <f t="shared" ref="E56" si="122">D56+E54-D54</f>
        <v>131486.9971621763</v>
      </c>
      <c r="F56" s="64">
        <f t="shared" ref="F56" si="123">E56+F54-E54</f>
        <v>175315.99621623429</v>
      </c>
      <c r="G56" s="64">
        <f t="shared" ref="G56" si="124">F56+G54-F54</f>
        <v>219144.99527029227</v>
      </c>
      <c r="H56" s="64">
        <f t="shared" ref="H56" si="125">G56+H54-G54</f>
        <v>262973.99432435026</v>
      </c>
      <c r="I56" s="64">
        <f t="shared" ref="I56" si="126">H56+I54-H54</f>
        <v>306802.99337840732</v>
      </c>
      <c r="J56" s="64">
        <f t="shared" ref="J56" si="127">I56+J54-I54</f>
        <v>350631.99243246438</v>
      </c>
      <c r="K56" s="64">
        <f t="shared" ref="K56" si="128">J56+K54-J54</f>
        <v>394460.99148652144</v>
      </c>
      <c r="L56" s="64">
        <f t="shared" ref="L56" si="129">K56+L54-K54</f>
        <v>438289.99054057756</v>
      </c>
      <c r="M56" s="64">
        <f t="shared" ref="M56" si="130">L56+M54-L54</f>
        <v>482118.98959463416</v>
      </c>
      <c r="N56" s="64">
        <f t="shared" ref="N56" si="131">M56+N54-M54</f>
        <v>525947.98864868982</v>
      </c>
      <c r="O56" s="64">
        <f t="shared" ref="O56" si="132">N56+O54-N54</f>
        <v>569776.98770274594</v>
      </c>
      <c r="P56" s="64">
        <f t="shared" ref="P56" si="133">O56+P54-O54</f>
        <v>613605.98675680114</v>
      </c>
      <c r="Q56" s="64">
        <f t="shared" ref="Q56" si="134">P56+Q54-P54</f>
        <v>657434.9858108568</v>
      </c>
      <c r="R56" s="64">
        <f t="shared" ref="R56" si="135">Q56+R54-Q54</f>
        <v>701263.984864912</v>
      </c>
      <c r="S56" s="64">
        <f t="shared" ref="S56" si="136">R56+S54-R54</f>
        <v>745092.98391896626</v>
      </c>
      <c r="T56" s="64">
        <f t="shared" ref="T56" si="137">S56+T54-S54</f>
        <v>788921.98297302099</v>
      </c>
      <c r="U56" s="64">
        <f t="shared" ref="U56" si="138">T56+U54-T54</f>
        <v>832750.98202707525</v>
      </c>
      <c r="V56" s="64">
        <f t="shared" ref="V56" si="139">U56+V54-U54</f>
        <v>876579.98108112859</v>
      </c>
      <c r="W56" s="64">
        <f t="shared" ref="W56" si="140">V56+W54-V54</f>
        <v>920408.98013518238</v>
      </c>
      <c r="X56" s="64">
        <f t="shared" ref="X56" si="141">W56+X54-W54</f>
        <v>964237.97918923572</v>
      </c>
      <c r="Y56" s="64">
        <f t="shared" ref="Y56" si="142">X56+Y54-X54</f>
        <v>1008066.9782432886</v>
      </c>
      <c r="Z56" s="64">
        <f t="shared" ref="Z56" si="143">Y56+Z54-Y54</f>
        <v>1051895.9772973419</v>
      </c>
      <c r="AA56" s="64">
        <f t="shared" ref="AA56" si="144">Z56+AA54-Z54</f>
        <v>1095724.9763513939</v>
      </c>
      <c r="AB56" s="64">
        <f t="shared" ref="AB56" si="145">AA56+AB54-AA54</f>
        <v>1139553.9754054458</v>
      </c>
      <c r="AC56" s="64">
        <f t="shared" ref="AC56" si="146">AB56+AC54-AB54</f>
        <v>1183382.9744594977</v>
      </c>
      <c r="AD56" s="64">
        <f t="shared" ref="AD56" si="147">AC56+AD54-AC54</f>
        <v>1227211.9735135487</v>
      </c>
      <c r="AE56" s="64">
        <f t="shared" ref="AE56" si="148">AD56+AE54-AD54</f>
        <v>1271040.9725675993</v>
      </c>
      <c r="AF56" s="64">
        <f t="shared" ref="AF56" si="149">AE56+AF54-AE54</f>
        <v>1314869.9716216503</v>
      </c>
      <c r="AG56" s="64">
        <f t="shared" ref="AG56" si="150">AF56+AG54-AF54</f>
        <v>1358698.9706757013</v>
      </c>
      <c r="AH56" s="64">
        <f t="shared" ref="AH56" si="151">AG56+AH54-AG54</f>
        <v>1402527.9697297513</v>
      </c>
      <c r="AI56" s="64">
        <f t="shared" ref="AI56" si="152">AH56+AI54-AH54</f>
        <v>1446356.9687838014</v>
      </c>
      <c r="AJ56" s="64">
        <f t="shared" ref="AJ56" si="153">AI56+AJ54-AI54</f>
        <v>1490185.9678378506</v>
      </c>
      <c r="AK56" s="64">
        <f t="shared" ref="AK56" si="154">AJ56+AK54-AJ54</f>
        <v>1534014.9668918992</v>
      </c>
      <c r="AL56" s="64">
        <f t="shared" ref="AL56" si="155">AK56+AL54-AK54</f>
        <v>1577843.9659459484</v>
      </c>
      <c r="AM56" s="64">
        <f t="shared" ref="AM56" si="156">AL56+AM54-AL54</f>
        <v>1621672.9649999975</v>
      </c>
    </row>
    <row r="57" spans="1:39" outlineLevel="1" x14ac:dyDescent="0.25">
      <c r="A57" t="s">
        <v>188</v>
      </c>
      <c r="B57" s="48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9"/>
      <c r="N57" s="42"/>
      <c r="O57" s="42"/>
      <c r="P57" s="42"/>
      <c r="Q57" s="42"/>
      <c r="R57" s="42"/>
      <c r="S57" s="43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9"/>
      <c r="AF57" s="49"/>
      <c r="AG57" s="49"/>
      <c r="AH57" s="49"/>
      <c r="AI57" s="49"/>
      <c r="AJ57" s="49"/>
      <c r="AK57" s="49"/>
      <c r="AL57" s="42"/>
      <c r="AM57" s="104">
        <f>AM59/AM61</f>
        <v>0.18645357686453554</v>
      </c>
    </row>
    <row r="58" spans="1:39" outlineLevel="1" x14ac:dyDescent="0.25">
      <c r="A58" t="s">
        <v>206</v>
      </c>
      <c r="B58" s="58">
        <v>25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outlineLevel="1" x14ac:dyDescent="0.25">
      <c r="A59" t="s">
        <v>107</v>
      </c>
      <c r="B59" s="13">
        <f t="shared" ref="B59:AK59" si="157">$AM$57*B61</f>
        <v>23.899996510273951</v>
      </c>
      <c r="C59" s="13">
        <f t="shared" si="157"/>
        <v>24.390320928915244</v>
      </c>
      <c r="D59" s="13">
        <f t="shared" si="157"/>
        <v>24.880645347556541</v>
      </c>
      <c r="E59" s="13">
        <f t="shared" si="157"/>
        <v>25.370969766197835</v>
      </c>
      <c r="F59" s="13">
        <f t="shared" si="157"/>
        <v>25.861294184839124</v>
      </c>
      <c r="G59" s="13">
        <f t="shared" si="157"/>
        <v>26.351618603480414</v>
      </c>
      <c r="H59" s="13">
        <f t="shared" si="157"/>
        <v>26.841943022121704</v>
      </c>
      <c r="I59" s="13">
        <f t="shared" si="157"/>
        <v>27.332267440762983</v>
      </c>
      <c r="J59" s="13">
        <f t="shared" si="157"/>
        <v>27.822591859404266</v>
      </c>
      <c r="K59" s="13">
        <f t="shared" si="157"/>
        <v>28.312916278045545</v>
      </c>
      <c r="L59" s="13">
        <f t="shared" si="157"/>
        <v>28.803240696686814</v>
      </c>
      <c r="M59" s="13">
        <f t="shared" si="157"/>
        <v>29.293565115328086</v>
      </c>
      <c r="N59" s="13">
        <f t="shared" si="157"/>
        <v>29.783889533969351</v>
      </c>
      <c r="O59" s="13">
        <f t="shared" si="157"/>
        <v>30.274213952610619</v>
      </c>
      <c r="P59" s="13">
        <f t="shared" si="157"/>
        <v>30.764538371251877</v>
      </c>
      <c r="Q59" s="13">
        <f t="shared" si="157"/>
        <v>31.254862789893139</v>
      </c>
      <c r="R59" s="13">
        <f t="shared" si="157"/>
        <v>31.7451872085344</v>
      </c>
      <c r="S59" s="13">
        <f t="shared" si="157"/>
        <v>32.235511627175647</v>
      </c>
      <c r="T59" s="13">
        <f t="shared" si="157"/>
        <v>32.725836045816898</v>
      </c>
      <c r="U59" s="13">
        <f t="shared" si="157"/>
        <v>33.216160464458149</v>
      </c>
      <c r="V59" s="13">
        <f t="shared" si="157"/>
        <v>33.706484883099385</v>
      </c>
      <c r="W59" s="13">
        <f t="shared" si="157"/>
        <v>34.196809301740622</v>
      </c>
      <c r="X59" s="13">
        <f t="shared" si="157"/>
        <v>34.687133720381865</v>
      </c>
      <c r="Y59" s="13">
        <f t="shared" si="157"/>
        <v>35.177458139023095</v>
      </c>
      <c r="Z59" s="13">
        <f t="shared" si="157"/>
        <v>35.667782557664324</v>
      </c>
      <c r="AA59" s="13">
        <f t="shared" si="157"/>
        <v>36.158106976305547</v>
      </c>
      <c r="AB59" s="13">
        <f t="shared" si="157"/>
        <v>36.648431394946769</v>
      </c>
      <c r="AC59" s="13">
        <f t="shared" si="157"/>
        <v>37.138755813587991</v>
      </c>
      <c r="AD59" s="13">
        <f t="shared" si="157"/>
        <v>37.629080232229207</v>
      </c>
      <c r="AE59" s="13">
        <f t="shared" si="157"/>
        <v>38.119404650870415</v>
      </c>
      <c r="AF59" s="13">
        <f t="shared" si="157"/>
        <v>38.609729069511623</v>
      </c>
      <c r="AG59" s="13">
        <f t="shared" si="157"/>
        <v>39.100053488152838</v>
      </c>
      <c r="AH59" s="13">
        <f t="shared" si="157"/>
        <v>39.590377906794032</v>
      </c>
      <c r="AI59" s="13">
        <f t="shared" si="157"/>
        <v>40.080702325435233</v>
      </c>
      <c r="AJ59" s="13">
        <f t="shared" si="157"/>
        <v>40.571026744076427</v>
      </c>
      <c r="AK59" s="13">
        <f t="shared" si="157"/>
        <v>41.061351162717621</v>
      </c>
      <c r="AL59" s="13">
        <f>$AM$57*AL61</f>
        <v>41.551675581358808</v>
      </c>
      <c r="AM59" s="13">
        <f>LCOE!AS4*1000*'Capacités installées'!B4/1000000</f>
        <v>42.042000000000002</v>
      </c>
    </row>
    <row r="60" spans="1:39" outlineLevel="1" x14ac:dyDescent="0.25">
      <c r="A60" t="s">
        <v>111</v>
      </c>
      <c r="B60" s="41">
        <f>B61-B59</f>
        <v>104.28202558972609</v>
      </c>
      <c r="C60" s="41">
        <f t="shared" ref="C60:AM60" si="158">C61-C59</f>
        <v>106.42144111432832</v>
      </c>
      <c r="D60" s="41">
        <f t="shared" si="158"/>
        <v>108.56085663893055</v>
      </c>
      <c r="E60" s="41">
        <f t="shared" si="158"/>
        <v>110.70027216353277</v>
      </c>
      <c r="F60" s="41">
        <f t="shared" si="158"/>
        <v>112.83968768813497</v>
      </c>
      <c r="G60" s="41">
        <f t="shared" si="158"/>
        <v>114.97910321273717</v>
      </c>
      <c r="H60" s="41">
        <f t="shared" si="158"/>
        <v>117.11851873733937</v>
      </c>
      <c r="I60" s="41">
        <f t="shared" si="158"/>
        <v>119.25793426194153</v>
      </c>
      <c r="J60" s="41">
        <f t="shared" si="158"/>
        <v>121.39734978654369</v>
      </c>
      <c r="K60" s="41">
        <f t="shared" si="158"/>
        <v>123.53676531114584</v>
      </c>
      <c r="L60" s="41">
        <f t="shared" si="158"/>
        <v>125.67618083574796</v>
      </c>
      <c r="M60" s="41">
        <f t="shared" si="158"/>
        <v>127.8155963603501</v>
      </c>
      <c r="N60" s="41">
        <f t="shared" si="158"/>
        <v>129.95501188495217</v>
      </c>
      <c r="O60" s="41">
        <f t="shared" si="158"/>
        <v>132.0944274095543</v>
      </c>
      <c r="P60" s="41">
        <f t="shared" si="158"/>
        <v>134.23384293415634</v>
      </c>
      <c r="Q60" s="41">
        <f t="shared" si="158"/>
        <v>136.37325845875844</v>
      </c>
      <c r="R60" s="41">
        <f t="shared" si="158"/>
        <v>138.51267398336051</v>
      </c>
      <c r="S60" s="41">
        <f t="shared" si="158"/>
        <v>140.65208950796253</v>
      </c>
      <c r="T60" s="41">
        <f t="shared" si="158"/>
        <v>142.79150503256457</v>
      </c>
      <c r="U60" s="41">
        <f t="shared" si="158"/>
        <v>144.93092055716659</v>
      </c>
      <c r="V60" s="41">
        <f t="shared" si="158"/>
        <v>147.07033608176855</v>
      </c>
      <c r="W60" s="41">
        <f t="shared" si="158"/>
        <v>149.20975160637056</v>
      </c>
      <c r="X60" s="41">
        <f t="shared" si="158"/>
        <v>151.34916713097252</v>
      </c>
      <c r="Y60" s="41">
        <f t="shared" si="158"/>
        <v>153.48858265557448</v>
      </c>
      <c r="Z60" s="41">
        <f t="shared" si="158"/>
        <v>155.62799818017641</v>
      </c>
      <c r="AA60" s="41">
        <f t="shared" si="158"/>
        <v>157.76741370477833</v>
      </c>
      <c r="AB60" s="41">
        <f t="shared" si="158"/>
        <v>159.90682922938021</v>
      </c>
      <c r="AC60" s="41">
        <f t="shared" si="158"/>
        <v>162.04624475398214</v>
      </c>
      <c r="AD60" s="41">
        <f t="shared" si="158"/>
        <v>164.18566027858401</v>
      </c>
      <c r="AE60" s="41">
        <f t="shared" si="158"/>
        <v>166.32507580318585</v>
      </c>
      <c r="AF60" s="41">
        <f t="shared" si="158"/>
        <v>168.46449132778773</v>
      </c>
      <c r="AG60" s="41">
        <f t="shared" si="158"/>
        <v>170.60390685238957</v>
      </c>
      <c r="AH60" s="41">
        <f t="shared" si="158"/>
        <v>172.74332237699139</v>
      </c>
      <c r="AI60" s="41">
        <f t="shared" si="158"/>
        <v>174.8827379015932</v>
      </c>
      <c r="AJ60" s="41">
        <f t="shared" si="158"/>
        <v>177.02215342619499</v>
      </c>
      <c r="AK60" s="41">
        <f t="shared" si="158"/>
        <v>179.16156895079675</v>
      </c>
      <c r="AL60" s="41">
        <f t="shared" si="158"/>
        <v>181.30098447539851</v>
      </c>
      <c r="AM60" s="41">
        <f t="shared" si="158"/>
        <v>183.4404000000003</v>
      </c>
    </row>
    <row r="61" spans="1:39" outlineLevel="1" x14ac:dyDescent="0.25">
      <c r="A61" t="s">
        <v>186</v>
      </c>
      <c r="B61" s="111">
        <v>128.18202210000004</v>
      </c>
      <c r="C61" s="111">
        <v>130.81176204324356</v>
      </c>
      <c r="D61" s="111">
        <v>133.44150198648708</v>
      </c>
      <c r="E61" s="111">
        <v>136.0712419297306</v>
      </c>
      <c r="F61" s="111">
        <v>138.7009818729741</v>
      </c>
      <c r="G61" s="111">
        <v>141.33072181621759</v>
      </c>
      <c r="H61" s="111">
        <v>143.96046175946108</v>
      </c>
      <c r="I61" s="111">
        <v>146.59020170270452</v>
      </c>
      <c r="J61" s="111">
        <v>149.21994164594796</v>
      </c>
      <c r="K61" s="111">
        <v>151.84968158919139</v>
      </c>
      <c r="L61" s="111">
        <v>154.47942153243477</v>
      </c>
      <c r="M61" s="111">
        <v>157.10916147567818</v>
      </c>
      <c r="N61" s="111">
        <v>159.73890141892153</v>
      </c>
      <c r="O61" s="111">
        <v>162.36864136216491</v>
      </c>
      <c r="P61" s="111">
        <v>164.99838130540823</v>
      </c>
      <c r="Q61" s="111">
        <v>167.62812124865158</v>
      </c>
      <c r="R61" s="111">
        <v>170.2578611918949</v>
      </c>
      <c r="S61" s="111">
        <v>172.88760113513817</v>
      </c>
      <c r="T61" s="111">
        <v>175.51734107838146</v>
      </c>
      <c r="U61" s="111">
        <v>178.14708102162473</v>
      </c>
      <c r="V61" s="111">
        <v>180.77682096486794</v>
      </c>
      <c r="W61" s="111">
        <v>183.40656090811117</v>
      </c>
      <c r="X61" s="111">
        <v>186.03630085135438</v>
      </c>
      <c r="Y61" s="111">
        <v>188.66604079459756</v>
      </c>
      <c r="Z61" s="111">
        <v>191.29578073784074</v>
      </c>
      <c r="AA61" s="111">
        <v>193.92552068108387</v>
      </c>
      <c r="AB61" s="111">
        <v>196.55526062432699</v>
      </c>
      <c r="AC61" s="111">
        <v>199.18500056757011</v>
      </c>
      <c r="AD61" s="111">
        <v>201.81474051081321</v>
      </c>
      <c r="AE61" s="111">
        <v>204.44448045405628</v>
      </c>
      <c r="AF61" s="111">
        <v>207.07422039729934</v>
      </c>
      <c r="AG61" s="111">
        <v>209.70396034054241</v>
      </c>
      <c r="AH61" s="111">
        <v>212.33370028378542</v>
      </c>
      <c r="AI61" s="111">
        <v>214.96344022702843</v>
      </c>
      <c r="AJ61" s="111">
        <v>217.59318017027141</v>
      </c>
      <c r="AK61" s="111">
        <v>220.22292011351436</v>
      </c>
      <c r="AL61" s="111">
        <v>222.85266005675732</v>
      </c>
      <c r="AM61" s="111">
        <v>225.4824000000003</v>
      </c>
    </row>
    <row r="62" spans="1:39" outlineLevel="1" x14ac:dyDescent="0.25"/>
    <row r="63" spans="1:39" outlineLevel="1" x14ac:dyDescent="0.25"/>
    <row r="64" spans="1:39" outlineLevel="1" x14ac:dyDescent="0.25">
      <c r="A64" s="3" t="s">
        <v>22</v>
      </c>
      <c r="B64" s="47">
        <v>2013</v>
      </c>
      <c r="C64" s="47">
        <v>2014</v>
      </c>
      <c r="D64" s="47">
        <v>2015</v>
      </c>
      <c r="E64" s="47">
        <v>2016</v>
      </c>
      <c r="F64" s="47">
        <v>2017</v>
      </c>
      <c r="G64" s="47">
        <v>2018</v>
      </c>
      <c r="H64" s="47">
        <v>2019</v>
      </c>
      <c r="I64" s="47">
        <v>2020</v>
      </c>
      <c r="J64" s="47">
        <v>2021</v>
      </c>
      <c r="K64" s="47">
        <v>2022</v>
      </c>
      <c r="L64" s="47">
        <v>2023</v>
      </c>
      <c r="M64" s="47">
        <v>2024</v>
      </c>
      <c r="N64" s="47">
        <v>2025</v>
      </c>
      <c r="O64" s="47">
        <v>2026</v>
      </c>
      <c r="P64" s="47">
        <v>2027</v>
      </c>
      <c r="Q64" s="47">
        <v>2028</v>
      </c>
      <c r="R64" s="47">
        <v>2029</v>
      </c>
      <c r="S64" s="47">
        <v>2030</v>
      </c>
      <c r="T64" s="47">
        <v>2031</v>
      </c>
      <c r="U64" s="47">
        <v>2032</v>
      </c>
      <c r="V64" s="47">
        <v>2033</v>
      </c>
      <c r="W64" s="47">
        <v>2034</v>
      </c>
      <c r="X64" s="47">
        <v>2035</v>
      </c>
      <c r="Y64" s="47">
        <v>2036</v>
      </c>
      <c r="Z64" s="47">
        <v>2037</v>
      </c>
      <c r="AA64" s="47">
        <v>2038</v>
      </c>
      <c r="AB64" s="47">
        <v>2039</v>
      </c>
      <c r="AC64" s="47">
        <v>2040</v>
      </c>
      <c r="AD64" s="47">
        <v>2041</v>
      </c>
      <c r="AE64" s="47">
        <v>2042</v>
      </c>
      <c r="AF64" s="47">
        <v>2043</v>
      </c>
      <c r="AG64" s="47">
        <v>2044</v>
      </c>
      <c r="AH64" s="47">
        <v>2045</v>
      </c>
      <c r="AI64" s="47">
        <v>2046</v>
      </c>
      <c r="AJ64" s="47">
        <v>2047</v>
      </c>
      <c r="AK64" s="47">
        <v>2048</v>
      </c>
      <c r="AL64" s="47">
        <v>2049</v>
      </c>
      <c r="AM64" s="47">
        <v>2050</v>
      </c>
    </row>
    <row r="65" spans="1:39" outlineLevel="1" x14ac:dyDescent="0.25">
      <c r="A65" t="s">
        <v>171</v>
      </c>
      <c r="B65" s="60">
        <f>'Linéarisation mix'!B7*1000000</f>
        <v>1500000</v>
      </c>
      <c r="C65" s="60">
        <f>'Linéarisation mix'!C7*1000000</f>
        <v>1676480.8556027412</v>
      </c>
      <c r="D65" s="60">
        <f>'Linéarisation mix'!D7*1000000</f>
        <v>1852961.7112047824</v>
      </c>
      <c r="E65" s="60">
        <f>'Linéarisation mix'!E7*1000000</f>
        <v>2029442.5668057832</v>
      </c>
      <c r="F65" s="60">
        <f>'Linéarisation mix'!F7*1000000</f>
        <v>2205923.4224054134</v>
      </c>
      <c r="G65" s="60">
        <f>'Linéarisation mix'!G7*1000000</f>
        <v>2382404.2780033546</v>
      </c>
      <c r="H65" s="60">
        <f>'Linéarisation mix'!H7*1000000</f>
        <v>2558885.1335993046</v>
      </c>
      <c r="I65" s="60">
        <f>'Linéarisation mix'!I7*1000000</f>
        <v>2735365.9891929752</v>
      </c>
      <c r="J65" s="60">
        <f>'Linéarisation mix'!J7*1000000</f>
        <v>2911846.8447840991</v>
      </c>
      <c r="K65" s="60">
        <f>'Linéarisation mix'!K7*1000000</f>
        <v>3088327.7003724277</v>
      </c>
      <c r="L65" s="60">
        <f>'Linéarisation mix'!L7*1000000</f>
        <v>3264808.5559577341</v>
      </c>
      <c r="M65" s="60">
        <f>'Linéarisation mix'!M7*1000000</f>
        <v>3441289.4115398149</v>
      </c>
      <c r="N65" s="60">
        <f>'Linéarisation mix'!N7*1000000</f>
        <v>3617770.2671184926</v>
      </c>
      <c r="O65" s="60">
        <f>'Linéarisation mix'!O7*1000000</f>
        <v>3794251.122693615</v>
      </c>
      <c r="P65" s="60">
        <f>'Linéarisation mix'!P7*1000000</f>
        <v>3970731.9782650555</v>
      </c>
      <c r="Q65" s="60">
        <f>'Linéarisation mix'!Q7*1000000</f>
        <v>4147212.8338327156</v>
      </c>
      <c r="R65" s="60">
        <f>'Linéarisation mix'!R7*1000000</f>
        <v>4323693.6893965239</v>
      </c>
      <c r="S65" s="60">
        <f>'Linéarisation mix'!S7*1000000</f>
        <v>4500174.5449564392</v>
      </c>
      <c r="T65" s="60">
        <f>'Linéarisation mix'!T7*1000000</f>
        <v>4676655.4005124466</v>
      </c>
      <c r="U65" s="60">
        <f>'Linéarisation mix'!U7*1000000</f>
        <v>4853136.2560645612</v>
      </c>
      <c r="V65" s="60">
        <f>'Linéarisation mix'!V7*1000000</f>
        <v>5029617.1116128238</v>
      </c>
      <c r="W65" s="60">
        <f>'Linéarisation mix'!W7*1000000</f>
        <v>5206097.9671573052</v>
      </c>
      <c r="X65" s="60">
        <f>'Linéarisation mix'!X7*1000000</f>
        <v>5382578.8226981005</v>
      </c>
      <c r="Y65" s="60">
        <f>'Linéarisation mix'!Y7*1000000</f>
        <v>5559059.6782353316</v>
      </c>
      <c r="Z65" s="60">
        <f>'Linéarisation mix'!Z7*1000000</f>
        <v>5735540.5337691447</v>
      </c>
      <c r="AA65" s="60">
        <f>'Linéarisation mix'!AA7*1000000</f>
        <v>5912021.3892997112</v>
      </c>
      <c r="AB65" s="60">
        <f>'Linéarisation mix'!AB7*1000000</f>
        <v>6088502.2448272221</v>
      </c>
      <c r="AC65" s="60">
        <f>'Linéarisation mix'!AC7*1000000</f>
        <v>6264983.1003518915</v>
      </c>
      <c r="AD65" s="60">
        <f>'Linéarisation mix'!AD7*1000000</f>
        <v>6441463.9558739495</v>
      </c>
      <c r="AE65" s="60">
        <f>'Linéarisation mix'!AE7*1000000</f>
        <v>6617944.8113936465</v>
      </c>
      <c r="AF65" s="60">
        <f>'Linéarisation mix'!AF7*1000000</f>
        <v>6794425.6669112463</v>
      </c>
      <c r="AG65" s="60">
        <f>'Linéarisation mix'!AG7*1000000</f>
        <v>6970906.5224270271</v>
      </c>
      <c r="AH65" s="60">
        <f>'Linéarisation mix'!AH7*1000000</f>
        <v>7147387.3779412759</v>
      </c>
      <c r="AI65" s="60">
        <f>'Linéarisation mix'!AI7*1000000</f>
        <v>7323868.2334542898</v>
      </c>
      <c r="AJ65" s="60">
        <f>'Linéarisation mix'!AJ7*1000000</f>
        <v>7500349.0889663734</v>
      </c>
      <c r="AK65" s="60">
        <f>'Linéarisation mix'!AK7*1000000</f>
        <v>7676829.9444778366</v>
      </c>
      <c r="AL65" s="60">
        <f>'Linéarisation mix'!AL7*1000000</f>
        <v>7853310.7999889897</v>
      </c>
      <c r="AM65" s="60">
        <f>'Linéarisation mix'!AM7*1000000</f>
        <v>8029791.655500141</v>
      </c>
    </row>
    <row r="66" spans="1:39" outlineLevel="1" x14ac:dyDescent="0.25">
      <c r="A66" t="s">
        <v>185</v>
      </c>
      <c r="B66" s="60">
        <f>LCOE!B5</f>
        <v>150</v>
      </c>
      <c r="C66" s="60">
        <f ca="1">LCOE!C5</f>
        <v>147.05882352941165</v>
      </c>
      <c r="D66" s="60">
        <f ca="1">LCOE!D5</f>
        <v>144.11764705882334</v>
      </c>
      <c r="E66" s="60">
        <f ca="1">LCOE!E5</f>
        <v>141.17647058823502</v>
      </c>
      <c r="F66" s="60">
        <f ca="1">LCOE!F5</f>
        <v>138.23529411764673</v>
      </c>
      <c r="G66" s="60">
        <f ca="1">LCOE!G5</f>
        <v>135.29411764705844</v>
      </c>
      <c r="H66" s="60">
        <f ca="1">LCOE!H5</f>
        <v>132.35294117647018</v>
      </c>
      <c r="I66" s="60">
        <f ca="1">LCOE!I5</f>
        <v>129.41176470588192</v>
      </c>
      <c r="J66" s="60">
        <f ca="1">LCOE!J5</f>
        <v>126.47058823529369</v>
      </c>
      <c r="K66" s="60">
        <f ca="1">LCOE!K5</f>
        <v>123.52941176470547</v>
      </c>
      <c r="L66" s="60">
        <f ca="1">LCOE!L5</f>
        <v>120.58823529411725</v>
      </c>
      <c r="M66" s="60">
        <f ca="1">LCOE!M5</f>
        <v>117.64705882352905</v>
      </c>
      <c r="N66" s="60">
        <f ca="1">LCOE!N5</f>
        <v>114.70588235294086</v>
      </c>
      <c r="O66" s="60">
        <f ca="1">LCOE!O5</f>
        <v>111.76470588235267</v>
      </c>
      <c r="P66" s="60">
        <f ca="1">LCOE!P5</f>
        <v>108.8235294117645</v>
      </c>
      <c r="Q66" s="60">
        <f ca="1">LCOE!Q5</f>
        <v>105.88235294117632</v>
      </c>
      <c r="R66" s="60">
        <f ca="1">LCOE!R5</f>
        <v>102.94117647058816</v>
      </c>
      <c r="S66" s="60">
        <f>LCOE!S5</f>
        <v>100</v>
      </c>
      <c r="T66" s="60">
        <f ca="1">LCOE!T5</f>
        <v>97.499999999999915</v>
      </c>
      <c r="U66" s="60">
        <f ca="1">LCOE!U5</f>
        <v>94.999999999999844</v>
      </c>
      <c r="V66" s="60">
        <f ca="1">LCOE!V5</f>
        <v>92.499999999999773</v>
      </c>
      <c r="W66" s="60">
        <f ca="1">LCOE!W5</f>
        <v>89.999999999999716</v>
      </c>
      <c r="X66" s="60">
        <f ca="1">LCOE!X5</f>
        <v>87.499999999999673</v>
      </c>
      <c r="Y66" s="60">
        <f ca="1">LCOE!Y5</f>
        <v>84.999999999999631</v>
      </c>
      <c r="Z66" s="60">
        <f ca="1">LCOE!Z5</f>
        <v>82.499999999999602</v>
      </c>
      <c r="AA66" s="60">
        <f ca="1">LCOE!AA5</f>
        <v>79.999999999999588</v>
      </c>
      <c r="AB66" s="60">
        <f ca="1">LCOE!AB5</f>
        <v>77.499999999999574</v>
      </c>
      <c r="AC66" s="60">
        <f ca="1">LCOE!AC5</f>
        <v>74.999999999999574</v>
      </c>
      <c r="AD66" s="60">
        <f ca="1">LCOE!AD5</f>
        <v>72.499999999999588</v>
      </c>
      <c r="AE66" s="60">
        <f ca="1">LCOE!AE5</f>
        <v>69.999999999999602</v>
      </c>
      <c r="AF66" s="60">
        <f ca="1">LCOE!AF5</f>
        <v>67.499999999999631</v>
      </c>
      <c r="AG66" s="60">
        <f ca="1">LCOE!AG5</f>
        <v>64.999999999999673</v>
      </c>
      <c r="AH66" s="60">
        <f ca="1">LCOE!AH5</f>
        <v>62.499999999999716</v>
      </c>
      <c r="AI66" s="60">
        <f ca="1">LCOE!AI5</f>
        <v>59.999999999999766</v>
      </c>
      <c r="AJ66" s="60">
        <f ca="1">LCOE!AJ5</f>
        <v>57.499999999999815</v>
      </c>
      <c r="AK66" s="60">
        <f ca="1">LCOE!AK5</f>
        <v>54.999999999999872</v>
      </c>
      <c r="AL66" s="60">
        <f ca="1">LCOE!AL5</f>
        <v>52.499999999999936</v>
      </c>
      <c r="AM66" s="60">
        <f>LCOE!AM5</f>
        <v>50</v>
      </c>
    </row>
    <row r="67" spans="1:39" outlineLevel="1" x14ac:dyDescent="0.25">
      <c r="A67" t="s">
        <v>127</v>
      </c>
      <c r="B67" s="48">
        <v>0</v>
      </c>
      <c r="C67" s="64">
        <f>B67+C65-B65</f>
        <v>176480.85560274124</v>
      </c>
      <c r="D67" s="64">
        <f t="shared" ref="D67" si="159">C67+D65-C65</f>
        <v>352961.71120478236</v>
      </c>
      <c r="E67" s="64">
        <f t="shared" ref="E67" si="160">D67+E65-D65</f>
        <v>529442.56680578343</v>
      </c>
      <c r="F67" s="64">
        <f t="shared" ref="F67" si="161">E67+F65-E65</f>
        <v>705923.42240541382</v>
      </c>
      <c r="G67" s="64">
        <f t="shared" ref="G67" si="162">F67+G65-F65</f>
        <v>882404.27800335502</v>
      </c>
      <c r="H67" s="64">
        <f t="shared" ref="H67" si="163">G67+H65-G65</f>
        <v>1058885.1335993051</v>
      </c>
      <c r="I67" s="64">
        <f t="shared" ref="I67" si="164">H67+I65-H65</f>
        <v>1235365.9891929757</v>
      </c>
      <c r="J67" s="64">
        <f t="shared" ref="J67" si="165">I67+J65-I65</f>
        <v>1411846.8447840996</v>
      </c>
      <c r="K67" s="64">
        <f t="shared" ref="K67" si="166">J67+K65-J65</f>
        <v>1588327.7003724282</v>
      </c>
      <c r="L67" s="64">
        <f t="shared" ref="L67" si="167">K67+L65-K65</f>
        <v>1764808.5559577346</v>
      </c>
      <c r="M67" s="64">
        <f t="shared" ref="M67" si="168">L67+M65-L65</f>
        <v>1941289.4115398158</v>
      </c>
      <c r="N67" s="64">
        <f t="shared" ref="N67" si="169">M67+N65-M65</f>
        <v>2117770.2671184936</v>
      </c>
      <c r="O67" s="64">
        <f t="shared" ref="O67" si="170">N67+O65-N65</f>
        <v>2294251.1226936155</v>
      </c>
      <c r="P67" s="64">
        <f t="shared" ref="P67" si="171">O67+P65-O65</f>
        <v>2470731.9782650564</v>
      </c>
      <c r="Q67" s="64">
        <f t="shared" ref="Q67" si="172">P67+Q65-P65</f>
        <v>2647212.8338327166</v>
      </c>
      <c r="R67" s="64">
        <f t="shared" ref="R67" si="173">Q67+R65-Q65</f>
        <v>2823693.6893965248</v>
      </c>
      <c r="S67" s="64">
        <f t="shared" ref="S67" si="174">R67+S65-R65</f>
        <v>3000174.5449564401</v>
      </c>
      <c r="T67" s="64">
        <f t="shared" ref="T67" si="175">S67+T65-S65</f>
        <v>3176655.4005124476</v>
      </c>
      <c r="U67" s="64">
        <f t="shared" ref="U67" si="176">T67+U65-T65</f>
        <v>3353136.2560645621</v>
      </c>
      <c r="V67" s="64">
        <f t="shared" ref="V67" si="177">U67+V65-U65</f>
        <v>3529617.1116128247</v>
      </c>
      <c r="W67" s="64">
        <f t="shared" ref="W67" si="178">V67+W65-V65</f>
        <v>3706097.9671573071</v>
      </c>
      <c r="X67" s="64">
        <f t="shared" ref="X67" si="179">W67+X65-W65</f>
        <v>3882578.8226981023</v>
      </c>
      <c r="Y67" s="64">
        <f t="shared" ref="Y67" si="180">X67+Y65-X65</f>
        <v>4059059.6782353343</v>
      </c>
      <c r="Z67" s="64">
        <f t="shared" ref="Z67" si="181">Y67+Z65-Y65</f>
        <v>4235540.5337691475</v>
      </c>
      <c r="AA67" s="64">
        <f t="shared" ref="AA67" si="182">Z67+AA65-Z65</f>
        <v>4412021.389299714</v>
      </c>
      <c r="AB67" s="64">
        <f t="shared" ref="AB67" si="183">AA67+AB65-AA65</f>
        <v>4588502.2448272239</v>
      </c>
      <c r="AC67" s="64">
        <f t="shared" ref="AC67" si="184">AB67+AC65-AB65</f>
        <v>4764983.1003518924</v>
      </c>
      <c r="AD67" s="64">
        <f t="shared" ref="AD67" si="185">AC67+AD65-AC65</f>
        <v>4941463.9558739504</v>
      </c>
      <c r="AE67" s="64">
        <f t="shared" ref="AE67" si="186">AD67+AE65-AD65</f>
        <v>5117944.8113936465</v>
      </c>
      <c r="AF67" s="64">
        <f t="shared" ref="AF67" si="187">AE67+AF65-AE65</f>
        <v>5294425.6669112463</v>
      </c>
      <c r="AG67" s="64">
        <f t="shared" ref="AG67" si="188">AF67+AG65-AF65</f>
        <v>5470906.522427028</v>
      </c>
      <c r="AH67" s="64">
        <f t="shared" ref="AH67" si="189">AG67+AH65-AG65</f>
        <v>5647387.3779412759</v>
      </c>
      <c r="AI67" s="64">
        <f t="shared" ref="AI67" si="190">AH67+AI65-AH65</f>
        <v>5823868.2334542898</v>
      </c>
      <c r="AJ67" s="64">
        <f t="shared" ref="AJ67" si="191">AI67+AJ65-AI65</f>
        <v>6000349.0889663743</v>
      </c>
      <c r="AK67" s="64">
        <f t="shared" ref="AK67" si="192">AJ67+AK65-AJ65</f>
        <v>6176829.9444778375</v>
      </c>
      <c r="AL67" s="64">
        <f t="shared" ref="AL67" si="193">AK67+AL65-AK65</f>
        <v>6353310.7999889897</v>
      </c>
      <c r="AM67" s="64">
        <f t="shared" ref="AM67" si="194">AL67+AM65-AL65</f>
        <v>6529791.655500141</v>
      </c>
    </row>
    <row r="68" spans="1:39" outlineLevel="1" x14ac:dyDescent="0.25">
      <c r="A68" t="s">
        <v>188</v>
      </c>
      <c r="B68" s="48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9"/>
      <c r="N68" s="42"/>
      <c r="O68" s="42"/>
      <c r="P68" s="42"/>
      <c r="Q68" s="42"/>
      <c r="R68" s="42"/>
      <c r="S68" s="43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9"/>
      <c r="AF68" s="49"/>
      <c r="AG68" s="49"/>
      <c r="AH68" s="49"/>
      <c r="AI68" s="49"/>
      <c r="AJ68" s="49"/>
      <c r="AK68" s="49"/>
      <c r="AL68" s="42"/>
      <c r="AM68" s="104">
        <f>AM70/AM72</f>
        <v>0.28559031923885753</v>
      </c>
    </row>
    <row r="69" spans="1:39" outlineLevel="1" x14ac:dyDescent="0.25">
      <c r="A69" t="s">
        <v>206</v>
      </c>
      <c r="B69" s="58">
        <v>20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outlineLevel="1" x14ac:dyDescent="0.25">
      <c r="A70" t="s">
        <v>107</v>
      </c>
      <c r="B70" s="13">
        <f t="shared" ref="B70:AK70" si="195">$AM$68*B72</f>
        <v>64.257821828742948</v>
      </c>
      <c r="C70" s="13">
        <f t="shared" si="195"/>
        <v>71.606768654077541</v>
      </c>
      <c r="D70" s="13">
        <f t="shared" si="195"/>
        <v>78.905123275619744</v>
      </c>
      <c r="E70" s="13">
        <f t="shared" si="195"/>
        <v>85.992241138785147</v>
      </c>
      <c r="F70" s="13">
        <f t="shared" si="195"/>
        <v>92.868122243562425</v>
      </c>
      <c r="G70" s="13">
        <f t="shared" si="195"/>
        <v>99.532766589941659</v>
      </c>
      <c r="H70" s="13">
        <f t="shared" si="195"/>
        <v>105.98617417791421</v>
      </c>
      <c r="I70" s="13">
        <f t="shared" si="195"/>
        <v>112.22834500747281</v>
      </c>
      <c r="J70" s="13">
        <f t="shared" si="195"/>
        <v>118.25927907861158</v>
      </c>
      <c r="K70" s="13">
        <f t="shared" si="195"/>
        <v>124.07897639132607</v>
      </c>
      <c r="L70" s="13">
        <f t="shared" si="195"/>
        <v>129.68743694561314</v>
      </c>
      <c r="M70" s="13">
        <f t="shared" si="195"/>
        <v>135.08466074147108</v>
      </c>
      <c r="N70" s="13">
        <f t="shared" si="195"/>
        <v>140.27064777889942</v>
      </c>
      <c r="O70" s="13">
        <f t="shared" si="195"/>
        <v>145.24539805789908</v>
      </c>
      <c r="P70" s="13">
        <f t="shared" si="195"/>
        <v>150.00891157847209</v>
      </c>
      <c r="Q70" s="13">
        <f t="shared" si="195"/>
        <v>154.56118834062164</v>
      </c>
      <c r="R70" s="13">
        <f t="shared" si="195"/>
        <v>158.90222834435198</v>
      </c>
      <c r="S70" s="13">
        <f t="shared" si="195"/>
        <v>163.03203158966843</v>
      </c>
      <c r="T70" s="13">
        <f t="shared" si="195"/>
        <v>166.98228359032152</v>
      </c>
      <c r="U70" s="13">
        <f t="shared" si="195"/>
        <v>170.75298434631722</v>
      </c>
      <c r="V70" s="13">
        <f t="shared" si="195"/>
        <v>171.29188732079686</v>
      </c>
      <c r="W70" s="13">
        <f t="shared" si="195"/>
        <v>171.73000435779394</v>
      </c>
      <c r="X70" s="13">
        <f t="shared" si="195"/>
        <v>172.07380384877433</v>
      </c>
      <c r="Y70" s="13">
        <f t="shared" si="195"/>
        <v>172.32328579375147</v>
      </c>
      <c r="Z70" s="13">
        <f t="shared" si="195"/>
        <v>172.47845019273899</v>
      </c>
      <c r="AA70" s="13">
        <f t="shared" si="195"/>
        <v>172.53929704575026</v>
      </c>
      <c r="AB70" s="13">
        <f t="shared" si="195"/>
        <v>172.50582635279855</v>
      </c>
      <c r="AC70" s="13">
        <f t="shared" si="195"/>
        <v>172.37803811389674</v>
      </c>
      <c r="AD70" s="13">
        <f t="shared" si="195"/>
        <v>172.15593232905715</v>
      </c>
      <c r="AE70" s="13">
        <f t="shared" si="195"/>
        <v>171.83950899829176</v>
      </c>
      <c r="AF70" s="13">
        <f t="shared" si="195"/>
        <v>171.42876812161165</v>
      </c>
      <c r="AG70" s="13">
        <f t="shared" si="195"/>
        <v>170.9237096990274</v>
      </c>
      <c r="AH70" s="13">
        <f t="shared" si="195"/>
        <v>170.32433373054852</v>
      </c>
      <c r="AI70" s="13">
        <f t="shared" si="195"/>
        <v>169.63064021618359</v>
      </c>
      <c r="AJ70" s="13">
        <f t="shared" si="195"/>
        <v>168.84262915594047</v>
      </c>
      <c r="AK70" s="13">
        <f t="shared" si="195"/>
        <v>167.9603005498258</v>
      </c>
      <c r="AL70" s="13">
        <f>$AM$68*AL72</f>
        <v>166.98365439784527</v>
      </c>
      <c r="AM70" s="13">
        <f>LCOE!AS5*1000*'Capacités installées'!B25/1000000</f>
        <v>165.91269070000325</v>
      </c>
    </row>
    <row r="71" spans="1:39" outlineLevel="1" x14ac:dyDescent="0.25">
      <c r="A71" t="s">
        <v>111</v>
      </c>
      <c r="B71" s="41">
        <f>B72-B70</f>
        <v>160.74217817125705</v>
      </c>
      <c r="C71" s="41">
        <f t="shared" ref="C71:AM71" si="196">C72-C70</f>
        <v>179.12571011103145</v>
      </c>
      <c r="D71" s="41">
        <f t="shared" si="196"/>
        <v>197.38268467919511</v>
      </c>
      <c r="E71" s="41">
        <f t="shared" si="196"/>
        <v>215.11124643028862</v>
      </c>
      <c r="F71" s="41">
        <f t="shared" si="196"/>
        <v>232.31139536428356</v>
      </c>
      <c r="G71" s="41">
        <f t="shared" si="196"/>
        <v>248.98313148115511</v>
      </c>
      <c r="H71" s="41">
        <f t="shared" si="196"/>
        <v>265.12645478088172</v>
      </c>
      <c r="I71" s="41">
        <f t="shared" si="196"/>
        <v>280.74136526344518</v>
      </c>
      <c r="J71" s="41">
        <f t="shared" si="196"/>
        <v>295.82786292883071</v>
      </c>
      <c r="K71" s="41">
        <f t="shared" si="196"/>
        <v>310.3859477770273</v>
      </c>
      <c r="L71" s="41">
        <f t="shared" si="196"/>
        <v>324.41561980802703</v>
      </c>
      <c r="M71" s="41">
        <f t="shared" si="196"/>
        <v>337.91687902182571</v>
      </c>
      <c r="N71" s="41">
        <f t="shared" si="196"/>
        <v>350.88972541842202</v>
      </c>
      <c r="O71" s="41">
        <f t="shared" si="196"/>
        <v>363.33415899781829</v>
      </c>
      <c r="P71" s="41">
        <f t="shared" si="196"/>
        <v>375.25017976001971</v>
      </c>
      <c r="Q71" s="41">
        <f t="shared" si="196"/>
        <v>386.6377877050341</v>
      </c>
      <c r="R71" s="41">
        <f t="shared" si="196"/>
        <v>397.49698283287228</v>
      </c>
      <c r="S71" s="41">
        <f t="shared" si="196"/>
        <v>407.82776514354737</v>
      </c>
      <c r="T71" s="41">
        <f t="shared" si="196"/>
        <v>417.70939655960507</v>
      </c>
      <c r="U71" s="41">
        <f t="shared" si="196"/>
        <v>427.14187708106022</v>
      </c>
      <c r="V71" s="41">
        <f t="shared" si="196"/>
        <v>428.48995324479483</v>
      </c>
      <c r="W71" s="41">
        <f t="shared" si="196"/>
        <v>429.58591144593856</v>
      </c>
      <c r="X71" s="41">
        <f t="shared" si="196"/>
        <v>430.44593249025036</v>
      </c>
      <c r="Y71" s="41">
        <f t="shared" si="196"/>
        <v>431.07001637776386</v>
      </c>
      <c r="Z71" s="41">
        <f t="shared" si="196"/>
        <v>431.45816310851291</v>
      </c>
      <c r="AA71" s="41">
        <f t="shared" si="196"/>
        <v>431.61037268253131</v>
      </c>
      <c r="AB71" s="41">
        <f t="shared" si="196"/>
        <v>431.52664509985198</v>
      </c>
      <c r="AC71" s="41">
        <f t="shared" si="196"/>
        <v>431.20698036050715</v>
      </c>
      <c r="AD71" s="41">
        <f t="shared" si="196"/>
        <v>430.65137846452785</v>
      </c>
      <c r="AE71" s="41">
        <f t="shared" si="196"/>
        <v>429.85983941194388</v>
      </c>
      <c r="AF71" s="41">
        <f t="shared" si="196"/>
        <v>428.83236320278303</v>
      </c>
      <c r="AG71" s="41">
        <f t="shared" si="196"/>
        <v>427.56894983707161</v>
      </c>
      <c r="AH71" s="41">
        <f t="shared" si="196"/>
        <v>426.06959931483362</v>
      </c>
      <c r="AI71" s="41">
        <f t="shared" si="196"/>
        <v>424.33431163609055</v>
      </c>
      <c r="AJ71" s="41">
        <f t="shared" si="196"/>
        <v>422.36308680086177</v>
      </c>
      <c r="AK71" s="41">
        <f t="shared" si="196"/>
        <v>420.15592480916416</v>
      </c>
      <c r="AL71" s="41">
        <f t="shared" si="196"/>
        <v>417.71282566101172</v>
      </c>
      <c r="AM71" s="41">
        <f t="shared" si="196"/>
        <v>415.03378935641558</v>
      </c>
    </row>
    <row r="72" spans="1:39" outlineLevel="1" x14ac:dyDescent="0.25">
      <c r="A72" t="s">
        <v>186</v>
      </c>
      <c r="B72" s="111">
        <v>225</v>
      </c>
      <c r="C72" s="111">
        <v>250.73247876510899</v>
      </c>
      <c r="D72" s="111">
        <v>276.28780795481487</v>
      </c>
      <c r="E72" s="111">
        <v>301.10348756907376</v>
      </c>
      <c r="F72" s="111">
        <v>325.17951760784598</v>
      </c>
      <c r="G72" s="111">
        <v>348.51589807109679</v>
      </c>
      <c r="H72" s="111">
        <v>371.11262895879594</v>
      </c>
      <c r="I72" s="111">
        <v>392.96971027091797</v>
      </c>
      <c r="J72" s="111">
        <v>414.08714200744231</v>
      </c>
      <c r="K72" s="111">
        <v>434.46492416835338</v>
      </c>
      <c r="L72" s="111">
        <v>454.1030567536402</v>
      </c>
      <c r="M72" s="111">
        <v>473.00153976329676</v>
      </c>
      <c r="N72" s="111">
        <v>491.16037319732141</v>
      </c>
      <c r="O72" s="111">
        <v>508.57955705571737</v>
      </c>
      <c r="P72" s="111">
        <v>525.25909133849177</v>
      </c>
      <c r="Q72" s="111">
        <v>541.19897604565574</v>
      </c>
      <c r="R72" s="111">
        <v>556.39921117722429</v>
      </c>
      <c r="S72" s="111">
        <v>570.85979673321583</v>
      </c>
      <c r="T72" s="111">
        <v>584.69168014992658</v>
      </c>
      <c r="U72" s="111">
        <v>597.89486142737746</v>
      </c>
      <c r="V72" s="111">
        <v>599.78184056559166</v>
      </c>
      <c r="W72" s="111">
        <v>601.31591580373254</v>
      </c>
      <c r="X72" s="111">
        <v>602.51973633902469</v>
      </c>
      <c r="Y72" s="111">
        <v>603.3933021715153</v>
      </c>
      <c r="Z72" s="111">
        <v>603.9366133012519</v>
      </c>
      <c r="AA72" s="111">
        <v>604.14966972828154</v>
      </c>
      <c r="AB72" s="111">
        <v>604.0324714526505</v>
      </c>
      <c r="AC72" s="111">
        <v>603.58501847440391</v>
      </c>
      <c r="AD72" s="111">
        <v>602.80731079358497</v>
      </c>
      <c r="AE72" s="111">
        <v>601.69934841023564</v>
      </c>
      <c r="AF72" s="111">
        <v>600.26113132439468</v>
      </c>
      <c r="AG72" s="111">
        <v>598.49265953609904</v>
      </c>
      <c r="AH72" s="111">
        <v>596.39393304538214</v>
      </c>
      <c r="AI72" s="111">
        <v>593.96495185227411</v>
      </c>
      <c r="AJ72" s="111">
        <v>591.20571595680224</v>
      </c>
      <c r="AK72" s="111">
        <v>588.11622535898994</v>
      </c>
      <c r="AL72" s="111">
        <v>584.69648005885699</v>
      </c>
      <c r="AM72" s="111">
        <v>580.94648005641886</v>
      </c>
    </row>
    <row r="74" spans="1:39" ht="23.25" x14ac:dyDescent="0.25">
      <c r="A74" s="62" t="s">
        <v>128</v>
      </c>
    </row>
    <row r="76" spans="1:39" outlineLevel="1" x14ac:dyDescent="0.25">
      <c r="A76" s="3" t="s">
        <v>172</v>
      </c>
      <c r="B76" s="47">
        <v>2013</v>
      </c>
      <c r="C76" s="47">
        <v>2014</v>
      </c>
      <c r="D76" s="47">
        <v>2015</v>
      </c>
      <c r="E76" s="47">
        <v>2016</v>
      </c>
      <c r="F76" s="47">
        <v>2017</v>
      </c>
      <c r="G76" s="47">
        <v>2018</v>
      </c>
      <c r="H76" s="47">
        <v>2019</v>
      </c>
      <c r="I76" s="47">
        <v>2020</v>
      </c>
      <c r="J76" s="47">
        <v>2021</v>
      </c>
      <c r="K76" s="47">
        <v>2022</v>
      </c>
      <c r="L76" s="47">
        <v>2023</v>
      </c>
      <c r="M76" s="47">
        <v>2024</v>
      </c>
      <c r="N76" s="47">
        <v>2025</v>
      </c>
      <c r="O76" s="47">
        <v>2026</v>
      </c>
      <c r="P76" s="47">
        <v>2027</v>
      </c>
      <c r="Q76" s="47">
        <v>2028</v>
      </c>
      <c r="R76" s="47">
        <v>2029</v>
      </c>
      <c r="S76" s="47">
        <v>2030</v>
      </c>
      <c r="T76" s="47">
        <v>2031</v>
      </c>
      <c r="U76" s="47">
        <v>2032</v>
      </c>
      <c r="V76" s="47">
        <v>2033</v>
      </c>
      <c r="W76" s="47">
        <v>2034</v>
      </c>
      <c r="X76" s="47">
        <v>2035</v>
      </c>
      <c r="Y76" s="47">
        <v>2036</v>
      </c>
      <c r="Z76" s="47">
        <v>2037</v>
      </c>
      <c r="AA76" s="47">
        <v>2038</v>
      </c>
      <c r="AB76" s="47">
        <v>2039</v>
      </c>
      <c r="AC76" s="47">
        <v>2040</v>
      </c>
      <c r="AD76" s="47">
        <v>2041</v>
      </c>
      <c r="AE76" s="47">
        <v>2042</v>
      </c>
      <c r="AF76" s="47">
        <v>2043</v>
      </c>
      <c r="AG76" s="47">
        <v>2044</v>
      </c>
      <c r="AH76" s="47">
        <v>2045</v>
      </c>
      <c r="AI76" s="47">
        <v>2046</v>
      </c>
      <c r="AJ76" s="47">
        <v>2047</v>
      </c>
      <c r="AK76" s="47">
        <v>2048</v>
      </c>
      <c r="AL76" s="47">
        <v>2049</v>
      </c>
      <c r="AM76" s="47">
        <v>2050</v>
      </c>
    </row>
    <row r="77" spans="1:39" outlineLevel="1" x14ac:dyDescent="0.25">
      <c r="A77" t="s">
        <v>171</v>
      </c>
      <c r="B77" s="49">
        <f>'Linéarisation mix'!B12*1000000</f>
        <v>418680</v>
      </c>
      <c r="C77" s="49">
        <f>'Linéarisation mix'!C12*1000000</f>
        <v>1060249.8947361328</v>
      </c>
      <c r="D77" s="49">
        <f>'Linéarisation mix'!D12*1000000</f>
        <v>1701820.9287029977</v>
      </c>
      <c r="E77" s="49">
        <f>'Linéarisation mix'!E12*1000000</f>
        <v>2343393.655129164</v>
      </c>
      <c r="F77" s="49">
        <f>'Linéarisation mix'!F12*1000000</f>
        <v>2984968.6110921134</v>
      </c>
      <c r="G77" s="49">
        <f>'Linéarisation mix'!G12*1000000</f>
        <v>3626546.313771714</v>
      </c>
      <c r="H77" s="49">
        <f>'Linéarisation mix'!H12*1000000</f>
        <v>4268127.2568737417</v>
      </c>
      <c r="I77" s="49">
        <f>'Linéarisation mix'!I12*1000000</f>
        <v>4909711.9072479568</v>
      </c>
      <c r="J77" s="49">
        <f>'Linéarisation mix'!J12*1000000</f>
        <v>5551300.7017236482</v>
      </c>
      <c r="K77" s="49">
        <f>'Linéarisation mix'!K12*1000000</f>
        <v>6192894.0441838447</v>
      </c>
      <c r="L77" s="49">
        <f>'Linéarisation mix'!L12*1000000</f>
        <v>6834492.3028975194</v>
      </c>
      <c r="M77" s="49">
        <f>'Linéarisation mix'!M12*1000000</f>
        <v>7476095.8081271267</v>
      </c>
      <c r="N77" s="49">
        <f>'Linéarisation mix'!N12*1000000</f>
        <v>8117704.8500266802</v>
      </c>
      <c r="O77" s="49">
        <f>'Linéarisation mix'!O12*1000000</f>
        <v>8759319.6768434104</v>
      </c>
      <c r="P77" s="49">
        <f>'Linéarisation mix'!P12*1000000</f>
        <v>9400940.4934337661</v>
      </c>
      <c r="Q77" s="49">
        <f>'Linéarisation mix'!Q12*1000000</f>
        <v>10042567.46010213</v>
      </c>
      <c r="R77" s="49">
        <f>'Linéarisation mix'!R12*1000000</f>
        <v>10684200.691768341</v>
      </c>
      <c r="S77" s="49">
        <f>'Linéarisation mix'!S12*1000000</f>
        <v>11325840.257467577</v>
      </c>
      <c r="T77" s="49">
        <f>'Linéarisation mix'!T12*1000000</f>
        <v>11967486.180183867</v>
      </c>
      <c r="U77" s="49">
        <f>'Linéarisation mix'!U12*1000000</f>
        <v>12609138.437015982</v>
      </c>
      <c r="V77" s="49">
        <f>'Linéarisation mix'!V12*1000000</f>
        <v>13250796.95967216</v>
      </c>
      <c r="W77" s="49">
        <f>'Linéarisation mix'!W12*1000000</f>
        <v>13892461.635287702</v>
      </c>
      <c r="X77" s="49">
        <f>'Linéarisation mix'!X12*1000000</f>
        <v>14534132.307557287</v>
      </c>
      <c r="Y77" s="49">
        <f>'Linéarisation mix'!Y12*1000000</f>
        <v>15175808.778171532</v>
      </c>
      <c r="Z77" s="49">
        <f>'Linéarisation mix'!Z12*1000000</f>
        <v>15817490.80854536</v>
      </c>
      <c r="AA77" s="49">
        <f>'Linéarisation mix'!AA12*1000000</f>
        <v>16459178.121823562</v>
      </c>
      <c r="AB77" s="49">
        <f>'Linéarisation mix'!AB12*1000000</f>
        <v>17100870.405147202</v>
      </c>
      <c r="AC77" s="49">
        <f>'Linéarisation mix'!AC12*1000000</f>
        <v>17742567.312162649</v>
      </c>
      <c r="AD77" s="49">
        <f>'Linéarisation mix'!AD12*1000000</f>
        <v>18384268.465753458</v>
      </c>
      <c r="AE77" s="49">
        <f>'Linéarisation mix'!AE12*1000000</f>
        <v>19025973.460973877</v>
      </c>
      <c r="AF77" s="49">
        <f>'Linéarisation mix'!AF12*1000000</f>
        <v>19667681.868161358</v>
      </c>
      <c r="AG77" s="49">
        <f>'Linéarisation mix'!AG12*1000000</f>
        <v>20309393.23620449</v>
      </c>
      <c r="AH77" s="49">
        <f>'Linéarisation mix'!AH12*1000000</f>
        <v>20951107.095941663</v>
      </c>
      <c r="AI77" s="49">
        <f>'Linéarisation mix'!AI12*1000000</f>
        <v>21592822.963665128</v>
      </c>
      <c r="AJ77" s="49">
        <f>'Linéarisation mix'!AJ12*1000000</f>
        <v>22234540.344704457</v>
      </c>
      <c r="AK77" s="49">
        <f>'Linéarisation mix'!AK12*1000000</f>
        <v>22876258.737063076</v>
      </c>
      <c r="AL77" s="49">
        <f>'Linéarisation mix'!AL12*1000000</f>
        <v>23517977.63508134</v>
      </c>
      <c r="AM77" s="49">
        <f>'Linéarisation mix'!AM12*1000000</f>
        <v>24159696.533099607</v>
      </c>
    </row>
    <row r="78" spans="1:39" outlineLevel="1" x14ac:dyDescent="0.25">
      <c r="A78" t="s">
        <v>185</v>
      </c>
      <c r="B78" s="60">
        <f>LCOE!B16</f>
        <v>201.20834630956088</v>
      </c>
      <c r="C78" s="60">
        <f ca="1">LCOE!C16</f>
        <v>198.78432593841012</v>
      </c>
      <c r="D78" s="60">
        <f ca="1">LCOE!D16</f>
        <v>196.36030556725936</v>
      </c>
      <c r="E78" s="60">
        <f ca="1">LCOE!E16</f>
        <v>193.9362851961086</v>
      </c>
      <c r="F78" s="60">
        <f ca="1">LCOE!F16</f>
        <v>191.51226482495787</v>
      </c>
      <c r="G78" s="60">
        <f ca="1">LCOE!G16</f>
        <v>189.08824445380716</v>
      </c>
      <c r="H78" s="60">
        <f ca="1">LCOE!H16</f>
        <v>186.66422408265646</v>
      </c>
      <c r="I78" s="60">
        <f ca="1">LCOE!I16</f>
        <v>184.24020371150579</v>
      </c>
      <c r="J78" s="60">
        <f ca="1">LCOE!J16</f>
        <v>181.81618334035514</v>
      </c>
      <c r="K78" s="60">
        <f ca="1">LCOE!K16</f>
        <v>179.39216296920449</v>
      </c>
      <c r="L78" s="60">
        <f ca="1">LCOE!L16</f>
        <v>176.96814259805387</v>
      </c>
      <c r="M78" s="60">
        <f ca="1">LCOE!M16</f>
        <v>174.54412222690328</v>
      </c>
      <c r="N78" s="60">
        <f ca="1">LCOE!N16</f>
        <v>172.12010185575269</v>
      </c>
      <c r="O78" s="60">
        <f ca="1">LCOE!O16</f>
        <v>169.69608148460213</v>
      </c>
      <c r="P78" s="60">
        <f ca="1">LCOE!P16</f>
        <v>167.27206111345157</v>
      </c>
      <c r="Q78" s="60">
        <f ca="1">LCOE!Q16</f>
        <v>164.84804074230104</v>
      </c>
      <c r="R78" s="60">
        <f ca="1">LCOE!R16</f>
        <v>162.4240203711505</v>
      </c>
      <c r="S78" s="60">
        <f>LCOE!S16</f>
        <v>160</v>
      </c>
      <c r="T78" s="60">
        <f ca="1">LCOE!T16</f>
        <v>159.99999999999983</v>
      </c>
      <c r="U78" s="60">
        <f ca="1">LCOE!U16</f>
        <v>159.99999999999969</v>
      </c>
      <c r="V78" s="60">
        <f ca="1">LCOE!V16</f>
        <v>159.99999999999955</v>
      </c>
      <c r="W78" s="60">
        <f ca="1">LCOE!W16</f>
        <v>159.99999999999943</v>
      </c>
      <c r="X78" s="60">
        <f ca="1">LCOE!X16</f>
        <v>159.99999999999935</v>
      </c>
      <c r="Y78" s="60">
        <f ca="1">LCOE!Y16</f>
        <v>159.99999999999926</v>
      </c>
      <c r="Z78" s="60">
        <f ca="1">LCOE!Z16</f>
        <v>159.9999999999992</v>
      </c>
      <c r="AA78" s="60">
        <f ca="1">LCOE!AA16</f>
        <v>159.99999999999918</v>
      </c>
      <c r="AB78" s="60">
        <f ca="1">LCOE!AB16</f>
        <v>159.99999999999915</v>
      </c>
      <c r="AC78" s="60">
        <f ca="1">LCOE!AC16</f>
        <v>159.99999999999915</v>
      </c>
      <c r="AD78" s="60">
        <f ca="1">LCOE!AD16</f>
        <v>159.99999999999915</v>
      </c>
      <c r="AE78" s="60">
        <f ca="1">LCOE!AE16</f>
        <v>159.99999999999918</v>
      </c>
      <c r="AF78" s="60">
        <f ca="1">LCOE!AF16</f>
        <v>159.9999999999992</v>
      </c>
      <c r="AG78" s="60">
        <f ca="1">LCOE!AG16</f>
        <v>159.99999999999926</v>
      </c>
      <c r="AH78" s="60">
        <f ca="1">LCOE!AH16</f>
        <v>159.99999999999935</v>
      </c>
      <c r="AI78" s="60">
        <f ca="1">LCOE!AI16</f>
        <v>159.99999999999943</v>
      </c>
      <c r="AJ78" s="60">
        <f ca="1">LCOE!AJ16</f>
        <v>159.99999999999955</v>
      </c>
      <c r="AK78" s="60">
        <f ca="1">LCOE!AK16</f>
        <v>159.99999999999969</v>
      </c>
      <c r="AL78" s="60">
        <f ca="1">LCOE!AL16</f>
        <v>159.99999999999983</v>
      </c>
      <c r="AM78" s="60">
        <f>LCOE!AM16</f>
        <v>160</v>
      </c>
    </row>
    <row r="79" spans="1:39" outlineLevel="1" x14ac:dyDescent="0.25">
      <c r="A79" t="s">
        <v>127</v>
      </c>
      <c r="B79" s="48">
        <v>0</v>
      </c>
      <c r="C79" s="64">
        <f>B79+C77-B77</f>
        <v>641569.89473613282</v>
      </c>
      <c r="D79" s="64">
        <f t="shared" ref="D79" si="197">C79+D77-C77</f>
        <v>1283140.9287029977</v>
      </c>
      <c r="E79" s="64">
        <f t="shared" ref="E79" si="198">D79+E77-D77</f>
        <v>1924713.6551291638</v>
      </c>
      <c r="F79" s="64">
        <f t="shared" ref="F79" si="199">E79+F77-E77</f>
        <v>2566288.6110921134</v>
      </c>
      <c r="G79" s="64">
        <f t="shared" ref="G79" si="200">F79+G77-F77</f>
        <v>3207866.313771714</v>
      </c>
      <c r="H79" s="64">
        <f t="shared" ref="H79" si="201">G79+H77-G77</f>
        <v>3849447.2568737413</v>
      </c>
      <c r="I79" s="64">
        <f t="shared" ref="I79" si="202">H79+I77-H77</f>
        <v>4491031.9072479568</v>
      </c>
      <c r="J79" s="64">
        <f t="shared" ref="J79" si="203">I79+J77-I77</f>
        <v>5132620.7017236482</v>
      </c>
      <c r="K79" s="64">
        <f t="shared" ref="K79" si="204">J79+K77-J77</f>
        <v>5774214.0441838447</v>
      </c>
      <c r="L79" s="64">
        <f t="shared" ref="L79" si="205">K79+L77-K77</f>
        <v>6415812.3028975185</v>
      </c>
      <c r="M79" s="64">
        <f t="shared" ref="M79" si="206">L79+M77-L77</f>
        <v>7057415.8081271248</v>
      </c>
      <c r="N79" s="64">
        <f t="shared" ref="N79" si="207">M79+N77-M77</f>
        <v>7699024.8500266792</v>
      </c>
      <c r="O79" s="64">
        <f t="shared" ref="O79" si="208">N79+O77-N77</f>
        <v>8340639.6768434104</v>
      </c>
      <c r="P79" s="64">
        <f t="shared" ref="P79" si="209">O79+P77-O77</f>
        <v>8982260.4934337679</v>
      </c>
      <c r="Q79" s="64">
        <f t="shared" ref="Q79" si="210">P79+Q77-P77</f>
        <v>9623887.4601021335</v>
      </c>
      <c r="R79" s="64">
        <f t="shared" ref="R79" si="211">Q79+R77-Q77</f>
        <v>10265520.691768344</v>
      </c>
      <c r="S79" s="64">
        <f t="shared" ref="S79" si="212">R79+S77-R77</f>
        <v>10907160.257467583</v>
      </c>
      <c r="T79" s="64">
        <f t="shared" ref="T79" si="213">S79+T77-S77</f>
        <v>11548806.180183871</v>
      </c>
      <c r="U79" s="64">
        <f t="shared" ref="U79" si="214">T79+U77-T77</f>
        <v>12190458.437015986</v>
      </c>
      <c r="V79" s="64">
        <f t="shared" ref="V79" si="215">U79+V77-U77</f>
        <v>12832116.959672166</v>
      </c>
      <c r="W79" s="64">
        <f t="shared" ref="W79" si="216">V79+W77-V77</f>
        <v>13473781.63528771</v>
      </c>
      <c r="X79" s="64">
        <f t="shared" ref="X79" si="217">W79+X77-W77</f>
        <v>14115452.307557292</v>
      </c>
      <c r="Y79" s="64">
        <f t="shared" ref="Y79" si="218">X79+Y77-X77</f>
        <v>14757128.778171537</v>
      </c>
      <c r="Z79" s="64">
        <f t="shared" ref="Z79" si="219">Y79+Z77-Y77</f>
        <v>15398810.808545366</v>
      </c>
      <c r="AA79" s="64">
        <f t="shared" ref="AA79" si="220">Z79+AA77-Z77</f>
        <v>16040498.12182357</v>
      </c>
      <c r="AB79" s="64">
        <f t="shared" ref="AB79" si="221">AA79+AB77-AA77</f>
        <v>16682190.405147212</v>
      </c>
      <c r="AC79" s="64">
        <f t="shared" ref="AC79" si="222">AB79+AC77-AB77</f>
        <v>17323887.31216266</v>
      </c>
      <c r="AD79" s="64">
        <f t="shared" ref="AD79" si="223">AC79+AD77-AC77</f>
        <v>17965588.46575347</v>
      </c>
      <c r="AE79" s="64">
        <f t="shared" ref="AE79" si="224">AD79+AE77-AD77</f>
        <v>18607293.460973889</v>
      </c>
      <c r="AF79" s="64">
        <f t="shared" ref="AF79" si="225">AE79+AF77-AE77</f>
        <v>19249001.868161369</v>
      </c>
      <c r="AG79" s="64">
        <f t="shared" ref="AG79" si="226">AF79+AG77-AF77</f>
        <v>19890713.236204498</v>
      </c>
      <c r="AH79" s="64">
        <f t="shared" ref="AH79" si="227">AG79+AH77-AG77</f>
        <v>20532427.09594167</v>
      </c>
      <c r="AI79" s="64">
        <f t="shared" ref="AI79" si="228">AH79+AI77-AH77</f>
        <v>21174142.963665135</v>
      </c>
      <c r="AJ79" s="64">
        <f t="shared" ref="AJ79" si="229">AI79+AJ77-AI77</f>
        <v>21815860.344704464</v>
      </c>
      <c r="AK79" s="64">
        <f t="shared" ref="AK79" si="230">AJ79+AK77-AJ77</f>
        <v>22457578.737063088</v>
      </c>
      <c r="AL79" s="64">
        <f t="shared" ref="AL79" si="231">AK79+AL77-AK77</f>
        <v>23099297.635081355</v>
      </c>
      <c r="AM79" s="64">
        <f t="shared" ref="AM79" si="232">AL79+AM77-AL77</f>
        <v>23741016.533099618</v>
      </c>
    </row>
    <row r="80" spans="1:39" outlineLevel="1" x14ac:dyDescent="0.25">
      <c r="A80" t="s">
        <v>188</v>
      </c>
      <c r="B80" s="48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9"/>
      <c r="N80" s="42"/>
      <c r="O80" s="42"/>
      <c r="P80" s="42"/>
      <c r="Q80" s="42"/>
      <c r="R80" s="42"/>
      <c r="S80" s="43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9"/>
      <c r="AF80" s="49"/>
      <c r="AG80" s="49"/>
      <c r="AH80" s="49"/>
      <c r="AI80" s="49"/>
      <c r="AJ80" s="49"/>
      <c r="AK80" s="49"/>
      <c r="AL80" s="42"/>
      <c r="AM80" s="104">
        <f>AM82/AM84</f>
        <v>7.9226520671750941E-3</v>
      </c>
    </row>
    <row r="81" spans="1:39" outlineLevel="1" x14ac:dyDescent="0.25">
      <c r="A81" t="s">
        <v>206</v>
      </c>
      <c r="B81" s="58">
        <v>30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outlineLevel="1" x14ac:dyDescent="0.25">
      <c r="A82" t="s">
        <v>107</v>
      </c>
      <c r="B82" s="41">
        <f t="shared" ref="B82:AK82" si="233">$AM$80*B84</f>
        <v>0.66741934583389084</v>
      </c>
      <c r="C82" s="41">
        <f t="shared" si="233"/>
        <v>1.6775591437126192</v>
      </c>
      <c r="D82" s="41">
        <f t="shared" si="233"/>
        <v>2.6751115553984679</v>
      </c>
      <c r="E82" s="41">
        <f t="shared" si="233"/>
        <v>3.6600773871643408</v>
      </c>
      <c r="F82" s="41">
        <f t="shared" si="233"/>
        <v>4.6324573889036218</v>
      </c>
      <c r="G82" s="41">
        <f t="shared" si="233"/>
        <v>5.5922522497582827</v>
      </c>
      <c r="H82" s="41">
        <f t="shared" si="233"/>
        <v>6.539462594358227</v>
      </c>
      <c r="I82" s="41">
        <f t="shared" si="233"/>
        <v>7.4740889796880365</v>
      </c>
      <c r="J82" s="41">
        <f t="shared" si="233"/>
        <v>8.3961318925917308</v>
      </c>
      <c r="K82" s="41">
        <f t="shared" si="233"/>
        <v>9.3055917479205856</v>
      </c>
      <c r="L82" s="41">
        <f t="shared" si="233"/>
        <v>10.202468887323613</v>
      </c>
      <c r="M82" s="41">
        <f t="shared" si="233"/>
        <v>11.086763578674974</v>
      </c>
      <c r="N82" s="41">
        <f t="shared" si="233"/>
        <v>11.958476016127305</v>
      </c>
      <c r="O82" s="41">
        <f t="shared" si="233"/>
        <v>12.81760632077502</v>
      </c>
      <c r="P82" s="41">
        <f t="shared" si="233"/>
        <v>13.664154541906887</v>
      </c>
      <c r="Q82" s="41">
        <f t="shared" si="233"/>
        <v>14.498120658822577</v>
      </c>
      <c r="R82" s="41">
        <f t="shared" si="233"/>
        <v>15.319504583183836</v>
      </c>
      <c r="S82" s="41">
        <f t="shared" si="233"/>
        <v>16.128306161866899</v>
      </c>
      <c r="T82" s="41">
        <f t="shared" si="233"/>
        <v>16.937115798859455</v>
      </c>
      <c r="U82" s="41">
        <f t="shared" si="233"/>
        <v>17.745933465131337</v>
      </c>
      <c r="V82" s="41">
        <f t="shared" si="233"/>
        <v>18.554759074114255</v>
      </c>
      <c r="W82" s="41">
        <f t="shared" si="233"/>
        <v>19.363592482738166</v>
      </c>
      <c r="X82" s="41">
        <f t="shared" si="233"/>
        <v>20.172433492866645</v>
      </c>
      <c r="Y82" s="41">
        <f t="shared" si="233"/>
        <v>20.981281853117899</v>
      </c>
      <c r="Z82" s="41">
        <f t="shared" si="233"/>
        <v>21.790137261055666</v>
      </c>
      <c r="AA82" s="41">
        <f t="shared" si="233"/>
        <v>22.598999365731558</v>
      </c>
      <c r="AB82" s="41">
        <f t="shared" si="233"/>
        <v>23.407867770557971</v>
      </c>
      <c r="AC82" s="41">
        <f t="shared" si="233"/>
        <v>24.216742036488618</v>
      </c>
      <c r="AD82" s="41">
        <f t="shared" si="233"/>
        <v>25.025621685481518</v>
      </c>
      <c r="AE82" s="41">
        <f t="shared" si="233"/>
        <v>25.834506204217579</v>
      </c>
      <c r="AF82" s="41">
        <f t="shared" si="233"/>
        <v>26.643395048046102</v>
      </c>
      <c r="AG82" s="41">
        <f t="shared" si="233"/>
        <v>27.255417455691525</v>
      </c>
      <c r="AH82" s="41">
        <f t="shared" si="233"/>
        <v>27.881371954051311</v>
      </c>
      <c r="AI82" s="41">
        <f t="shared" si="233"/>
        <v>28.519917723105952</v>
      </c>
      <c r="AJ82" s="41">
        <f t="shared" si="233"/>
        <v>29.171054066718259</v>
      </c>
      <c r="AK82" s="41">
        <f t="shared" si="233"/>
        <v>29.834780314992987</v>
      </c>
      <c r="AL82" s="41">
        <f>$AM$80*AL84</f>
        <v>30.511095828147216</v>
      </c>
      <c r="AM82" s="41">
        <f>LCOE!AS16*1000*'Capacités installées'!B12/1000000</f>
        <v>31.2</v>
      </c>
    </row>
    <row r="83" spans="1:39" outlineLevel="1" x14ac:dyDescent="0.25">
      <c r="A83" t="s">
        <v>111</v>
      </c>
      <c r="B83" s="13">
        <f>B84-B82</f>
        <v>83.574491087053048</v>
      </c>
      <c r="C83" s="13">
        <f t="shared" ref="C83:AM83" si="234">C84-C82</f>
        <v>210.06456072837344</v>
      </c>
      <c r="D83" s="13">
        <f t="shared" si="234"/>
        <v>334.97843333292417</v>
      </c>
      <c r="E83" s="13">
        <f t="shared" si="234"/>
        <v>458.31620986248896</v>
      </c>
      <c r="F83" s="13">
        <f t="shared" si="234"/>
        <v>580.07798421898758</v>
      </c>
      <c r="G83" s="13">
        <f t="shared" si="234"/>
        <v>700.26384269702635</v>
      </c>
      <c r="H83" s="13">
        <f t="shared" si="234"/>
        <v>818.87386351298676</v>
      </c>
      <c r="I83" s="13">
        <f t="shared" si="234"/>
        <v>935.90811641267908</v>
      </c>
      <c r="J83" s="13">
        <f t="shared" si="234"/>
        <v>1051.366662358887</v>
      </c>
      <c r="K83" s="13">
        <f t="shared" si="234"/>
        <v>1165.2495532994365</v>
      </c>
      <c r="L83" s="13">
        <f t="shared" si="234"/>
        <v>1277.5568320157402</v>
      </c>
      <c r="M83" s="13">
        <f t="shared" si="234"/>
        <v>1388.2885320510975</v>
      </c>
      <c r="N83" s="13">
        <f t="shared" si="234"/>
        <v>1497.4446777173707</v>
      </c>
      <c r="O83" s="13">
        <f t="shared" si="234"/>
        <v>1605.0252841780468</v>
      </c>
      <c r="P83" s="13">
        <f t="shared" si="234"/>
        <v>1711.0303576050828</v>
      </c>
      <c r="Q83" s="13">
        <f t="shared" si="234"/>
        <v>1815.4598954063758</v>
      </c>
      <c r="R83" s="13">
        <f t="shared" si="234"/>
        <v>1918.3138865201779</v>
      </c>
      <c r="S83" s="13">
        <f t="shared" si="234"/>
        <v>2019.5923117722764</v>
      </c>
      <c r="T83" s="13">
        <f t="shared" si="234"/>
        <v>2120.8717460887942</v>
      </c>
      <c r="U83" s="13">
        <f t="shared" si="234"/>
        <v>2222.1521858345641</v>
      </c>
      <c r="V83" s="13">
        <f t="shared" si="234"/>
        <v>2323.4336201694728</v>
      </c>
      <c r="W83" s="13">
        <f t="shared" si="234"/>
        <v>2424.7160311782391</v>
      </c>
      <c r="X83" s="13">
        <f t="shared" si="234"/>
        <v>2525.9993940501472</v>
      </c>
      <c r="Y83" s="13">
        <f t="shared" si="234"/>
        <v>2627.283677307079</v>
      </c>
      <c r="Z83" s="13">
        <f t="shared" si="234"/>
        <v>2728.5688430778564</v>
      </c>
      <c r="AA83" s="13">
        <f t="shared" si="234"/>
        <v>2829.8548474165959</v>
      </c>
      <c r="AB83" s="13">
        <f t="shared" si="234"/>
        <v>2931.1416406624553</v>
      </c>
      <c r="AC83" s="13">
        <f t="shared" si="234"/>
        <v>3032.4291678378995</v>
      </c>
      <c r="AD83" s="13">
        <f t="shared" si="234"/>
        <v>3133.7173690823397</v>
      </c>
      <c r="AE83" s="13">
        <f t="shared" si="234"/>
        <v>3235.006180117774</v>
      </c>
      <c r="AF83" s="13">
        <f t="shared" si="234"/>
        <v>3336.2955327428458</v>
      </c>
      <c r="AG83" s="13">
        <f t="shared" si="234"/>
        <v>3412.9331992595862</v>
      </c>
      <c r="AH83" s="13">
        <f t="shared" si="234"/>
        <v>3491.3154471980374</v>
      </c>
      <c r="AI83" s="13">
        <f t="shared" si="234"/>
        <v>3571.2743785919952</v>
      </c>
      <c r="AJ83" s="13">
        <f t="shared" si="234"/>
        <v>3652.8099062709116</v>
      </c>
      <c r="AK83" s="13">
        <f t="shared" si="234"/>
        <v>3735.9219463502604</v>
      </c>
      <c r="AL83" s="13">
        <f t="shared" si="234"/>
        <v>3820.6104187161955</v>
      </c>
      <c r="AM83" s="13">
        <f t="shared" si="234"/>
        <v>3906.8752474625198</v>
      </c>
    </row>
    <row r="84" spans="1:39" outlineLevel="1" x14ac:dyDescent="0.25">
      <c r="A84" t="s">
        <v>186</v>
      </c>
      <c r="B84" s="111">
        <v>84.241910432886939</v>
      </c>
      <c r="C84" s="111">
        <v>211.74211987208605</v>
      </c>
      <c r="D84" s="111">
        <v>337.65354488832264</v>
      </c>
      <c r="E84" s="111">
        <v>461.9762872496533</v>
      </c>
      <c r="F84" s="111">
        <v>584.7104416078912</v>
      </c>
      <c r="G84" s="111">
        <v>705.85609494678465</v>
      </c>
      <c r="H84" s="111">
        <v>825.41332610734503</v>
      </c>
      <c r="I84" s="111">
        <v>943.38220539236715</v>
      </c>
      <c r="J84" s="111">
        <v>1059.7627942514787</v>
      </c>
      <c r="K84" s="111">
        <v>1174.555145047357</v>
      </c>
      <c r="L84" s="111">
        <v>1287.7593009030638</v>
      </c>
      <c r="M84" s="111">
        <v>1399.3752956297724</v>
      </c>
      <c r="N84" s="111">
        <v>1509.4031537334981</v>
      </c>
      <c r="O84" s="111">
        <v>1617.8428904988218</v>
      </c>
      <c r="P84" s="111">
        <v>1724.6945121469896</v>
      </c>
      <c r="Q84" s="111">
        <v>1829.9580160651983</v>
      </c>
      <c r="R84" s="111">
        <v>1933.6333911033616</v>
      </c>
      <c r="S84" s="111">
        <v>2035.7206179341433</v>
      </c>
      <c r="T84" s="111">
        <v>2137.8088618876536</v>
      </c>
      <c r="U84" s="111">
        <v>2239.8981192996953</v>
      </c>
      <c r="V84" s="111">
        <v>2341.9883792435871</v>
      </c>
      <c r="W84" s="111">
        <v>2444.0796236609772</v>
      </c>
      <c r="X84" s="111">
        <v>2546.1718275430139</v>
      </c>
      <c r="Y84" s="111">
        <v>2648.2649591601967</v>
      </c>
      <c r="Z84" s="111">
        <v>2750.3589803389123</v>
      </c>
      <c r="AA84" s="111">
        <v>2852.4538467823277</v>
      </c>
      <c r="AB84" s="111">
        <v>2954.5495084330132</v>
      </c>
      <c r="AC84" s="111">
        <v>3056.6459098743881</v>
      </c>
      <c r="AD84" s="111">
        <v>3158.7429907678211</v>
      </c>
      <c r="AE84" s="111">
        <v>3260.8406863219916</v>
      </c>
      <c r="AF84" s="111">
        <v>3362.9389277908917</v>
      </c>
      <c r="AG84" s="111">
        <v>3440.1886167152779</v>
      </c>
      <c r="AH84" s="111">
        <v>3519.1968191520887</v>
      </c>
      <c r="AI84" s="111">
        <v>3599.7942963151013</v>
      </c>
      <c r="AJ84" s="111">
        <v>3681.9809603376298</v>
      </c>
      <c r="AK84" s="111">
        <v>3765.7567266652536</v>
      </c>
      <c r="AL84" s="111">
        <v>3851.1215145443425</v>
      </c>
      <c r="AM84" s="111">
        <v>3938.0752474625197</v>
      </c>
    </row>
    <row r="85" spans="1:39" outlineLevel="1" x14ac:dyDescent="0.25"/>
    <row r="86" spans="1:39" ht="23.25" x14ac:dyDescent="0.25">
      <c r="A86" s="62" t="s">
        <v>18</v>
      </c>
    </row>
    <row r="88" spans="1:39" outlineLevel="1" x14ac:dyDescent="0.25">
      <c r="A88" s="3" t="s">
        <v>130</v>
      </c>
      <c r="B88" s="47">
        <v>2013</v>
      </c>
      <c r="C88" s="47">
        <v>2014</v>
      </c>
      <c r="D88" s="47">
        <v>2015</v>
      </c>
      <c r="E88" s="47">
        <v>2016</v>
      </c>
      <c r="F88" s="47">
        <v>2017</v>
      </c>
      <c r="G88" s="47">
        <v>2018</v>
      </c>
      <c r="H88" s="47">
        <v>2019</v>
      </c>
      <c r="I88" s="47">
        <v>2020</v>
      </c>
      <c r="J88" s="47">
        <v>2021</v>
      </c>
      <c r="K88" s="47">
        <v>2022</v>
      </c>
      <c r="L88" s="47">
        <v>2023</v>
      </c>
      <c r="M88" s="47">
        <v>2024</v>
      </c>
      <c r="N88" s="47">
        <v>2025</v>
      </c>
      <c r="O88" s="47">
        <v>2026</v>
      </c>
      <c r="P88" s="47">
        <v>2027</v>
      </c>
      <c r="Q88" s="47">
        <v>2028</v>
      </c>
      <c r="R88" s="47">
        <v>2029</v>
      </c>
      <c r="S88" s="47">
        <v>2030</v>
      </c>
      <c r="T88" s="47">
        <v>2031</v>
      </c>
      <c r="U88" s="47">
        <v>2032</v>
      </c>
      <c r="V88" s="47">
        <v>2033</v>
      </c>
      <c r="W88" s="47">
        <v>2034</v>
      </c>
      <c r="X88" s="47">
        <v>2035</v>
      </c>
      <c r="Y88" s="47">
        <v>2036</v>
      </c>
      <c r="Z88" s="47">
        <v>2037</v>
      </c>
      <c r="AA88" s="47">
        <v>2038</v>
      </c>
      <c r="AB88" s="47">
        <v>2039</v>
      </c>
      <c r="AC88" s="47">
        <v>2040</v>
      </c>
      <c r="AD88" s="47">
        <v>2041</v>
      </c>
      <c r="AE88" s="47">
        <v>2042</v>
      </c>
      <c r="AF88" s="47">
        <v>2043</v>
      </c>
      <c r="AG88" s="47">
        <v>2044</v>
      </c>
      <c r="AH88" s="47">
        <v>2045</v>
      </c>
      <c r="AI88" s="47">
        <v>2046</v>
      </c>
      <c r="AJ88" s="47">
        <v>2047</v>
      </c>
      <c r="AK88" s="47">
        <v>2048</v>
      </c>
      <c r="AL88" s="47">
        <v>2049</v>
      </c>
      <c r="AM88" s="47">
        <v>2050</v>
      </c>
    </row>
    <row r="89" spans="1:39" outlineLevel="1" x14ac:dyDescent="0.25">
      <c r="A89" t="s">
        <v>171</v>
      </c>
      <c r="B89" s="49">
        <f>'Linéarisation mix'!B11*1000000</f>
        <v>12025.420000000004</v>
      </c>
      <c r="C89" s="49">
        <f>'Linéarisation mix'!C11*1000000</f>
        <v>43662.570810811587</v>
      </c>
      <c r="D89" s="49">
        <f>'Linéarisation mix'!D11*1000000</f>
        <v>75299.721621623175</v>
      </c>
      <c r="E89" s="49">
        <f>'Linéarisation mix'!E11*1000000</f>
        <v>106936.87243243474</v>
      </c>
      <c r="F89" s="49">
        <f>'Linéarisation mix'!F11*1000000</f>
        <v>138574.02324324631</v>
      </c>
      <c r="G89" s="49">
        <f>'Linéarisation mix'!G11*1000000</f>
        <v>170211.17405405783</v>
      </c>
      <c r="H89" s="49">
        <f>'Linéarisation mix'!H11*1000000</f>
        <v>201848.32486486936</v>
      </c>
      <c r="I89" s="49">
        <f>'Linéarisation mix'!I11*1000000</f>
        <v>233485.47567568088</v>
      </c>
      <c r="J89" s="49">
        <f>'Linéarisation mix'!J11*1000000</f>
        <v>265122.6264864924</v>
      </c>
      <c r="K89" s="49">
        <f>'Linéarisation mix'!K11*1000000</f>
        <v>296759.77729730384</v>
      </c>
      <c r="L89" s="49">
        <f>'Linéarisation mix'!L11*1000000</f>
        <v>328396.92810811527</v>
      </c>
      <c r="M89" s="49">
        <f>'Linéarisation mix'!M11*1000000</f>
        <v>360034.07891892665</v>
      </c>
      <c r="N89" s="49">
        <f>'Linéarisation mix'!N11*1000000</f>
        <v>391671.22972973803</v>
      </c>
      <c r="O89" s="49">
        <f>'Linéarisation mix'!O11*1000000</f>
        <v>423308.38054054929</v>
      </c>
      <c r="P89" s="49">
        <f>'Linéarisation mix'!P11*1000000</f>
        <v>454945.53135136055</v>
      </c>
      <c r="Q89" s="49">
        <f>'Linéarisation mix'!Q11*1000000</f>
        <v>486582.68216217181</v>
      </c>
      <c r="R89" s="49">
        <f>'Linéarisation mix'!R11*1000000</f>
        <v>518219.83297298301</v>
      </c>
      <c r="S89" s="49">
        <f>'Linéarisation mix'!S11*1000000</f>
        <v>549856.9837837941</v>
      </c>
      <c r="T89" s="49">
        <f>'Linéarisation mix'!T11*1000000</f>
        <v>581494.13459460507</v>
      </c>
      <c r="U89" s="49">
        <f>'Linéarisation mix'!U11*1000000</f>
        <v>613131.28540541604</v>
      </c>
      <c r="V89" s="49">
        <f>'Linéarisation mix'!V11*1000000</f>
        <v>644768.4362162269</v>
      </c>
      <c r="W89" s="49">
        <f>'Linéarisation mix'!W11*1000000</f>
        <v>676405.58702703763</v>
      </c>
      <c r="X89" s="49">
        <f>'Linéarisation mix'!X11*1000000</f>
        <v>708042.73783784849</v>
      </c>
      <c r="Y89" s="49">
        <f>'Linéarisation mix'!Y11*1000000</f>
        <v>739679.88864865911</v>
      </c>
      <c r="Z89" s="49">
        <f>'Linéarisation mix'!Z11*1000000</f>
        <v>771317.03945946961</v>
      </c>
      <c r="AA89" s="49">
        <f>'Linéarisation mix'!AA11*1000000</f>
        <v>802954.19027028012</v>
      </c>
      <c r="AB89" s="49">
        <f>'Linéarisation mix'!AB11*1000000</f>
        <v>834591.34108109062</v>
      </c>
      <c r="AC89" s="49">
        <f>'Linéarisation mix'!AC11*1000000</f>
        <v>866228.49189190089</v>
      </c>
      <c r="AD89" s="49">
        <f>'Linéarisation mix'!AD11*1000000</f>
        <v>897865.64270271116</v>
      </c>
      <c r="AE89" s="49">
        <f>'Linéarisation mix'!AE11*1000000</f>
        <v>929502.79351352144</v>
      </c>
      <c r="AF89" s="49">
        <f>'Linéarisation mix'!AF11*1000000</f>
        <v>961139.94432433159</v>
      </c>
      <c r="AG89" s="49">
        <f>'Linéarisation mix'!AG11*1000000</f>
        <v>992777.09513514163</v>
      </c>
      <c r="AH89" s="49">
        <f>'Linéarisation mix'!AH11*1000000</f>
        <v>1024414.2459459518</v>
      </c>
      <c r="AI89" s="49">
        <f>'Linéarisation mix'!AI11*1000000</f>
        <v>1056051.3967567617</v>
      </c>
      <c r="AJ89" s="49">
        <f>'Linéarisation mix'!AJ11*1000000</f>
        <v>1087688.5475675715</v>
      </c>
      <c r="AK89" s="49">
        <f>'Linéarisation mix'!AK11*1000000</f>
        <v>1119325.6983783813</v>
      </c>
      <c r="AL89" s="49">
        <f>'Linéarisation mix'!AL11*1000000</f>
        <v>1150962.8491891909</v>
      </c>
      <c r="AM89" s="49">
        <f>'Linéarisation mix'!AM11*1000000</f>
        <v>1182600</v>
      </c>
    </row>
    <row r="90" spans="1:39" outlineLevel="1" x14ac:dyDescent="0.25">
      <c r="A90" t="s">
        <v>185</v>
      </c>
      <c r="B90" s="60">
        <f>LCOE!B17</f>
        <v>58</v>
      </c>
      <c r="C90" s="60">
        <f ca="1">LCOE!C17</f>
        <v>57.999999999999964</v>
      </c>
      <c r="D90" s="60">
        <f ca="1">LCOE!D17</f>
        <v>57.999999999999929</v>
      </c>
      <c r="E90" s="60">
        <f ca="1">LCOE!E17</f>
        <v>57.999999999999901</v>
      </c>
      <c r="F90" s="60">
        <f ca="1">LCOE!F17</f>
        <v>57.999999999999879</v>
      </c>
      <c r="G90" s="60">
        <f ca="1">LCOE!G17</f>
        <v>57.999999999999858</v>
      </c>
      <c r="H90" s="60">
        <f ca="1">LCOE!H17</f>
        <v>57.999999999999844</v>
      </c>
      <c r="I90" s="60">
        <f ca="1">LCOE!I17</f>
        <v>57.999999999999837</v>
      </c>
      <c r="J90" s="60">
        <f ca="1">LCOE!J17</f>
        <v>57.999999999999829</v>
      </c>
      <c r="K90" s="60">
        <f ca="1">LCOE!K17</f>
        <v>57.999999999999829</v>
      </c>
      <c r="L90" s="60">
        <f ca="1">LCOE!L17</f>
        <v>57.999999999999837</v>
      </c>
      <c r="M90" s="60">
        <f ca="1">LCOE!M17</f>
        <v>57.999999999999844</v>
      </c>
      <c r="N90" s="60">
        <f ca="1">LCOE!N17</f>
        <v>57.999999999999858</v>
      </c>
      <c r="O90" s="60">
        <f ca="1">LCOE!O17</f>
        <v>57.999999999999879</v>
      </c>
      <c r="P90" s="60">
        <f ca="1">LCOE!P17</f>
        <v>57.999999999999901</v>
      </c>
      <c r="Q90" s="60">
        <f ca="1">LCOE!Q17</f>
        <v>57.999999999999929</v>
      </c>
      <c r="R90" s="60">
        <f ca="1">LCOE!R17</f>
        <v>57.999999999999964</v>
      </c>
      <c r="S90" s="60">
        <f>LCOE!S17</f>
        <v>58</v>
      </c>
      <c r="T90" s="60">
        <f ca="1">LCOE!T17</f>
        <v>57.999999999999957</v>
      </c>
      <c r="U90" s="60">
        <f ca="1">LCOE!U17</f>
        <v>57.999999999999922</v>
      </c>
      <c r="V90" s="60">
        <f ca="1">LCOE!V17</f>
        <v>57.999999999999886</v>
      </c>
      <c r="W90" s="60">
        <f ca="1">LCOE!W17</f>
        <v>57.999999999999858</v>
      </c>
      <c r="X90" s="60">
        <f ca="1">LCOE!X17</f>
        <v>57.999999999999837</v>
      </c>
      <c r="Y90" s="60">
        <f ca="1">LCOE!Y17</f>
        <v>57.999999999999815</v>
      </c>
      <c r="Z90" s="60">
        <f ca="1">LCOE!Z17</f>
        <v>57.999999999999801</v>
      </c>
      <c r="AA90" s="60">
        <f ca="1">LCOE!AA17</f>
        <v>57.999999999999794</v>
      </c>
      <c r="AB90" s="60">
        <f ca="1">LCOE!AB17</f>
        <v>57.999999999999787</v>
      </c>
      <c r="AC90" s="60">
        <f ca="1">LCOE!AC17</f>
        <v>57.999999999999787</v>
      </c>
      <c r="AD90" s="60">
        <f ca="1">LCOE!AD17</f>
        <v>57.999999999999787</v>
      </c>
      <c r="AE90" s="60">
        <f ca="1">LCOE!AE17</f>
        <v>57.999999999999794</v>
      </c>
      <c r="AF90" s="60">
        <f ca="1">LCOE!AF17</f>
        <v>57.999999999999801</v>
      </c>
      <c r="AG90" s="60">
        <f ca="1">LCOE!AG17</f>
        <v>57.999999999999815</v>
      </c>
      <c r="AH90" s="60">
        <f ca="1">LCOE!AH17</f>
        <v>57.999999999999837</v>
      </c>
      <c r="AI90" s="60">
        <f ca="1">LCOE!AI17</f>
        <v>57.999999999999858</v>
      </c>
      <c r="AJ90" s="60">
        <f ca="1">LCOE!AJ17</f>
        <v>57.999999999999886</v>
      </c>
      <c r="AK90" s="60">
        <f ca="1">LCOE!AK17</f>
        <v>57.999999999999922</v>
      </c>
      <c r="AL90" s="60">
        <f ca="1">LCOE!AL17</f>
        <v>57.999999999999957</v>
      </c>
      <c r="AM90" s="60">
        <f>LCOE!AM17</f>
        <v>58</v>
      </c>
    </row>
    <row r="91" spans="1:39" outlineLevel="1" x14ac:dyDescent="0.25">
      <c r="A91" t="s">
        <v>127</v>
      </c>
      <c r="B91" s="48">
        <v>0</v>
      </c>
      <c r="C91" s="64">
        <f>B91+C89-B89</f>
        <v>31637.150810811581</v>
      </c>
      <c r="D91" s="64">
        <f t="shared" ref="D91" si="235">C91+D89-C89</f>
        <v>63274.30162162317</v>
      </c>
      <c r="E91" s="64">
        <f t="shared" ref="E91" si="236">D91+E89-D89</f>
        <v>94911.452432434744</v>
      </c>
      <c r="F91" s="64">
        <f t="shared" ref="F91" si="237">E91+F89-E89</f>
        <v>126548.60324324631</v>
      </c>
      <c r="G91" s="64">
        <f t="shared" ref="G91" si="238">F91+G89-F89</f>
        <v>158185.75405405782</v>
      </c>
      <c r="H91" s="64">
        <f t="shared" ref="H91" si="239">G91+H89-G89</f>
        <v>189822.90486486934</v>
      </c>
      <c r="I91" s="64">
        <f t="shared" ref="I91" si="240">H91+I89-H89</f>
        <v>221460.05567568087</v>
      </c>
      <c r="J91" s="64">
        <f t="shared" ref="J91" si="241">I91+J89-I89</f>
        <v>253097.20648649239</v>
      </c>
      <c r="K91" s="64">
        <f t="shared" ref="K91" si="242">J91+K89-J89</f>
        <v>284734.3572973038</v>
      </c>
      <c r="L91" s="64">
        <f t="shared" ref="L91" si="243">K91+L89-K89</f>
        <v>316371.50810811523</v>
      </c>
      <c r="M91" s="64">
        <f t="shared" ref="M91" si="244">L91+M89-L89</f>
        <v>348008.65891892667</v>
      </c>
      <c r="N91" s="64">
        <f t="shared" ref="N91" si="245">M91+N89-M89</f>
        <v>379645.80972973804</v>
      </c>
      <c r="O91" s="64">
        <f t="shared" ref="O91" si="246">N91+O89-N89</f>
        <v>411282.96054054931</v>
      </c>
      <c r="P91" s="64">
        <f t="shared" ref="P91" si="247">O91+P89-O89</f>
        <v>442920.11135136057</v>
      </c>
      <c r="Q91" s="64">
        <f t="shared" ref="Q91" si="248">P91+Q89-P89</f>
        <v>474557.26216217183</v>
      </c>
      <c r="R91" s="64">
        <f t="shared" ref="R91" si="249">Q91+R89-Q89</f>
        <v>506194.41297298309</v>
      </c>
      <c r="S91" s="64">
        <f t="shared" ref="S91" si="250">R91+S89-R89</f>
        <v>537831.56378379406</v>
      </c>
      <c r="T91" s="64">
        <f t="shared" ref="T91" si="251">S91+T89-S89</f>
        <v>569468.71459460491</v>
      </c>
      <c r="U91" s="64">
        <f t="shared" ref="U91" si="252">T91+U89-T89</f>
        <v>601105.86540541588</v>
      </c>
      <c r="V91" s="64">
        <f t="shared" ref="V91" si="253">U91+V89-U89</f>
        <v>632743.01621622685</v>
      </c>
      <c r="W91" s="64">
        <f t="shared" ref="W91" si="254">V91+W89-V89</f>
        <v>664380.16702703747</v>
      </c>
      <c r="X91" s="64">
        <f t="shared" ref="X91" si="255">W91+X89-W89</f>
        <v>696017.31783784821</v>
      </c>
      <c r="Y91" s="64">
        <f t="shared" ref="Y91" si="256">X91+Y89-X89</f>
        <v>727654.46864865883</v>
      </c>
      <c r="Z91" s="64">
        <f t="shared" ref="Z91" si="257">Y91+Z89-Y89</f>
        <v>759291.61945946922</v>
      </c>
      <c r="AA91" s="64">
        <f t="shared" ref="AA91" si="258">Z91+AA89-Z89</f>
        <v>790928.77027027973</v>
      </c>
      <c r="AB91" s="64">
        <f t="shared" ref="AB91" si="259">AA91+AB89-AA89</f>
        <v>822565.92108109023</v>
      </c>
      <c r="AC91" s="64">
        <f t="shared" ref="AC91" si="260">AB91+AC89-AB89</f>
        <v>854203.0718919005</v>
      </c>
      <c r="AD91" s="64">
        <f t="shared" ref="AD91" si="261">AC91+AD89-AC89</f>
        <v>885840.22270271077</v>
      </c>
      <c r="AE91" s="64">
        <f t="shared" ref="AE91" si="262">AD91+AE89-AD89</f>
        <v>917477.37351352104</v>
      </c>
      <c r="AF91" s="64">
        <f t="shared" ref="AF91" si="263">AE91+AF89-AE89</f>
        <v>949114.52432433108</v>
      </c>
      <c r="AG91" s="64">
        <f t="shared" ref="AG91" si="264">AF91+AG89-AF89</f>
        <v>980751.67513514101</v>
      </c>
      <c r="AH91" s="64">
        <f t="shared" ref="AH91" si="265">AG91+AH89-AG89</f>
        <v>1012388.825945951</v>
      </c>
      <c r="AI91" s="64">
        <f t="shared" ref="AI91" si="266">AH91+AI89-AH89</f>
        <v>1044025.976756761</v>
      </c>
      <c r="AJ91" s="64">
        <f t="shared" ref="AJ91" si="267">AI91+AJ89-AI89</f>
        <v>1075663.1275675707</v>
      </c>
      <c r="AK91" s="64">
        <f t="shared" ref="AK91" si="268">AJ91+AK89-AJ89</f>
        <v>1107300.2783783805</v>
      </c>
      <c r="AL91" s="64">
        <f t="shared" ref="AL91" si="269">AK91+AL89-AK89</f>
        <v>1138937.4291891903</v>
      </c>
      <c r="AM91" s="64">
        <f t="shared" ref="AM91" si="270">AL91+AM89-AL89</f>
        <v>1170574.5799999994</v>
      </c>
    </row>
    <row r="92" spans="1:39" outlineLevel="1" x14ac:dyDescent="0.25">
      <c r="A92" t="s">
        <v>188</v>
      </c>
      <c r="B92" s="48">
        <f>LCOE!AN17*1000</f>
        <v>3550000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9"/>
      <c r="N92" s="42"/>
      <c r="O92" s="42"/>
      <c r="P92" s="42"/>
      <c r="Q92" s="42"/>
      <c r="R92" s="42"/>
      <c r="S92" s="43">
        <f>LCOE!AO17*1000</f>
        <v>3550000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9"/>
      <c r="AF92" s="49"/>
      <c r="AG92" s="49"/>
      <c r="AH92" s="49"/>
      <c r="AI92" s="49"/>
      <c r="AJ92" s="49"/>
      <c r="AK92" s="49"/>
      <c r="AL92" s="42"/>
      <c r="AM92" s="104">
        <f>AM94/AM96</f>
        <v>0.244056054164699</v>
      </c>
    </row>
    <row r="93" spans="1:39" outlineLevel="1" x14ac:dyDescent="0.25">
      <c r="A93" t="s">
        <v>30</v>
      </c>
      <c r="B93" s="58">
        <v>20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outlineLevel="1" x14ac:dyDescent="0.25">
      <c r="A94" t="s">
        <v>107</v>
      </c>
      <c r="B94" s="41">
        <f t="shared" ref="B94:AK94" si="271">$AM$92*B96</f>
        <v>0.17022284018264883</v>
      </c>
      <c r="C94" s="41">
        <f t="shared" si="271"/>
        <v>0.61805465531285897</v>
      </c>
      <c r="D94" s="41">
        <f t="shared" si="271"/>
        <v>1.0663120275435258</v>
      </c>
      <c r="E94" s="41">
        <f t="shared" si="271"/>
        <v>1.5145693997741918</v>
      </c>
      <c r="F94" s="41">
        <f t="shared" si="271"/>
        <v>1.9628267720048578</v>
      </c>
      <c r="G94" s="41">
        <f t="shared" si="271"/>
        <v>2.4110841442355233</v>
      </c>
      <c r="H94" s="41">
        <f t="shared" si="271"/>
        <v>2.8593415164661886</v>
      </c>
      <c r="I94" s="41">
        <f t="shared" si="271"/>
        <v>3.3075988886968535</v>
      </c>
      <c r="J94" s="41">
        <f t="shared" si="271"/>
        <v>3.7558562609275188</v>
      </c>
      <c r="K94" s="41">
        <f t="shared" si="271"/>
        <v>4.2041136331581823</v>
      </c>
      <c r="L94" s="41">
        <f t="shared" si="271"/>
        <v>4.6523710053888463</v>
      </c>
      <c r="M94" s="41">
        <f t="shared" si="271"/>
        <v>5.1006283776195103</v>
      </c>
      <c r="N94" s="41">
        <f t="shared" si="271"/>
        <v>5.5488857498501734</v>
      </c>
      <c r="O94" s="41">
        <f t="shared" si="271"/>
        <v>5.9971431220808347</v>
      </c>
      <c r="P94" s="41">
        <f t="shared" si="271"/>
        <v>6.4454004943114969</v>
      </c>
      <c r="Q94" s="41">
        <f t="shared" si="271"/>
        <v>6.8936578665421582</v>
      </c>
      <c r="R94" s="41">
        <f t="shared" si="271"/>
        <v>7.3419152387728204</v>
      </c>
      <c r="S94" s="41">
        <f t="shared" si="271"/>
        <v>7.7901726110034808</v>
      </c>
      <c r="T94" s="41">
        <f t="shared" si="271"/>
        <v>8.2384299832341394</v>
      </c>
      <c r="U94" s="41">
        <f t="shared" si="271"/>
        <v>8.6866873554647981</v>
      </c>
      <c r="V94" s="41">
        <f t="shared" si="271"/>
        <v>9.1268591427867776</v>
      </c>
      <c r="W94" s="41">
        <f t="shared" si="271"/>
        <v>9.5746909579169746</v>
      </c>
      <c r="X94" s="41">
        <f t="shared" si="271"/>
        <v>10.022522773047173</v>
      </c>
      <c r="Y94" s="41">
        <f t="shared" si="271"/>
        <v>10.470354588177369</v>
      </c>
      <c r="Z94" s="41">
        <f t="shared" si="271"/>
        <v>10.918186403307562</v>
      </c>
      <c r="AA94" s="41">
        <f t="shared" si="271"/>
        <v>11.366018218437755</v>
      </c>
      <c r="AB94" s="41">
        <f t="shared" si="271"/>
        <v>11.813850033567951</v>
      </c>
      <c r="AC94" s="41">
        <f t="shared" si="271"/>
        <v>12.261681848698142</v>
      </c>
      <c r="AD94" s="41">
        <f t="shared" si="271"/>
        <v>12.70951366382833</v>
      </c>
      <c r="AE94" s="41">
        <f t="shared" si="271"/>
        <v>13.157345478958522</v>
      </c>
      <c r="AF94" s="41">
        <f t="shared" si="271"/>
        <v>13.60517729408871</v>
      </c>
      <c r="AG94" s="41">
        <f t="shared" si="271"/>
        <v>14.053009109218898</v>
      </c>
      <c r="AH94" s="41">
        <f t="shared" si="271"/>
        <v>14.500840924349086</v>
      </c>
      <c r="AI94" s="41">
        <f t="shared" si="271"/>
        <v>14.948672739479273</v>
      </c>
      <c r="AJ94" s="41">
        <f t="shared" si="271"/>
        <v>15.396504554609457</v>
      </c>
      <c r="AK94" s="41">
        <f t="shared" si="271"/>
        <v>15.84433636973964</v>
      </c>
      <c r="AL94" s="41">
        <f>$AM$92*AL96</f>
        <v>16.292168184869823</v>
      </c>
      <c r="AM94" s="41">
        <f>LCOE!AS17*1000*'Capacités installées'!B18/1000000</f>
        <v>16.739999999999998</v>
      </c>
    </row>
    <row r="95" spans="1:39" outlineLevel="1" x14ac:dyDescent="0.25">
      <c r="A95" t="s">
        <v>111</v>
      </c>
      <c r="B95" s="13">
        <f t="shared" ref="B95:AL95" si="272">B96-B94</f>
        <v>0.5272515198173513</v>
      </c>
      <c r="C95" s="13">
        <f t="shared" si="272"/>
        <v>1.9143744517142114</v>
      </c>
      <c r="D95" s="13">
        <f t="shared" si="272"/>
        <v>3.3028155124106151</v>
      </c>
      <c r="E95" s="13">
        <f t="shared" si="272"/>
        <v>4.6912565731070153</v>
      </c>
      <c r="F95" s="13">
        <f t="shared" si="272"/>
        <v>6.0796976338034163</v>
      </c>
      <c r="G95" s="13">
        <f t="shared" si="272"/>
        <v>7.4681386944998156</v>
      </c>
      <c r="H95" s="13">
        <f t="shared" si="272"/>
        <v>8.8565797551962149</v>
      </c>
      <c r="I95" s="13">
        <f t="shared" si="272"/>
        <v>10.245020815892612</v>
      </c>
      <c r="J95" s="13">
        <f t="shared" si="272"/>
        <v>11.63346187658901</v>
      </c>
      <c r="K95" s="13">
        <f t="shared" si="272"/>
        <v>13.021902937285404</v>
      </c>
      <c r="L95" s="13">
        <f t="shared" si="272"/>
        <v>14.410343997981798</v>
      </c>
      <c r="M95" s="13">
        <f t="shared" si="272"/>
        <v>15.798785058678192</v>
      </c>
      <c r="N95" s="13">
        <f t="shared" si="272"/>
        <v>17.187226119374586</v>
      </c>
      <c r="O95" s="13">
        <f t="shared" si="272"/>
        <v>18.575667180070969</v>
      </c>
      <c r="P95" s="13">
        <f t="shared" si="272"/>
        <v>19.964108240767359</v>
      </c>
      <c r="Q95" s="13">
        <f t="shared" si="272"/>
        <v>21.352549301463746</v>
      </c>
      <c r="R95" s="13">
        <f t="shared" si="272"/>
        <v>22.740990362160137</v>
      </c>
      <c r="S95" s="13">
        <f t="shared" si="272"/>
        <v>24.12943142285652</v>
      </c>
      <c r="T95" s="13">
        <f t="shared" si="272"/>
        <v>25.517872483552893</v>
      </c>
      <c r="U95" s="13">
        <f t="shared" si="272"/>
        <v>26.906313544249272</v>
      </c>
      <c r="V95" s="13">
        <f t="shared" si="272"/>
        <v>28.269710157754318</v>
      </c>
      <c r="W95" s="13">
        <f t="shared" si="272"/>
        <v>29.656833089651141</v>
      </c>
      <c r="X95" s="13">
        <f t="shared" si="272"/>
        <v>31.043956021547963</v>
      </c>
      <c r="Y95" s="13">
        <f t="shared" si="272"/>
        <v>32.431078953444782</v>
      </c>
      <c r="Z95" s="13">
        <f t="shared" si="272"/>
        <v>33.81820188534158</v>
      </c>
      <c r="AA95" s="13">
        <f t="shared" si="272"/>
        <v>35.205324817238392</v>
      </c>
      <c r="AB95" s="13">
        <f t="shared" si="272"/>
        <v>36.592447749135204</v>
      </c>
      <c r="AC95" s="13">
        <f t="shared" si="272"/>
        <v>37.979570681032001</v>
      </c>
      <c r="AD95" s="13">
        <f t="shared" si="272"/>
        <v>39.366693612928799</v>
      </c>
      <c r="AE95" s="13">
        <f t="shared" si="272"/>
        <v>40.753816544825597</v>
      </c>
      <c r="AF95" s="13">
        <f t="shared" si="272"/>
        <v>42.140939476722394</v>
      </c>
      <c r="AG95" s="13">
        <f t="shared" si="272"/>
        <v>43.528062408619185</v>
      </c>
      <c r="AH95" s="13">
        <f t="shared" si="272"/>
        <v>44.915185340515983</v>
      </c>
      <c r="AI95" s="13">
        <f t="shared" si="272"/>
        <v>46.302308272412766</v>
      </c>
      <c r="AJ95" s="13">
        <f t="shared" si="272"/>
        <v>47.689431204309543</v>
      </c>
      <c r="AK95" s="13">
        <f t="shared" si="272"/>
        <v>49.076554136206326</v>
      </c>
      <c r="AL95" s="13">
        <f t="shared" si="272"/>
        <v>50.463677068103095</v>
      </c>
      <c r="AM95" s="13">
        <f>AM96-AM94</f>
        <v>51.85079999999985</v>
      </c>
    </row>
    <row r="96" spans="1:39" outlineLevel="1" x14ac:dyDescent="0.25">
      <c r="A96" t="s">
        <v>186</v>
      </c>
      <c r="B96" s="111">
        <v>0.69747436000000018</v>
      </c>
      <c r="C96" s="111">
        <v>2.5324291070270704</v>
      </c>
      <c r="D96" s="111">
        <v>4.3691275399541407</v>
      </c>
      <c r="E96" s="111">
        <v>6.2058259728812075</v>
      </c>
      <c r="F96" s="111">
        <v>8.0425244058082743</v>
      </c>
      <c r="G96" s="111">
        <v>9.8792228387353394</v>
      </c>
      <c r="H96" s="111">
        <v>11.715921271662403</v>
      </c>
      <c r="I96" s="111">
        <v>13.552619704589466</v>
      </c>
      <c r="J96" s="111">
        <v>15.389318137516529</v>
      </c>
      <c r="K96" s="111">
        <v>17.226016570443587</v>
      </c>
      <c r="L96" s="111">
        <v>19.062715003370645</v>
      </c>
      <c r="M96" s="111">
        <v>20.899413436297703</v>
      </c>
      <c r="N96" s="111">
        <v>22.736111869224757</v>
      </c>
      <c r="O96" s="111">
        <v>24.572810302151805</v>
      </c>
      <c r="P96" s="111">
        <v>26.409508735078855</v>
      </c>
      <c r="Q96" s="111">
        <v>28.246207168005906</v>
      </c>
      <c r="R96" s="111">
        <v>30.082905600932957</v>
      </c>
      <c r="S96" s="111">
        <v>31.919604033860001</v>
      </c>
      <c r="T96" s="111">
        <v>33.756302466787034</v>
      </c>
      <c r="U96" s="111">
        <v>35.59300089971407</v>
      </c>
      <c r="V96" s="111">
        <v>37.396569300541096</v>
      </c>
      <c r="W96" s="111">
        <v>39.231524047568115</v>
      </c>
      <c r="X96" s="111">
        <v>41.066478794595135</v>
      </c>
      <c r="Y96" s="111">
        <v>42.901433541622147</v>
      </c>
      <c r="Z96" s="111">
        <v>44.736388288649145</v>
      </c>
      <c r="AA96" s="111">
        <v>46.571343035676151</v>
      </c>
      <c r="AB96" s="111">
        <v>48.406297782703156</v>
      </c>
      <c r="AC96" s="111">
        <v>50.241252529730147</v>
      </c>
      <c r="AD96" s="111">
        <v>52.076207276757131</v>
      </c>
      <c r="AE96" s="111">
        <v>53.911162023784122</v>
      </c>
      <c r="AF96" s="111">
        <v>55.746116770811106</v>
      </c>
      <c r="AG96" s="111">
        <v>57.581071517838083</v>
      </c>
      <c r="AH96" s="111">
        <v>59.416026264865067</v>
      </c>
      <c r="AI96" s="111">
        <v>61.250981011892037</v>
      </c>
      <c r="AJ96" s="111">
        <v>63.085935758919</v>
      </c>
      <c r="AK96" s="111">
        <v>64.920890505945962</v>
      </c>
      <c r="AL96" s="111">
        <v>66.755845252972918</v>
      </c>
      <c r="AM96" s="111">
        <v>68.590799999999845</v>
      </c>
    </row>
    <row r="99" spans="1:39" ht="23.25" x14ac:dyDescent="0.25">
      <c r="A99" s="62" t="s">
        <v>146</v>
      </c>
    </row>
    <row r="101" spans="1:39" outlineLevel="1" x14ac:dyDescent="0.25">
      <c r="A101" s="3" t="s">
        <v>175</v>
      </c>
      <c r="B101" s="47">
        <v>2013</v>
      </c>
      <c r="C101" s="47">
        <v>2014</v>
      </c>
      <c r="D101" s="47">
        <v>2015</v>
      </c>
      <c r="E101" s="47">
        <v>2016</v>
      </c>
      <c r="F101" s="47">
        <v>2017</v>
      </c>
      <c r="G101" s="47">
        <v>2018</v>
      </c>
      <c r="H101" s="47">
        <v>2019</v>
      </c>
      <c r="I101" s="47">
        <v>2020</v>
      </c>
      <c r="J101" s="47">
        <v>2021</v>
      </c>
      <c r="K101" s="47">
        <v>2022</v>
      </c>
      <c r="L101" s="47">
        <v>2023</v>
      </c>
      <c r="M101" s="47">
        <v>2024</v>
      </c>
      <c r="N101" s="47">
        <v>2025</v>
      </c>
      <c r="O101" s="47">
        <v>2026</v>
      </c>
      <c r="P101" s="47">
        <v>2027</v>
      </c>
      <c r="Q101" s="47">
        <v>2028</v>
      </c>
      <c r="R101" s="47">
        <v>2029</v>
      </c>
      <c r="S101" s="47">
        <v>2030</v>
      </c>
      <c r="T101" s="47">
        <v>2031</v>
      </c>
      <c r="U101" s="47">
        <v>2032</v>
      </c>
      <c r="V101" s="47">
        <v>2033</v>
      </c>
      <c r="W101" s="47">
        <v>2034</v>
      </c>
      <c r="X101" s="47">
        <v>2035</v>
      </c>
      <c r="Y101" s="47">
        <v>2036</v>
      </c>
      <c r="Z101" s="47">
        <v>2037</v>
      </c>
      <c r="AA101" s="47">
        <v>2038</v>
      </c>
      <c r="AB101" s="47">
        <v>2039</v>
      </c>
      <c r="AC101" s="47">
        <v>2040</v>
      </c>
      <c r="AD101" s="47">
        <v>2041</v>
      </c>
      <c r="AE101" s="47">
        <v>2042</v>
      </c>
      <c r="AF101" s="47">
        <v>2043</v>
      </c>
      <c r="AG101" s="47">
        <v>2044</v>
      </c>
      <c r="AH101" s="47">
        <v>2045</v>
      </c>
      <c r="AI101" s="47">
        <v>2046</v>
      </c>
      <c r="AJ101" s="47">
        <v>2047</v>
      </c>
      <c r="AK101" s="47">
        <v>2048</v>
      </c>
      <c r="AL101" s="47">
        <v>2049</v>
      </c>
      <c r="AM101" s="47">
        <v>2050</v>
      </c>
    </row>
    <row r="102" spans="1:39" outlineLevel="1" x14ac:dyDescent="0.25">
      <c r="A102" t="s">
        <v>171</v>
      </c>
      <c r="B102" s="49">
        <f>'Linéarisation mix'!B10*1000000</f>
        <v>68521000.000000015</v>
      </c>
      <c r="C102" s="49">
        <f>'Linéarisation mix'!C10*1000000</f>
        <v>68324867.814224035</v>
      </c>
      <c r="D102" s="49">
        <f>'Linéarisation mix'!D10*1000000</f>
        <v>68128735.628447622</v>
      </c>
      <c r="E102" s="49">
        <f>'Linéarisation mix'!E10*1000000</f>
        <v>67932603.442670599</v>
      </c>
      <c r="F102" s="49">
        <f>'Linéarisation mix'!F10*1000000</f>
        <v>67736471.256892741</v>
      </c>
      <c r="G102" s="49">
        <f>'Linéarisation mix'!G10*1000000</f>
        <v>67540339.07111387</v>
      </c>
      <c r="H102" s="49">
        <f>'Linéarisation mix'!H10*1000000</f>
        <v>67344206.885333791</v>
      </c>
      <c r="I102" s="49">
        <f>'Linéarisation mix'!I10*1000000</f>
        <v>67148074.699552342</v>
      </c>
      <c r="J102" s="49">
        <f>'Linéarisation mix'!J10*1000000</f>
        <v>66951942.513769351</v>
      </c>
      <c r="K102" s="49">
        <f>'Linéarisation mix'!K10*1000000</f>
        <v>66755810.327984676</v>
      </c>
      <c r="L102" s="49">
        <f>'Linéarisation mix'!L10*1000000</f>
        <v>66559678.142198183</v>
      </c>
      <c r="M102" s="49">
        <f>'Linéarisation mix'!M10*1000000</f>
        <v>66363545.956409723</v>
      </c>
      <c r="N102" s="49">
        <f>'Linéarisation mix'!N10*1000000</f>
        <v>66167413.770619221</v>
      </c>
      <c r="O102" s="49">
        <f>'Linéarisation mix'!O10*1000000</f>
        <v>65971281.584826574</v>
      </c>
      <c r="P102" s="49">
        <f>'Linéarisation mix'!P10*1000000</f>
        <v>65775149.399031706</v>
      </c>
      <c r="Q102" s="49">
        <f>'Linéarisation mix'!Q10*1000000</f>
        <v>65579017.213234551</v>
      </c>
      <c r="R102" s="49">
        <f>'Linéarisation mix'!R10*1000000</f>
        <v>65382885.027435079</v>
      </c>
      <c r="S102" s="49">
        <f>'Linéarisation mix'!S10*1000000</f>
        <v>65186752.841633253</v>
      </c>
      <c r="T102" s="49">
        <f>'Linéarisation mix'!T10*1000000</f>
        <v>64990620.655829079</v>
      </c>
      <c r="U102" s="49">
        <f>'Linéarisation mix'!U10*1000000</f>
        <v>64794488.470022544</v>
      </c>
      <c r="V102" s="49">
        <f>'Linéarisation mix'!V10*1000000</f>
        <v>64598356.284213692</v>
      </c>
      <c r="W102" s="49">
        <f>'Linéarisation mix'!W10*1000000</f>
        <v>64402224.098402552</v>
      </c>
      <c r="X102" s="49">
        <f>'Linéarisation mix'!X10*1000000</f>
        <v>64206091.912589185</v>
      </c>
      <c r="Y102" s="49">
        <f>'Linéarisation mix'!Y10*1000000</f>
        <v>64009959.726773672</v>
      </c>
      <c r="Z102" s="49">
        <f>'Linéarisation mix'!Z10*1000000</f>
        <v>63813827.540956095</v>
      </c>
      <c r="AA102" s="49">
        <f>'Linéarisation mix'!AA10*1000000</f>
        <v>63617695.355136558</v>
      </c>
      <c r="AB102" s="49">
        <f>'Linéarisation mix'!AB10*1000000</f>
        <v>63421563.169315174</v>
      </c>
      <c r="AC102" s="49">
        <f>'Linéarisation mix'!AC10*1000000</f>
        <v>63225430.983492076</v>
      </c>
      <c r="AD102" s="49">
        <f>'Linéarisation mix'!AD10*1000000</f>
        <v>63029298.797667399</v>
      </c>
      <c r="AE102" s="49">
        <f>'Linéarisation mix'!AE10*1000000</f>
        <v>62833166.611841306</v>
      </c>
      <c r="AF102" s="49">
        <f>'Linéarisation mix'!AF10*1000000</f>
        <v>62637034.426013939</v>
      </c>
      <c r="AG102" s="49">
        <f>'Linéarisation mix'!AG10*1000000</f>
        <v>62440902.240185477</v>
      </c>
      <c r="AH102" s="49">
        <f>'Linéarisation mix'!AH10*1000000</f>
        <v>62244770.054356098</v>
      </c>
      <c r="AI102" s="49">
        <f>'Linéarisation mix'!AI10*1000000</f>
        <v>62048637.868525967</v>
      </c>
      <c r="AJ102" s="49">
        <f>'Linéarisation mix'!AJ10*1000000</f>
        <v>61852505.682695277</v>
      </c>
      <c r="AK102" s="49">
        <f>'Linéarisation mix'!AK10*1000000</f>
        <v>61656373.496864207</v>
      </c>
      <c r="AL102" s="49">
        <f>'Linéarisation mix'!AL10*1000000</f>
        <v>61460241.311032951</v>
      </c>
      <c r="AM102" s="49">
        <f>'Linéarisation mix'!AM10*1000000</f>
        <v>61264109.125201702</v>
      </c>
    </row>
    <row r="103" spans="1:39" outlineLevel="1" x14ac:dyDescent="0.25">
      <c r="A103" t="s">
        <v>185</v>
      </c>
      <c r="B103" s="60">
        <f>LCOE!B18</f>
        <v>75.410840013942135</v>
      </c>
      <c r="C103" s="60">
        <f ca="1">LCOE!C18</f>
        <v>74.980790601357228</v>
      </c>
      <c r="D103" s="60">
        <f ca="1">LCOE!D18</f>
        <v>74.550741188772335</v>
      </c>
      <c r="E103" s="60">
        <f ca="1">LCOE!E18</f>
        <v>74.120691776187442</v>
      </c>
      <c r="F103" s="60">
        <f ca="1">LCOE!F18</f>
        <v>73.690642363602564</v>
      </c>
      <c r="G103" s="60">
        <f ca="1">LCOE!G18</f>
        <v>73.260592951017699</v>
      </c>
      <c r="H103" s="60">
        <f ca="1">LCOE!H18</f>
        <v>72.830543538432835</v>
      </c>
      <c r="I103" s="60">
        <f ca="1">LCOE!I18</f>
        <v>72.400494125847985</v>
      </c>
      <c r="J103" s="60">
        <f ca="1">LCOE!J18</f>
        <v>71.970444713263149</v>
      </c>
      <c r="K103" s="60">
        <f ca="1">LCOE!K18</f>
        <v>71.540395300678313</v>
      </c>
      <c r="L103" s="60">
        <f ca="1">LCOE!L18</f>
        <v>71.110345888093491</v>
      </c>
      <c r="M103" s="60">
        <f ca="1">LCOE!M18</f>
        <v>70.680296475508683</v>
      </c>
      <c r="N103" s="60">
        <f ca="1">LCOE!N18</f>
        <v>70.250247062923876</v>
      </c>
      <c r="O103" s="60">
        <f ca="1">LCOE!O18</f>
        <v>69.820197650339082</v>
      </c>
      <c r="P103" s="60">
        <f ca="1">LCOE!P18</f>
        <v>69.390148237754303</v>
      </c>
      <c r="Q103" s="60">
        <f ca="1">LCOE!Q18</f>
        <v>68.960098825169524</v>
      </c>
      <c r="R103" s="60">
        <f ca="1">LCOE!R18</f>
        <v>68.530049412584759</v>
      </c>
      <c r="S103" s="60">
        <f>LCOE!S18</f>
        <v>68.099999999999994</v>
      </c>
      <c r="T103" s="60">
        <f ca="1">LCOE!T18</f>
        <v>68.099999999999909</v>
      </c>
      <c r="U103" s="60">
        <f ca="1">LCOE!U18</f>
        <v>68.099999999999838</v>
      </c>
      <c r="V103" s="60">
        <f ca="1">LCOE!V18</f>
        <v>68.099999999999767</v>
      </c>
      <c r="W103" s="60">
        <f ca="1">LCOE!W18</f>
        <v>68.09999999999971</v>
      </c>
      <c r="X103" s="60">
        <f ca="1">LCOE!X18</f>
        <v>68.099999999999667</v>
      </c>
      <c r="Y103" s="60">
        <f ca="1">LCOE!Y18</f>
        <v>68.099999999999625</v>
      </c>
      <c r="Z103" s="60">
        <f ca="1">LCOE!Z18</f>
        <v>68.099999999999596</v>
      </c>
      <c r="AA103" s="60">
        <f ca="1">LCOE!AA18</f>
        <v>68.099999999999582</v>
      </c>
      <c r="AB103" s="60">
        <f ca="1">LCOE!AB18</f>
        <v>68.099999999999568</v>
      </c>
      <c r="AC103" s="60">
        <f ca="1">LCOE!AC18</f>
        <v>68.099999999999568</v>
      </c>
      <c r="AD103" s="60">
        <f ca="1">LCOE!AD18</f>
        <v>68.099999999999568</v>
      </c>
      <c r="AE103" s="60">
        <f ca="1">LCOE!AE18</f>
        <v>68.099999999999582</v>
      </c>
      <c r="AF103" s="60">
        <f ca="1">LCOE!AF18</f>
        <v>68.099999999999596</v>
      </c>
      <c r="AG103" s="60">
        <f ca="1">LCOE!AG18</f>
        <v>68.099999999999625</v>
      </c>
      <c r="AH103" s="60">
        <f ca="1">LCOE!AH18</f>
        <v>68.099999999999667</v>
      </c>
      <c r="AI103" s="60">
        <f ca="1">LCOE!AI18</f>
        <v>68.09999999999971</v>
      </c>
      <c r="AJ103" s="60">
        <f ca="1">LCOE!AJ18</f>
        <v>68.099999999999767</v>
      </c>
      <c r="AK103" s="60">
        <f ca="1">LCOE!AK18</f>
        <v>68.099999999999838</v>
      </c>
      <c r="AL103" s="60">
        <f ca="1">LCOE!AL18</f>
        <v>68.099999999999909</v>
      </c>
      <c r="AM103" s="60">
        <f>LCOE!AM18</f>
        <v>68.099999999999994</v>
      </c>
    </row>
    <row r="104" spans="1:39" outlineLevel="1" x14ac:dyDescent="0.25">
      <c r="A104" t="s">
        <v>127</v>
      </c>
      <c r="B104" s="48">
        <v>0</v>
      </c>
      <c r="C104" s="64">
        <f>B104+C102-B102</f>
        <v>-196132.18577598035</v>
      </c>
      <c r="D104" s="64">
        <f t="shared" ref="D104" si="273">C104+D102-C102</f>
        <v>-392264.37155239284</v>
      </c>
      <c r="E104" s="64">
        <f t="shared" ref="E104" si="274">D104+E102-D102</f>
        <v>-588396.55732941628</v>
      </c>
      <c r="F104" s="64">
        <f t="shared" ref="F104" si="275">E104+F102-E102</f>
        <v>-784528.74310727417</v>
      </c>
      <c r="G104" s="64">
        <f t="shared" ref="G104" si="276">F104+G102-F102</f>
        <v>-980660.92888614535</v>
      </c>
      <c r="H104" s="64">
        <f t="shared" ref="H104" si="277">G104+H102-G102</f>
        <v>-1176793.1146662235</v>
      </c>
      <c r="I104" s="64">
        <f t="shared" ref="I104" si="278">H104+I102-H102</f>
        <v>-1372925.3004476726</v>
      </c>
      <c r="J104" s="64">
        <f t="shared" ref="J104" si="279">I104+J102-I102</f>
        <v>-1569057.486230664</v>
      </c>
      <c r="K104" s="64">
        <f t="shared" ref="K104" si="280">J104+K102-J102</f>
        <v>-1765189.6720153391</v>
      </c>
      <c r="L104" s="64">
        <f t="shared" ref="L104" si="281">K104+L102-K102</f>
        <v>-1961321.8578018323</v>
      </c>
      <c r="M104" s="64">
        <f t="shared" ref="M104" si="282">L104+M102-L102</f>
        <v>-2157454.0435902923</v>
      </c>
      <c r="N104" s="64">
        <f t="shared" ref="N104" si="283">M104+N102-M102</f>
        <v>-2353586.2293807939</v>
      </c>
      <c r="O104" s="64">
        <f t="shared" ref="O104" si="284">N104+O102-N102</f>
        <v>-2549718.4151734412</v>
      </c>
      <c r="P104" s="64">
        <f t="shared" ref="P104" si="285">O104+P102-O102</f>
        <v>-2745850.6009683087</v>
      </c>
      <c r="Q104" s="64">
        <f t="shared" ref="Q104" si="286">P104+Q102-P102</f>
        <v>-2941982.7867654637</v>
      </c>
      <c r="R104" s="64">
        <f t="shared" ref="R104" si="287">Q104+R102-Q102</f>
        <v>-3138114.9725649357</v>
      </c>
      <c r="S104" s="64">
        <f t="shared" ref="S104" si="288">R104+S102-R102</f>
        <v>-3334247.1583667621</v>
      </c>
      <c r="T104" s="64">
        <f t="shared" ref="T104" si="289">S104+T102-S102</f>
        <v>-3530379.3441709355</v>
      </c>
      <c r="U104" s="64">
        <f t="shared" ref="U104" si="290">T104+U102-T102</f>
        <v>-3726511.5299774706</v>
      </c>
      <c r="V104" s="64">
        <f t="shared" ref="V104" si="291">U104+V102-U102</f>
        <v>-3922643.715786323</v>
      </c>
      <c r="W104" s="64">
        <f t="shared" ref="W104" si="292">V104+W102-V102</f>
        <v>-4118775.9015974626</v>
      </c>
      <c r="X104" s="64">
        <f t="shared" ref="X104" si="293">W104+X102-W102</f>
        <v>-4314908.08741083</v>
      </c>
      <c r="Y104" s="64">
        <f t="shared" ref="Y104" si="294">X104+Y102-X102</f>
        <v>-4511040.2732263431</v>
      </c>
      <c r="Z104" s="64">
        <f t="shared" ref="Z104" si="295">Y104+Z102-Y102</f>
        <v>-4707172.45904392</v>
      </c>
      <c r="AA104" s="64">
        <f t="shared" ref="AA104" si="296">Z104+AA102-Z102</f>
        <v>-4903304.6448634565</v>
      </c>
      <c r="AB104" s="64">
        <f t="shared" ref="AB104" si="297">AA104+AB102-AA102</f>
        <v>-5099436.8306848407</v>
      </c>
      <c r="AC104" s="64">
        <f t="shared" ref="AC104" si="298">AB104+AC102-AB102</f>
        <v>-5295569.0165079385</v>
      </c>
      <c r="AD104" s="64">
        <f t="shared" ref="AD104" si="299">AC104+AD102-AC102</f>
        <v>-5491701.2023326159</v>
      </c>
      <c r="AE104" s="64">
        <f t="shared" ref="AE104" si="300">AD104+AE102-AD102</f>
        <v>-5687833.3881587088</v>
      </c>
      <c r="AF104" s="64">
        <f t="shared" ref="AF104" si="301">AE104+AF102-AE102</f>
        <v>-5883965.5739860758</v>
      </c>
      <c r="AG104" s="64">
        <f t="shared" ref="AG104" si="302">AF104+AG102-AF102</f>
        <v>-6080097.7598145381</v>
      </c>
      <c r="AH104" s="64">
        <f t="shared" ref="AH104" si="303">AG104+AH102-AG102</f>
        <v>-6276229.9456439167</v>
      </c>
      <c r="AI104" s="64">
        <f t="shared" ref="AI104" si="304">AH104+AI102-AH102</f>
        <v>-6472362.1314740479</v>
      </c>
      <c r="AJ104" s="64">
        <f t="shared" ref="AJ104" si="305">AI104+AJ102-AI102</f>
        <v>-6668494.3173047379</v>
      </c>
      <c r="AK104" s="64">
        <f t="shared" ref="AK104" si="306">AJ104+AK102-AJ102</f>
        <v>-6864626.5031358078</v>
      </c>
      <c r="AL104" s="64">
        <f t="shared" ref="AL104" si="307">AK104+AL102-AK102</f>
        <v>-7060758.688967064</v>
      </c>
      <c r="AM104" s="64">
        <f t="shared" ref="AM104" si="308">AL104+AM102-AL102</f>
        <v>-7256890.8747983128</v>
      </c>
    </row>
    <row r="105" spans="1:39" outlineLevel="1" x14ac:dyDescent="0.25">
      <c r="A105" t="s">
        <v>188</v>
      </c>
      <c r="B105" s="4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9"/>
      <c r="N105" s="42"/>
      <c r="O105" s="42"/>
      <c r="P105" s="42"/>
      <c r="Q105" s="42"/>
      <c r="R105" s="42"/>
      <c r="S105" s="43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9"/>
      <c r="AF105" s="49"/>
      <c r="AG105" s="49"/>
      <c r="AH105" s="49"/>
      <c r="AI105" s="49"/>
      <c r="AJ105" s="49"/>
      <c r="AK105" s="49"/>
      <c r="AL105" s="42"/>
      <c r="AM105" s="104">
        <f>AM107/AM109</f>
        <v>0.21138283211474912</v>
      </c>
    </row>
    <row r="106" spans="1:39" outlineLevel="1" x14ac:dyDescent="0.25">
      <c r="A106" t="s">
        <v>206</v>
      </c>
      <c r="B106" s="58">
        <v>30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outlineLevel="1" x14ac:dyDescent="0.25">
      <c r="A107" t="s">
        <v>107</v>
      </c>
      <c r="B107" s="41">
        <f t="shared" ref="B107:AK107" si="309">$AM$105*B109</f>
        <v>1092.262901695125</v>
      </c>
      <c r="C107" s="41">
        <f t="shared" si="309"/>
        <v>1088.9466446362142</v>
      </c>
      <c r="D107" s="41">
        <f t="shared" si="309"/>
        <v>1085.4405867923963</v>
      </c>
      <c r="E107" s="41">
        <f t="shared" si="309"/>
        <v>1081.7447281636687</v>
      </c>
      <c r="F107" s="41">
        <f t="shared" si="309"/>
        <v>1077.859068750028</v>
      </c>
      <c r="G107" s="41">
        <f t="shared" si="309"/>
        <v>1073.7836085514716</v>
      </c>
      <c r="H107" s="41">
        <f t="shared" si="309"/>
        <v>1069.5183475679964</v>
      </c>
      <c r="I107" s="41">
        <f t="shared" si="309"/>
        <v>1065.0632857996006</v>
      </c>
      <c r="J107" s="41">
        <f t="shared" si="309"/>
        <v>1060.4184232462817</v>
      </c>
      <c r="K107" s="41">
        <f t="shared" si="309"/>
        <v>1055.5837599080378</v>
      </c>
      <c r="L107" s="41">
        <f t="shared" si="309"/>
        <v>1050.5592957848669</v>
      </c>
      <c r="M107" s="41">
        <f t="shared" si="309"/>
        <v>1045.3450308767674</v>
      </c>
      <c r="N107" s="41">
        <f t="shared" si="309"/>
        <v>1039.9409651837389</v>
      </c>
      <c r="O107" s="41">
        <f t="shared" si="309"/>
        <v>1034.3470987057797</v>
      </c>
      <c r="P107" s="41">
        <f t="shared" si="309"/>
        <v>1028.5634314428889</v>
      </c>
      <c r="Q107" s="41">
        <f t="shared" si="309"/>
        <v>1022.5899633950667</v>
      </c>
      <c r="R107" s="41">
        <f t="shared" si="309"/>
        <v>1016.4266945623126</v>
      </c>
      <c r="S107" s="41">
        <f t="shared" si="309"/>
        <v>1010.0736249446265</v>
      </c>
      <c r="T107" s="41">
        <f t="shared" si="309"/>
        <v>1003.7205553269067</v>
      </c>
      <c r="U107" s="41">
        <f t="shared" si="309"/>
        <v>997.36748570915313</v>
      </c>
      <c r="V107" s="41">
        <f t="shared" si="309"/>
        <v>991.01441609136577</v>
      </c>
      <c r="W107" s="41">
        <f t="shared" si="309"/>
        <v>984.66134647354568</v>
      </c>
      <c r="X107" s="41">
        <f t="shared" si="309"/>
        <v>978.30827685569341</v>
      </c>
      <c r="Y107" s="41">
        <f t="shared" si="309"/>
        <v>971.95520723781021</v>
      </c>
      <c r="Z107" s="41">
        <f t="shared" si="309"/>
        <v>965.60213761989746</v>
      </c>
      <c r="AA107" s="41">
        <f t="shared" si="309"/>
        <v>959.24906800195629</v>
      </c>
      <c r="AB107" s="41">
        <f t="shared" si="309"/>
        <v>952.89599838398851</v>
      </c>
      <c r="AC107" s="41">
        <f t="shared" si="309"/>
        <v>946.54292876599618</v>
      </c>
      <c r="AD107" s="41">
        <f t="shared" si="309"/>
        <v>940.18985914798111</v>
      </c>
      <c r="AE107" s="41">
        <f t="shared" si="309"/>
        <v>933.83678952994546</v>
      </c>
      <c r="AF107" s="41">
        <f t="shared" si="309"/>
        <v>927.48371991189197</v>
      </c>
      <c r="AG107" s="41">
        <f t="shared" si="309"/>
        <v>921.623551025967</v>
      </c>
      <c r="AH107" s="41">
        <f t="shared" si="309"/>
        <v>916.99133389273777</v>
      </c>
      <c r="AI107" s="41">
        <f t="shared" si="309"/>
        <v>912.54891754439848</v>
      </c>
      <c r="AJ107" s="41">
        <f t="shared" si="309"/>
        <v>908.29630198095265</v>
      </c>
      <c r="AK107" s="41">
        <f t="shared" si="309"/>
        <v>904.23348720240244</v>
      </c>
      <c r="AL107" s="41">
        <f>$AM$105*AL109</f>
        <v>900.36047320875082</v>
      </c>
      <c r="AM107" s="41">
        <f>LCOE!AS18*1000*('Capacités installées'!B16+'Capacités installées'!B17)/1000000</f>
        <v>896.67726000000005</v>
      </c>
    </row>
    <row r="108" spans="1:39" outlineLevel="1" x14ac:dyDescent="0.25">
      <c r="A108" t="s">
        <v>111</v>
      </c>
      <c r="B108" s="13">
        <f t="shared" ref="B108" si="310">B109-B107</f>
        <v>4074.9632669002049</v>
      </c>
      <c r="C108" s="13">
        <f t="shared" ref="C108" si="311">C109-C107</f>
        <v>4062.5911304139363</v>
      </c>
      <c r="D108" s="13">
        <f t="shared" ref="D108" si="312">D109-D107</f>
        <v>4049.5108940504997</v>
      </c>
      <c r="E108" s="13">
        <f t="shared" ref="E108" si="313">E109-E107</f>
        <v>4035.722557809886</v>
      </c>
      <c r="F108" s="13">
        <f t="shared" ref="F108" si="314">F109-F107</f>
        <v>4021.2261216920815</v>
      </c>
      <c r="G108" s="13">
        <f t="shared" ref="G108" si="315">G109-G107</f>
        <v>4006.0215856970772</v>
      </c>
      <c r="H108" s="13">
        <f t="shared" ref="H108" si="316">H109-H107</f>
        <v>3990.1089498248625</v>
      </c>
      <c r="I108" s="13">
        <f t="shared" ref="I108" si="317">I109-I107</f>
        <v>3973.4882140754289</v>
      </c>
      <c r="J108" s="13">
        <f t="shared" ref="J108" si="318">J109-J107</f>
        <v>3956.1593784487673</v>
      </c>
      <c r="K108" s="13">
        <f t="shared" ref="K108" si="319">K109-K107</f>
        <v>3938.1224429448712</v>
      </c>
      <c r="L108" s="13">
        <f t="shared" ref="L108" si="320">L109-L107</f>
        <v>3919.3774075637339</v>
      </c>
      <c r="M108" s="13">
        <f t="shared" ref="M108" si="321">M109-M107</f>
        <v>3899.924272305348</v>
      </c>
      <c r="N108" s="13">
        <f t="shared" ref="N108" si="322">N109-N107</f>
        <v>3879.7630371697123</v>
      </c>
      <c r="O108" s="13">
        <f t="shared" ref="O108" si="323">O109-O107</f>
        <v>3858.8937021568208</v>
      </c>
      <c r="P108" s="13">
        <f t="shared" ref="P108" si="324">P109-P107</f>
        <v>3837.3162672666713</v>
      </c>
      <c r="Q108" s="13">
        <f t="shared" ref="Q108" si="325">Q109-Q107</f>
        <v>3815.0307324992618</v>
      </c>
      <c r="R108" s="13">
        <f t="shared" ref="R108" si="326">R109-R107</f>
        <v>3792.037097854593</v>
      </c>
      <c r="S108" s="13">
        <f t="shared" ref="S108" si="327">S109-S107</f>
        <v>3768.3353633326633</v>
      </c>
      <c r="T108" s="13">
        <f t="shared" ref="T108" si="328">T109-T107</f>
        <v>3744.6336288106077</v>
      </c>
      <c r="U108" s="13">
        <f t="shared" ref="U108" si="329">U109-U107</f>
        <v>3720.9318942884261</v>
      </c>
      <c r="V108" s="13">
        <f t="shared" ref="V108" si="330">V109-V107</f>
        <v>3697.230159766118</v>
      </c>
      <c r="W108" s="13">
        <f t="shared" ref="W108" si="331">W109-W107</f>
        <v>3673.5284252436886</v>
      </c>
      <c r="X108" s="13">
        <f t="shared" ref="X108" si="332">X109-X107</f>
        <v>3649.8266907211391</v>
      </c>
      <c r="Y108" s="13">
        <f t="shared" ref="Y108" si="333">Y109-Y107</f>
        <v>3626.1249561984741</v>
      </c>
      <c r="Z108" s="13">
        <f t="shared" ref="Z108" si="334">Z109-Z107</f>
        <v>3602.4232216756986</v>
      </c>
      <c r="AA108" s="13">
        <f t="shared" ref="AA108" si="335">AA109-AA107</f>
        <v>3578.7214871528167</v>
      </c>
      <c r="AB108" s="13">
        <f t="shared" ref="AB108" si="336">AB109-AB107</f>
        <v>3555.0197526298361</v>
      </c>
      <c r="AC108" s="13">
        <f t="shared" ref="AC108" si="337">AC109-AC107</f>
        <v>3531.3180181067637</v>
      </c>
      <c r="AD108" s="13">
        <f t="shared" ref="AD108" si="338">AD109-AD107</f>
        <v>3507.6162835836067</v>
      </c>
      <c r="AE108" s="13">
        <f t="shared" ref="AE108" si="339">AE109-AE107</f>
        <v>3483.9145490603732</v>
      </c>
      <c r="AF108" s="13">
        <f t="shared" ref="AF108" si="340">AF109-AF107</f>
        <v>3460.2128145370725</v>
      </c>
      <c r="AG108" s="13">
        <f t="shared" ref="AG108" si="341">AG109-AG107</f>
        <v>3438.3499709754028</v>
      </c>
      <c r="AH108" s="13">
        <f t="shared" ref="AH108" si="342">AH109-AH107</f>
        <v>3421.0683122896412</v>
      </c>
      <c r="AI108" s="13">
        <f t="shared" ref="AI108" si="343">AI109-AI107</f>
        <v>3404.494753480983</v>
      </c>
      <c r="AJ108" s="13">
        <f t="shared" ref="AJ108" si="344">AJ109-AJ107</f>
        <v>3388.629294549442</v>
      </c>
      <c r="AK108" s="13">
        <f t="shared" ref="AK108" si="345">AK109-AK107</f>
        <v>3373.4719354950262</v>
      </c>
      <c r="AL108" s="13">
        <f t="shared" ref="AL108" si="346">AL109-AL107</f>
        <v>3359.0226763177461</v>
      </c>
      <c r="AM108" s="13">
        <f>AM109-AM107</f>
        <v>3345.2815170176104</v>
      </c>
    </row>
    <row r="109" spans="1:39" outlineLevel="1" x14ac:dyDescent="0.25">
      <c r="A109" t="s">
        <v>186</v>
      </c>
      <c r="B109" s="111">
        <v>5167.2261685953299</v>
      </c>
      <c r="C109" s="111">
        <v>5151.5377750501502</v>
      </c>
      <c r="D109" s="111">
        <v>5134.9514808428958</v>
      </c>
      <c r="E109" s="111">
        <v>5117.4672859735547</v>
      </c>
      <c r="F109" s="111">
        <v>5099.0851904421097</v>
      </c>
      <c r="G109" s="111">
        <v>5079.805194248549</v>
      </c>
      <c r="H109" s="111">
        <v>5059.627297392859</v>
      </c>
      <c r="I109" s="111">
        <v>5038.5514998750295</v>
      </c>
      <c r="J109" s="111">
        <v>5016.5778016950489</v>
      </c>
      <c r="K109" s="111">
        <v>4993.706202852909</v>
      </c>
      <c r="L109" s="111">
        <v>4969.9367033486005</v>
      </c>
      <c r="M109" s="111">
        <v>4945.2693031821154</v>
      </c>
      <c r="N109" s="111">
        <v>4919.704002353451</v>
      </c>
      <c r="O109" s="111">
        <v>4893.2408008626007</v>
      </c>
      <c r="P109" s="111">
        <v>4865.8796987095602</v>
      </c>
      <c r="Q109" s="111">
        <v>4837.6206958943285</v>
      </c>
      <c r="R109" s="111">
        <v>4808.4637924169056</v>
      </c>
      <c r="S109" s="111">
        <v>4778.4089882772896</v>
      </c>
      <c r="T109" s="111">
        <v>4748.3541841375145</v>
      </c>
      <c r="U109" s="111">
        <v>4718.2993799975793</v>
      </c>
      <c r="V109" s="111">
        <v>4688.2445758574841</v>
      </c>
      <c r="W109" s="111">
        <v>4658.1897717172342</v>
      </c>
      <c r="X109" s="111">
        <v>4628.1349675768324</v>
      </c>
      <c r="Y109" s="111">
        <v>4598.0801634362842</v>
      </c>
      <c r="Z109" s="111">
        <v>4568.025359295596</v>
      </c>
      <c r="AA109" s="111">
        <v>4537.9705551547731</v>
      </c>
      <c r="AB109" s="111">
        <v>4507.9157510138248</v>
      </c>
      <c r="AC109" s="111">
        <v>4477.86094687276</v>
      </c>
      <c r="AD109" s="111">
        <v>4447.8061427315879</v>
      </c>
      <c r="AE109" s="111">
        <v>4417.7513385903185</v>
      </c>
      <c r="AF109" s="111">
        <v>4387.6965344489645</v>
      </c>
      <c r="AG109" s="111">
        <v>4359.9735220013699</v>
      </c>
      <c r="AH109" s="111">
        <v>4338.0596461823789</v>
      </c>
      <c r="AI109" s="111">
        <v>4317.0436710253816</v>
      </c>
      <c r="AJ109" s="111">
        <v>4296.9255965303946</v>
      </c>
      <c r="AK109" s="111">
        <v>4277.7054226974287</v>
      </c>
      <c r="AL109" s="111">
        <v>4259.3831495264967</v>
      </c>
      <c r="AM109" s="111">
        <v>4241.9587770176104</v>
      </c>
    </row>
    <row r="112" spans="1:39" x14ac:dyDescent="0.25">
      <c r="AL112" t="s">
        <v>100</v>
      </c>
      <c r="AM112" s="13">
        <f>AM109+AM96+AM84+AM72+AM61+AM49+AM35+AM22+AM11</f>
        <v>42437.623259193468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30.140625" bestFit="1" customWidth="1"/>
    <col min="2" max="2" width="10.28515625" bestFit="1" customWidth="1"/>
  </cols>
  <sheetData>
    <row r="1" spans="1:39" x14ac:dyDescent="0.25">
      <c r="A1" s="3" t="s">
        <v>158</v>
      </c>
      <c r="B1" s="72">
        <v>2013</v>
      </c>
      <c r="C1" s="72">
        <v>2014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>
        <v>2021</v>
      </c>
      <c r="K1" s="72">
        <v>2022</v>
      </c>
      <c r="L1" s="72">
        <v>2023</v>
      </c>
      <c r="M1" s="72">
        <v>2024</v>
      </c>
      <c r="N1" s="72">
        <v>2025</v>
      </c>
      <c r="O1" s="72">
        <v>2026</v>
      </c>
      <c r="P1" s="72">
        <v>2027</v>
      </c>
      <c r="Q1" s="72">
        <v>2028</v>
      </c>
      <c r="R1" s="72">
        <v>2029</v>
      </c>
      <c r="S1" s="72">
        <v>2030</v>
      </c>
      <c r="T1" s="72">
        <v>2031</v>
      </c>
      <c r="U1" s="72">
        <v>2032</v>
      </c>
      <c r="V1" s="72">
        <v>2033</v>
      </c>
      <c r="W1" s="72">
        <v>2034</v>
      </c>
      <c r="X1" s="72">
        <v>2035</v>
      </c>
      <c r="Y1" s="72">
        <v>2036</v>
      </c>
      <c r="Z1" s="72">
        <v>2037</v>
      </c>
      <c r="AA1" s="72">
        <v>2038</v>
      </c>
      <c r="AB1" s="72">
        <v>2039</v>
      </c>
      <c r="AC1" s="72">
        <v>2040</v>
      </c>
      <c r="AD1" s="72">
        <v>2041</v>
      </c>
      <c r="AE1" s="72">
        <v>2042</v>
      </c>
      <c r="AF1" s="72">
        <v>2043</v>
      </c>
      <c r="AG1" s="72">
        <v>2044</v>
      </c>
      <c r="AH1" s="72">
        <v>2045</v>
      </c>
      <c r="AI1" s="72">
        <v>2046</v>
      </c>
      <c r="AJ1" s="72">
        <v>2047</v>
      </c>
      <c r="AK1" s="72">
        <v>2048</v>
      </c>
      <c r="AL1" s="72">
        <v>2049</v>
      </c>
      <c r="AM1" s="72">
        <v>2050</v>
      </c>
    </row>
    <row r="2" spans="1:39" x14ac:dyDescent="0.25">
      <c r="A2" t="s">
        <v>161</v>
      </c>
      <c r="B2" s="96">
        <v>15.9</v>
      </c>
      <c r="C2" s="118">
        <v>18.900663604380199</v>
      </c>
      <c r="D2" s="118">
        <v>21.901326469900148</v>
      </c>
      <c r="E2" s="118">
        <v>24.901988237757553</v>
      </c>
      <c r="F2" s="118">
        <v>27.902648559625082</v>
      </c>
      <c r="G2" s="118">
        <v>30.903307100080212</v>
      </c>
      <c r="H2" s="118">
        <v>33.903963538924785</v>
      </c>
      <c r="I2" s="118">
        <v>36.904617573378417</v>
      </c>
      <c r="J2" s="118">
        <v>39.905268920130808</v>
      </c>
      <c r="K2" s="118">
        <v>42.9059173172393</v>
      </c>
      <c r="L2" s="118">
        <v>45.90656252585913</v>
      </c>
      <c r="M2" s="118">
        <v>48.907204331795057</v>
      </c>
      <c r="N2" s="118">
        <v>51.9078425468646</v>
      </c>
      <c r="O2" s="118">
        <v>54.90847701006436</v>
      </c>
      <c r="P2" s="118">
        <v>57.9091075885325</v>
      </c>
      <c r="Q2" s="118">
        <v>60.909734178301903</v>
      </c>
      <c r="R2" s="118">
        <v>63.91035670484009</v>
      </c>
      <c r="S2" s="118">
        <v>66.910975123373561</v>
      </c>
      <c r="T2" s="118">
        <v>69.91158941899576</v>
      </c>
      <c r="U2" s="118">
        <v>72.91219960655954</v>
      </c>
      <c r="V2" s="118">
        <v>75.91280573035624</v>
      </c>
      <c r="W2" s="118">
        <v>78.913407863585476</v>
      </c>
      <c r="X2" s="118">
        <v>81.914006107620736</v>
      </c>
      <c r="Y2" s="118">
        <v>84.914600591077672</v>
      </c>
      <c r="Z2" s="118">
        <v>87.915191468693195</v>
      </c>
      <c r="AA2" s="118">
        <v>90.915778920024707</v>
      </c>
      <c r="AB2" s="118">
        <v>93.916363147980206</v>
      </c>
      <c r="AC2" s="118">
        <v>96.916944377191015</v>
      </c>
      <c r="AD2" s="118">
        <v>99.917522852240054</v>
      </c>
      <c r="AE2" s="118">
        <v>102.91809883575922</v>
      </c>
      <c r="AF2" s="118">
        <v>105.91867260641072</v>
      </c>
      <c r="AG2" s="118">
        <v>108.9192444567677</v>
      </c>
      <c r="AH2" s="118">
        <v>111.91981469110991</v>
      </c>
      <c r="AI2" s="118">
        <v>114.92038362315117</v>
      </c>
      <c r="AJ2" s="118">
        <v>117.92095157371527</v>
      </c>
      <c r="AK2" s="118">
        <v>120.92151886837746</v>
      </c>
      <c r="AL2" s="118">
        <v>123.92208583508868</v>
      </c>
      <c r="AM2" s="119">
        <v>126.9226528017999</v>
      </c>
    </row>
    <row r="3" spans="1:39" x14ac:dyDescent="0.25">
      <c r="A3" t="s">
        <v>162</v>
      </c>
      <c r="B3" s="96">
        <v>0</v>
      </c>
      <c r="C3" s="118">
        <v>2.8248137112762999</v>
      </c>
      <c r="D3" s="118">
        <v>5.6496285873521845</v>
      </c>
      <c r="E3" s="118">
        <v>8.4744451938728673</v>
      </c>
      <c r="F3" s="118">
        <v>11.299264079969973</v>
      </c>
      <c r="G3" s="118">
        <v>14.124085774430938</v>
      </c>
      <c r="H3" s="118">
        <v>16.948910782042255</v>
      </c>
      <c r="I3" s="118">
        <v>19.77373958013164</v>
      </c>
      <c r="J3" s="118">
        <v>22.598572615332561</v>
      </c>
      <c r="K3" s="118">
        <v>25.423410300592785</v>
      </c>
      <c r="L3" s="118">
        <v>28.248253012446703</v>
      </c>
      <c r="M3" s="118">
        <v>31.073101088569164</v>
      </c>
      <c r="N3" s="118">
        <v>33.897954825626385</v>
      </c>
      <c r="O3" s="118">
        <v>36.722814477437261</v>
      </c>
      <c r="P3" s="118">
        <v>39.547680253456022</v>
      </c>
      <c r="Q3" s="118">
        <v>42.372552317584919</v>
      </c>
      <c r="R3" s="118">
        <v>45.197430787323043</v>
      </c>
      <c r="S3" s="118">
        <v>48.022315733254999</v>
      </c>
      <c r="T3" s="118">
        <v>50.847207178880666</v>
      </c>
      <c r="U3" s="118">
        <v>53.672105100784819</v>
      </c>
      <c r="V3" s="118">
        <v>56.497009429142963</v>
      </c>
      <c r="W3" s="118">
        <v>59.321920048557267</v>
      </c>
      <c r="X3" s="118">
        <v>62.146836799214299</v>
      </c>
      <c r="Y3" s="118">
        <v>64.971759478353817</v>
      </c>
      <c r="Z3" s="118">
        <v>67.796687842035965</v>
      </c>
      <c r="AA3" s="118">
        <v>70.621621607191798</v>
      </c>
      <c r="AB3" s="118">
        <v>73.446560453940577</v>
      </c>
      <c r="AC3" s="118">
        <v>76.271504028155135</v>
      </c>
      <c r="AD3" s="118">
        <v>79.096451944255051</v>
      </c>
      <c r="AE3" s="118">
        <v>81.921403788205964</v>
      </c>
      <c r="AF3" s="118">
        <v>84.74635912070201</v>
      </c>
      <c r="AG3" s="118">
        <v>87.571317480507034</v>
      </c>
      <c r="AH3" s="118">
        <v>90.396278387929584</v>
      </c>
      <c r="AI3" s="118">
        <v>93.221241348405613</v>
      </c>
      <c r="AJ3" s="118">
        <v>96.046205856162302</v>
      </c>
      <c r="AK3" s="118">
        <v>98.871171397936308</v>
      </c>
      <c r="AL3" s="118">
        <v>101.69613745671896</v>
      </c>
      <c r="AM3" s="119">
        <v>104.52110351550159</v>
      </c>
    </row>
    <row r="4" spans="1:39" x14ac:dyDescent="0.25">
      <c r="A4" t="s">
        <v>163</v>
      </c>
      <c r="B4" s="96">
        <v>4.5999999999999996</v>
      </c>
      <c r="C4" s="118">
        <v>7.7403448680053524</v>
      </c>
      <c r="D4" s="118">
        <v>10.880690608390349</v>
      </c>
      <c r="E4" s="118">
        <v>14.021037644796424</v>
      </c>
      <c r="F4" s="118">
        <v>17.161386388497121</v>
      </c>
      <c r="G4" s="118">
        <v>20.301737235529149</v>
      </c>
      <c r="H4" s="118">
        <v>23.442090563953649</v>
      </c>
      <c r="I4" s="118">
        <v>26.582446731266437</v>
      </c>
      <c r="J4" s="118">
        <v>29.722806071974805</v>
      </c>
      <c r="K4" s="118">
        <v>32.863168895357042</v>
      </c>
      <c r="L4" s="118">
        <v>36.00353548341954</v>
      </c>
      <c r="M4" s="118">
        <v>39.143906089064757</v>
      </c>
      <c r="N4" s="118">
        <v>42.284280934481615</v>
      </c>
      <c r="O4" s="118">
        <v>45.424660209768419</v>
      </c>
      <c r="P4" s="118">
        <v>48.565044071796464</v>
      </c>
      <c r="Q4" s="118">
        <v>51.705432643320755</v>
      </c>
      <c r="R4" s="118">
        <v>54.845826012342542</v>
      </c>
      <c r="S4" s="118">
        <v>57.986224231726347</v>
      </c>
      <c r="T4" s="118">
        <v>61.126627319072455</v>
      </c>
      <c r="U4" s="118">
        <v>64.267035256843997</v>
      </c>
      <c r="V4" s="118">
        <v>67.407447992745716</v>
      </c>
      <c r="W4" s="118">
        <v>70.547865440350108</v>
      </c>
      <c r="X4" s="118">
        <v>73.688287479964501</v>
      </c>
      <c r="Y4" s="118">
        <v>76.82871395973109</v>
      </c>
      <c r="Z4" s="118">
        <v>79.969144696950508</v>
      </c>
      <c r="AA4" s="118">
        <v>83.109579479617508</v>
      </c>
      <c r="AB4" s="118">
        <v>86.250018068156621</v>
      </c>
      <c r="AC4" s="118">
        <v>89.390460197343373</v>
      </c>
      <c r="AD4" s="118">
        <v>92.530905578396329</v>
      </c>
      <c r="AE4" s="118">
        <v>95.671353901223384</v>
      </c>
      <c r="AF4" s="118">
        <v>98.81180483680528</v>
      </c>
      <c r="AG4" s="118">
        <v>101.95225803969802</v>
      </c>
      <c r="AH4" s="118">
        <v>105.09271315063546</v>
      </c>
      <c r="AI4" s="118">
        <v>108.23316979921256</v>
      </c>
      <c r="AJ4" s="118">
        <v>111.3736276066295</v>
      </c>
      <c r="AK4" s="118">
        <v>114.51408618847636</v>
      </c>
      <c r="AL4" s="118">
        <v>117.65454515753817</v>
      </c>
      <c r="AM4" s="119">
        <v>120.79500412659999</v>
      </c>
    </row>
    <row r="5" spans="1:39" x14ac:dyDescent="0.25">
      <c r="A5" t="s">
        <v>208</v>
      </c>
      <c r="B5" s="96">
        <v>1.5</v>
      </c>
      <c r="C5" s="118">
        <v>1.6764808555672401</v>
      </c>
      <c r="D5" s="118">
        <v>1.8529617111342906</v>
      </c>
      <c r="E5" s="118">
        <v>2.0294425667010594</v>
      </c>
      <c r="F5" s="118">
        <v>2.2059234222674569</v>
      </c>
      <c r="G5" s="118">
        <v>2.3824042778333974</v>
      </c>
      <c r="H5" s="118">
        <v>2.5588851333987988</v>
      </c>
      <c r="I5" s="118">
        <v>2.7353659889635829</v>
      </c>
      <c r="J5" s="118">
        <v>2.9118468445276773</v>
      </c>
      <c r="K5" s="118">
        <v>3.088327700091015</v>
      </c>
      <c r="L5" s="118">
        <v>3.2648085556535342</v>
      </c>
      <c r="M5" s="118">
        <v>3.4412894112151799</v>
      </c>
      <c r="N5" s="118">
        <v>3.6177702667759046</v>
      </c>
      <c r="O5" s="118">
        <v>3.7942511223356661</v>
      </c>
      <c r="P5" s="118">
        <v>3.9707319778944306</v>
      </c>
      <c r="Q5" s="118">
        <v>4.1472128334521718</v>
      </c>
      <c r="R5" s="118">
        <v>4.32369368900887</v>
      </c>
      <c r="S5" s="118">
        <v>4.5001745445645138</v>
      </c>
      <c r="T5" s="118">
        <v>4.676655400119099</v>
      </c>
      <c r="U5" s="118">
        <v>4.8531362556726307</v>
      </c>
      <c r="V5" s="118">
        <v>5.0296171112251198</v>
      </c>
      <c r="W5" s="118">
        <v>5.2060979667765839</v>
      </c>
      <c r="X5" s="118">
        <v>5.3825788223270505</v>
      </c>
      <c r="Y5" s="118">
        <v>5.5590596778765526</v>
      </c>
      <c r="Z5" s="118">
        <v>5.7355405334251284</v>
      </c>
      <c r="AA5" s="118">
        <v>5.9120213889728248</v>
      </c>
      <c r="AB5" s="118">
        <v>6.0885022445196952</v>
      </c>
      <c r="AC5" s="118">
        <v>6.2649831000657956</v>
      </c>
      <c r="AD5" s="118">
        <v>6.441463955611189</v>
      </c>
      <c r="AE5" s="118">
        <v>6.6179448111559429</v>
      </c>
      <c r="AF5" s="118">
        <v>6.7944256667001284</v>
      </c>
      <c r="AG5" s="118">
        <v>6.9709065222438209</v>
      </c>
      <c r="AH5" s="118">
        <v>7.1473873777870995</v>
      </c>
      <c r="AI5" s="118">
        <v>7.3238682333300442</v>
      </c>
      <c r="AJ5" s="118">
        <v>7.5003490888727367</v>
      </c>
      <c r="AK5" s="118">
        <v>7.6768299444152603</v>
      </c>
      <c r="AL5" s="118">
        <v>7.8533107999577005</v>
      </c>
      <c r="AM5" s="119">
        <v>8.0297916555001407</v>
      </c>
    </row>
    <row r="6" spans="1:39" x14ac:dyDescent="0.25">
      <c r="A6" t="s">
        <v>21</v>
      </c>
      <c r="B6" s="96">
        <v>2.1363670350000006</v>
      </c>
      <c r="C6" s="118">
        <v>2.1801960340540596</v>
      </c>
      <c r="D6" s="118">
        <v>2.2240250331081182</v>
      </c>
      <c r="E6" s="118">
        <v>2.2678540321621767</v>
      </c>
      <c r="F6" s="118">
        <v>2.3116830312162349</v>
      </c>
      <c r="G6" s="118">
        <v>2.355512030270293</v>
      </c>
      <c r="H6" s="118">
        <v>2.3993410293243507</v>
      </c>
      <c r="I6" s="118">
        <v>2.4431700283784079</v>
      </c>
      <c r="J6" s="118">
        <v>2.4869990274324651</v>
      </c>
      <c r="K6" s="118">
        <v>2.5308280264865219</v>
      </c>
      <c r="L6" s="118">
        <v>2.5746570255405783</v>
      </c>
      <c r="M6" s="118">
        <v>2.6184860245946346</v>
      </c>
      <c r="N6" s="118">
        <v>2.6623150236486905</v>
      </c>
      <c r="O6" s="118">
        <v>2.7061440227027465</v>
      </c>
      <c r="P6" s="118">
        <v>2.7499730217568019</v>
      </c>
      <c r="Q6" s="118">
        <v>2.7938020208108574</v>
      </c>
      <c r="R6" s="118">
        <v>2.8376310198649124</v>
      </c>
      <c r="S6" s="118">
        <v>2.881460018918967</v>
      </c>
      <c r="T6" s="118">
        <v>2.9252890179730215</v>
      </c>
      <c r="U6" s="118">
        <v>2.9691180170270757</v>
      </c>
      <c r="V6" s="118">
        <v>3.0129470160811294</v>
      </c>
      <c r="W6" s="118">
        <v>3.056776015135183</v>
      </c>
      <c r="X6" s="118">
        <v>3.1006050141892363</v>
      </c>
      <c r="Y6" s="118">
        <v>3.1444340132432891</v>
      </c>
      <c r="Z6" s="118">
        <v>3.1882630122973419</v>
      </c>
      <c r="AA6" s="118">
        <v>3.2320920113513942</v>
      </c>
      <c r="AB6" s="118">
        <v>3.2759210104054461</v>
      </c>
      <c r="AC6" s="118">
        <v>3.3197500094594981</v>
      </c>
      <c r="AD6" s="118">
        <v>3.3635790085135495</v>
      </c>
      <c r="AE6" s="118">
        <v>3.4074080075676005</v>
      </c>
      <c r="AF6" s="118">
        <v>3.4512370066216516</v>
      </c>
      <c r="AG6" s="118">
        <v>3.4950660056757021</v>
      </c>
      <c r="AH6" s="118">
        <v>3.5388950047297523</v>
      </c>
      <c r="AI6" s="118">
        <v>3.5827240037838024</v>
      </c>
      <c r="AJ6" s="118">
        <v>3.6265530028378521</v>
      </c>
      <c r="AK6" s="118">
        <v>3.6703820018919013</v>
      </c>
      <c r="AL6" s="118">
        <v>3.7142110009459506</v>
      </c>
      <c r="AM6" s="119">
        <v>3.7580399999999998</v>
      </c>
    </row>
    <row r="7" spans="1:39" x14ac:dyDescent="0.25">
      <c r="A7" t="s">
        <v>125</v>
      </c>
      <c r="B7" s="96">
        <v>1.7041322700000003</v>
      </c>
      <c r="C7" s="118">
        <v>2.2878970762369502</v>
      </c>
      <c r="D7" s="118">
        <v>2.8716618949483785</v>
      </c>
      <c r="E7" s="118">
        <v>3.4554267321920902</v>
      </c>
      <c r="F7" s="118">
        <v>4.0391915938490381</v>
      </c>
      <c r="G7" s="118">
        <v>4.6229564855822973</v>
      </c>
      <c r="H7" s="118">
        <v>5.2067214127979033</v>
      </c>
      <c r="I7" s="118">
        <v>5.7904863806078204</v>
      </c>
      <c r="J7" s="118">
        <v>6.3742513937952925</v>
      </c>
      <c r="K7" s="118">
        <v>6.9580164567828033</v>
      </c>
      <c r="L7" s="118">
        <v>7.5417815736028668</v>
      </c>
      <c r="M7" s="118">
        <v>8.1255467478718266</v>
      </c>
      <c r="N7" s="118">
        <v>8.709311982766847</v>
      </c>
      <c r="O7" s="118">
        <v>9.2930772810062123</v>
      </c>
      <c r="P7" s="118">
        <v>9.8768426448330828</v>
      </c>
      <c r="Q7" s="118">
        <v>10.460608076002778</v>
      </c>
      <c r="R7" s="118">
        <v>11.044373575773662</v>
      </c>
      <c r="S7" s="118">
        <v>11.628139144901661</v>
      </c>
      <c r="T7" s="118">
        <v>12.211904783638449</v>
      </c>
      <c r="U7" s="118">
        <v>12.795670491733262</v>
      </c>
      <c r="V7" s="118">
        <v>13.379436268438306</v>
      </c>
      <c r="W7" s="118">
        <v>13.963202112517727</v>
      </c>
      <c r="X7" s="118">
        <v>14.546968022259994</v>
      </c>
      <c r="Y7" s="118">
        <v>15.130733995493635</v>
      </c>
      <c r="Z7" s="118">
        <v>15.714500029606167</v>
      </c>
      <c r="AA7" s="118">
        <v>16.298266121566044</v>
      </c>
      <c r="AB7" s="118">
        <v>16.882032267947494</v>
      </c>
      <c r="AC7" s="118">
        <v>17.46579846495797</v>
      </c>
      <c r="AD7" s="118">
        <v>18.049564708468083</v>
      </c>
      <c r="AE7" s="118">
        <v>18.633330994043703</v>
      </c>
      <c r="AF7" s="118">
        <v>19.217097316980073</v>
      </c>
      <c r="AG7" s="118">
        <v>19.800863672337556</v>
      </c>
      <c r="AH7" s="118">
        <v>20.384630054978874</v>
      </c>
      <c r="AI7" s="118">
        <v>20.968396459607469</v>
      </c>
      <c r="AJ7" s="118">
        <v>21.55216288080674</v>
      </c>
      <c r="AK7" s="118">
        <v>22.135929313079874</v>
      </c>
      <c r="AL7" s="118">
        <v>22.71969575088994</v>
      </c>
      <c r="AM7" s="119">
        <v>23.303462188700003</v>
      </c>
    </row>
    <row r="8" spans="1:39" x14ac:dyDescent="0.25">
      <c r="A8" t="s">
        <v>164</v>
      </c>
      <c r="B8" s="96">
        <v>68.521000000000015</v>
      </c>
      <c r="C8" s="118">
        <v>68.324867814202634</v>
      </c>
      <c r="D8" s="118">
        <v>68.128735628405124</v>
      </c>
      <c r="E8" s="118">
        <v>67.932603442607444</v>
      </c>
      <c r="F8" s="118">
        <v>67.736471256809523</v>
      </c>
      <c r="G8" s="118">
        <v>67.540339071011331</v>
      </c>
      <c r="H8" s="118">
        <v>67.344206885212813</v>
      </c>
      <c r="I8" s="118">
        <v>67.148074699413911</v>
      </c>
      <c r="J8" s="118">
        <v>66.951942513614611</v>
      </c>
      <c r="K8" s="118">
        <v>66.755810327814856</v>
      </c>
      <c r="L8" s="118">
        <v>66.559678142014604</v>
      </c>
      <c r="M8" s="118">
        <v>66.363545956213827</v>
      </c>
      <c r="N8" s="118">
        <v>66.16741377041248</v>
      </c>
      <c r="O8" s="118">
        <v>65.971281584610566</v>
      </c>
      <c r="P8" s="118">
        <v>65.775149398808054</v>
      </c>
      <c r="Q8" s="118">
        <v>65.579017213004917</v>
      </c>
      <c r="R8" s="118">
        <v>65.382885027201155</v>
      </c>
      <c r="S8" s="118">
        <v>65.186752841396753</v>
      </c>
      <c r="T8" s="118">
        <v>64.990620655591698</v>
      </c>
      <c r="U8" s="118">
        <v>64.794488469786018</v>
      </c>
      <c r="V8" s="118">
        <v>64.598356283979712</v>
      </c>
      <c r="W8" s="118">
        <v>64.40222409817278</v>
      </c>
      <c r="X8" s="118">
        <v>64.206091912365252</v>
      </c>
      <c r="Y8" s="118">
        <v>64.009959726557156</v>
      </c>
      <c r="Z8" s="118">
        <v>63.813827540748491</v>
      </c>
      <c r="AA8" s="118">
        <v>63.617695354939293</v>
      </c>
      <c r="AB8" s="118">
        <v>63.421563169129598</v>
      </c>
      <c r="AC8" s="118">
        <v>63.225430983319434</v>
      </c>
      <c r="AD8" s="118">
        <v>63.029298797508844</v>
      </c>
      <c r="AE8" s="118">
        <v>62.833166611697862</v>
      </c>
      <c r="AF8" s="118">
        <v>62.63703442588654</v>
      </c>
      <c r="AG8" s="118">
        <v>62.440902240074919</v>
      </c>
      <c r="AH8" s="118">
        <v>62.24477005426305</v>
      </c>
      <c r="AI8" s="118">
        <v>62.048637868450982</v>
      </c>
      <c r="AJ8" s="118">
        <v>61.852505682638764</v>
      </c>
      <c r="AK8" s="118">
        <v>61.656373496826447</v>
      </c>
      <c r="AL8" s="118">
        <v>61.460241311014073</v>
      </c>
      <c r="AM8" s="119">
        <v>61.264109125201699</v>
      </c>
    </row>
    <row r="9" spans="1:39" x14ac:dyDescent="0.25">
      <c r="A9" t="s">
        <v>18</v>
      </c>
      <c r="B9" s="96">
        <v>1.2025420000000004E-2</v>
      </c>
      <c r="C9" s="118">
        <v>4.3662570810811589E-2</v>
      </c>
      <c r="D9" s="118">
        <v>7.529972162162317E-2</v>
      </c>
      <c r="E9" s="118">
        <v>0.10693687243243474</v>
      </c>
      <c r="F9" s="118">
        <v>0.1385740232432463</v>
      </c>
      <c r="G9" s="118">
        <v>0.17021117405405783</v>
      </c>
      <c r="H9" s="118">
        <v>0.20184832486486937</v>
      </c>
      <c r="I9" s="118">
        <v>0.23348547567568087</v>
      </c>
      <c r="J9" s="118">
        <v>0.26512262648649237</v>
      </c>
      <c r="K9" s="118">
        <v>0.29675977729730385</v>
      </c>
      <c r="L9" s="118">
        <v>0.32839692810811527</v>
      </c>
      <c r="M9" s="118">
        <v>0.36003407891892664</v>
      </c>
      <c r="N9" s="118">
        <v>0.391671229729738</v>
      </c>
      <c r="O9" s="118">
        <v>0.42330838054054931</v>
      </c>
      <c r="P9" s="118">
        <v>0.45494553135136057</v>
      </c>
      <c r="Q9" s="118">
        <v>0.48658268216217182</v>
      </c>
      <c r="R9" s="118">
        <v>0.51821983297298302</v>
      </c>
      <c r="S9" s="118">
        <v>0.54985698378379411</v>
      </c>
      <c r="T9" s="118">
        <v>0.58149413459460508</v>
      </c>
      <c r="U9" s="118">
        <v>0.61313128540541606</v>
      </c>
      <c r="V9" s="118">
        <v>0.64476843621622693</v>
      </c>
      <c r="W9" s="118">
        <v>0.67640558702703768</v>
      </c>
      <c r="X9" s="118">
        <v>0.70804273783784843</v>
      </c>
      <c r="Y9" s="118">
        <v>0.73967988864865908</v>
      </c>
      <c r="Z9" s="118">
        <v>0.77131703945946961</v>
      </c>
      <c r="AA9" s="118">
        <v>0.80295419027028014</v>
      </c>
      <c r="AB9" s="118">
        <v>0.83459134108109057</v>
      </c>
      <c r="AC9" s="118">
        <v>0.86622849189190088</v>
      </c>
      <c r="AD9" s="118">
        <v>0.89786564270271119</v>
      </c>
      <c r="AE9" s="118">
        <v>0.92950279351352139</v>
      </c>
      <c r="AF9" s="118">
        <v>0.96113994432433159</v>
      </c>
      <c r="AG9" s="118">
        <v>0.99277709513514167</v>
      </c>
      <c r="AH9" s="118">
        <v>1.0244142459459518</v>
      </c>
      <c r="AI9" s="118">
        <v>1.0560513967567617</v>
      </c>
      <c r="AJ9" s="118">
        <v>1.0876885475675715</v>
      </c>
      <c r="AK9" s="118">
        <v>1.1193256983783813</v>
      </c>
      <c r="AL9" s="118">
        <v>1.1509628491891908</v>
      </c>
      <c r="AM9" s="119">
        <v>1.1826000000000001</v>
      </c>
    </row>
    <row r="10" spans="1:39" x14ac:dyDescent="0.25">
      <c r="A10" t="s">
        <v>165</v>
      </c>
      <c r="B10" s="96">
        <v>0.41868</v>
      </c>
      <c r="C10" s="118">
        <v>1.0603076498361603</v>
      </c>
      <c r="D10" s="118">
        <v>1.7019356081485164</v>
      </c>
      <c r="E10" s="118">
        <v>2.3435640247380167</v>
      </c>
      <c r="F10" s="118">
        <v>2.9851930450322852</v>
      </c>
      <c r="G10" s="118">
        <v>3.6268228090711516</v>
      </c>
      <c r="H10" s="118">
        <v>4.2684534505382281</v>
      </c>
      <c r="I10" s="118">
        <v>4.9100850958451669</v>
      </c>
      <c r="J10" s="118">
        <v>5.5517178632747992</v>
      </c>
      <c r="K10" s="118">
        <v>6.1933518621889032</v>
      </c>
      <c r="L10" s="118">
        <v>6.8349871923058343</v>
      </c>
      <c r="M10" s="118">
        <v>7.4766239430526955</v>
      </c>
      <c r="N10" s="118">
        <v>8.1182621929961911</v>
      </c>
      <c r="O10" s="118">
        <v>8.7599020093556845</v>
      </c>
      <c r="P10" s="118">
        <v>9.4015434476013571</v>
      </c>
      <c r="Q10" s="118">
        <v>10.043186551139769</v>
      </c>
      <c r="R10" s="118">
        <v>10.684831351088441</v>
      </c>
      <c r="S10" s="118">
        <v>11.326477866140431</v>
      </c>
      <c r="T10" s="118">
        <v>11.96812610251926</v>
      </c>
      <c r="U10" s="118">
        <v>12.609776054023831</v>
      </c>
      <c r="V10" s="118">
        <v>13.251427702162379</v>
      </c>
      <c r="W10" s="118">
        <v>13.89308101637387</v>
      </c>
      <c r="X10" s="118">
        <v>14.534735954334591</v>
      </c>
      <c r="Y10" s="118">
        <v>15.176392462347149</v>
      </c>
      <c r="Z10" s="118">
        <v>15.818050475808457</v>
      </c>
      <c r="AA10" s="118">
        <v>16.459709919752807</v>
      </c>
      <c r="AB10" s="118">
        <v>17.101370709465549</v>
      </c>
      <c r="AC10" s="118">
        <v>17.743032751162474</v>
      </c>
      <c r="AD10" s="118">
        <v>18.38469594272955</v>
      </c>
      <c r="AE10" s="118">
        <v>19.026360174517237</v>
      </c>
      <c r="AF10" s="118">
        <v>19.66802533018328</v>
      </c>
      <c r="AG10" s="118">
        <v>20.309691287577593</v>
      </c>
      <c r="AH10" s="118">
        <v>20.951357919662538</v>
      </c>
      <c r="AI10" s="118">
        <v>21.593025095461723</v>
      </c>
      <c r="AJ10" s="118">
        <v>22.234692681030332</v>
      </c>
      <c r="AK10" s="118">
        <v>22.876360540439801</v>
      </c>
      <c r="AL10" s="118">
        <v>23.518028536769705</v>
      </c>
      <c r="AM10" s="119">
        <v>24.159696533099606</v>
      </c>
    </row>
    <row r="11" spans="1:39" x14ac:dyDescent="0.25">
      <c r="A11" t="s">
        <v>166</v>
      </c>
      <c r="B11" s="96">
        <v>0</v>
      </c>
      <c r="C11" s="118">
        <v>4.560217878973358E-57</v>
      </c>
      <c r="D11" s="118">
        <v>9.0548411751415806E-57</v>
      </c>
      <c r="E11" s="118">
        <v>1.3452016115461872E-56</v>
      </c>
      <c r="F11" s="118">
        <v>1.772081887359854E-56</v>
      </c>
      <c r="G11" s="118">
        <v>2.1831471287249784E-56</v>
      </c>
      <c r="H11" s="118">
        <v>2.5755546784358729E-56</v>
      </c>
      <c r="I11" s="118">
        <v>2.9466165107596282E-56</v>
      </c>
      <c r="J11" s="118">
        <v>3.2938174517211951E-56</v>
      </c>
      <c r="K11" s="118">
        <v>3.6148320251897661E-56</v>
      </c>
      <c r="L11" s="118">
        <v>3.9075398134919532E-56</v>
      </c>
      <c r="M11" s="118">
        <v>4.1700392327611257E-56</v>
      </c>
      <c r="N11" s="118">
        <v>4.4006596353512722E-56</v>
      </c>
      <c r="O11" s="118">
        <v>4.5979716643061103E-56</v>
      </c>
      <c r="P11" s="118">
        <v>4.7607957979849298E-56</v>
      </c>
      <c r="Q11" s="118">
        <v>4.888209036408319E-56</v>
      </c>
      <c r="R11" s="118">
        <v>4.9795496946001025E-56</v>
      </c>
      <c r="S11" s="118">
        <v>5.0344202820661371E-56</v>
      </c>
      <c r="T11" s="118">
        <v>5.0526884614652013E-56</v>
      </c>
      <c r="U11" s="118">
        <v>5.034486093391729E-56</v>
      </c>
      <c r="V11" s="118">
        <v>4.9802063879051022E-56</v>
      </c>
      <c r="W11" s="118">
        <v>4.8904991969082137E-56</v>
      </c>
      <c r="X11" s="118">
        <v>4.7662644946038091E-56</v>
      </c>
      <c r="Y11" s="118">
        <v>4.6086441059488832E-56</v>
      </c>
      <c r="Z11" s="118">
        <v>4.4190117551969418E-56</v>
      </c>
      <c r="AA11" s="118">
        <v>4.1989615181814535E-56</v>
      </c>
      <c r="AB11" s="118">
        <v>3.9502947728725621E-56</v>
      </c>
      <c r="AC11" s="118">
        <v>3.6750057528597159E-56</v>
      </c>
      <c r="AD11" s="118">
        <v>3.375265817708037E-56</v>
      </c>
      <c r="AE11" s="118">
        <v>3.0534065625450408E-56</v>
      </c>
      <c r="AF11" s="118">
        <v>2.7119018967026156E-56</v>
      </c>
      <c r="AG11" s="118">
        <v>2.3533492277200718E-56</v>
      </c>
      <c r="AH11" s="118">
        <v>1.9804498924680467E-56</v>
      </c>
      <c r="AI11" s="118">
        <v>1.5959889815482282E-56</v>
      </c>
      <c r="AJ11" s="118">
        <v>1.2028147064363161E-56</v>
      </c>
      <c r="AK11" s="118">
        <v>8.0381746104925915E-57</v>
      </c>
      <c r="AL11" s="118">
        <v>4.0190873052462957E-57</v>
      </c>
      <c r="AM11" s="119">
        <v>0</v>
      </c>
    </row>
    <row r="12" spans="1:39" x14ac:dyDescent="0.25">
      <c r="A12" t="s">
        <v>67</v>
      </c>
      <c r="B12" s="96">
        <v>403.7</v>
      </c>
      <c r="C12" s="118">
        <v>392.78922933141007</v>
      </c>
      <c r="D12" s="118">
        <v>381.87845808541078</v>
      </c>
      <c r="E12" s="118">
        <v>370.96768598160304</v>
      </c>
      <c r="F12" s="118">
        <v>360.05691274777382</v>
      </c>
      <c r="G12" s="118">
        <v>349.14613812179482</v>
      </c>
      <c r="H12" s="118">
        <v>338.23536185343562</v>
      </c>
      <c r="I12" s="118">
        <v>327.32458370607731</v>
      </c>
      <c r="J12" s="118">
        <v>316.41380345831681</v>
      </c>
      <c r="K12" s="118">
        <v>305.50302090544949</v>
      </c>
      <c r="L12" s="118">
        <v>294.59223586082135</v>
      </c>
      <c r="M12" s="118">
        <v>283.6814481570417</v>
      </c>
      <c r="N12" s="118">
        <v>272.77065764704849</v>
      </c>
      <c r="O12" s="118">
        <v>261.85986420501973</v>
      </c>
      <c r="P12" s="118">
        <v>250.94906772712568</v>
      </c>
      <c r="Q12" s="118">
        <v>240.03826813211748</v>
      </c>
      <c r="R12" s="118">
        <v>229.12746536174896</v>
      </c>
      <c r="S12" s="118">
        <v>218.21665938103024</v>
      </c>
      <c r="T12" s="118">
        <v>207.30585017831208</v>
      </c>
      <c r="U12" s="118">
        <v>196.39503776520178</v>
      </c>
      <c r="V12" s="118">
        <v>185.48422217631241</v>
      </c>
      <c r="W12" s="118">
        <v>174.57340346884848</v>
      </c>
      <c r="X12" s="118">
        <v>163.662581722032</v>
      </c>
      <c r="Y12" s="118">
        <v>152.75175703637439</v>
      </c>
      <c r="Z12" s="118">
        <v>141.8409295328004</v>
      </c>
      <c r="AA12" s="118">
        <v>130.93009935163175</v>
      </c>
      <c r="AB12" s="118">
        <v>120.0192666514383</v>
      </c>
      <c r="AC12" s="118">
        <v>109.10843160776641</v>
      </c>
      <c r="AD12" s="118">
        <v>98.197594411754295</v>
      </c>
      <c r="AE12" s="118">
        <v>87.286755268645237</v>
      </c>
      <c r="AF12" s="118">
        <v>76.375914396209993</v>
      </c>
      <c r="AG12" s="118">
        <v>65.465072023090528</v>
      </c>
      <c r="AH12" s="118">
        <v>54.554228387077345</v>
      </c>
      <c r="AI12" s="118">
        <v>43.643383733333579</v>
      </c>
      <c r="AJ12" s="118">
        <v>32.732538312578676</v>
      </c>
      <c r="AK12" s="118">
        <v>21.821692379245281</v>
      </c>
      <c r="AL12" s="118">
        <v>10.910846189622641</v>
      </c>
      <c r="AM12" s="119">
        <v>0</v>
      </c>
    </row>
    <row r="13" spans="1:39" x14ac:dyDescent="0.25">
      <c r="A13" t="s">
        <v>167</v>
      </c>
      <c r="B13" s="96">
        <v>19.5</v>
      </c>
      <c r="C13" s="118">
        <v>18.973012010674495</v>
      </c>
      <c r="D13" s="118">
        <v>18.446023459827188</v>
      </c>
      <c r="E13" s="118">
        <v>17.919034074774167</v>
      </c>
      <c r="F13" s="118">
        <v>17.392043590792309</v>
      </c>
      <c r="G13" s="118">
        <v>16.86505175296594</v>
      </c>
      <c r="H13" s="118">
        <v>16.33805831794966</v>
      </c>
      <c r="I13" s="118">
        <v>15.811063055635287</v>
      </c>
      <c r="J13" s="118">
        <v>15.284065750711592</v>
      </c>
      <c r="K13" s="118">
        <v>14.757066204106414</v>
      </c>
      <c r="L13" s="118">
        <v>14.230064234301599</v>
      </c>
      <c r="M13" s="118">
        <v>13.703059678512243</v>
      </c>
      <c r="N13" s="118">
        <v>13.176052393722717</v>
      </c>
      <c r="O13" s="118">
        <v>12.649042257573051</v>
      </c>
      <c r="P13" s="118">
        <v>12.122029169090409</v>
      </c>
      <c r="Q13" s="118">
        <v>11.595013049261468</v>
      </c>
      <c r="R13" s="118">
        <v>11.067993841442746</v>
      </c>
      <c r="S13" s="118">
        <v>10.540971511607108</v>
      </c>
      <c r="T13" s="118">
        <v>10.013946048425831</v>
      </c>
      <c r="U13" s="118">
        <v>9.4869174631868276</v>
      </c>
      <c r="V13" s="118">
        <v>8.9598857895508051</v>
      </c>
      <c r="W13" s="118">
        <v>8.4328510831482753</v>
      </c>
      <c r="X13" s="118">
        <v>7.9058134210214446</v>
      </c>
      <c r="Y13" s="118">
        <v>7.3787729009161271</v>
      </c>
      <c r="Z13" s="118">
        <v>6.8517296404298573</v>
      </c>
      <c r="AA13" s="118">
        <v>6.3246837760233445</v>
      </c>
      <c r="AB13" s="118">
        <v>5.7976354619033774</v>
      </c>
      <c r="AC13" s="118">
        <v>5.2705848687861305</v>
      </c>
      <c r="AD13" s="118">
        <v>4.7435321825506334</v>
      </c>
      <c r="AE13" s="118">
        <v>4.216477602792863</v>
      </c>
      <c r="AF13" s="118">
        <v>3.6894213412915908</v>
      </c>
      <c r="AG13" s="118">
        <v>3.1623636203976409</v>
      </c>
      <c r="AH13" s="118">
        <v>2.6353046713586972</v>
      </c>
      <c r="AI13" s="118">
        <v>2.1082447325921745</v>
      </c>
      <c r="AJ13" s="118">
        <v>1.5811840479189443</v>
      </c>
      <c r="AK13" s="118">
        <v>1.0541228647709007</v>
      </c>
      <c r="AL13" s="118">
        <v>0.52706143238545033</v>
      </c>
      <c r="AM13" s="119">
        <v>0</v>
      </c>
    </row>
    <row r="14" spans="1:39" x14ac:dyDescent="0.25">
      <c r="A14" t="s">
        <v>168</v>
      </c>
      <c r="B14" s="96">
        <v>5.4</v>
      </c>
      <c r="C14" s="118">
        <v>5.2540540540540608</v>
      </c>
      <c r="D14" s="118">
        <v>5.1081081081081212</v>
      </c>
      <c r="E14" s="118">
        <v>4.9621621621621808</v>
      </c>
      <c r="F14" s="118">
        <v>4.8162162162162403</v>
      </c>
      <c r="G14" s="118">
        <v>4.670270270270299</v>
      </c>
      <c r="H14" s="118">
        <v>4.5243243243243567</v>
      </c>
      <c r="I14" s="118">
        <v>4.3783783783784145</v>
      </c>
      <c r="J14" s="118">
        <v>4.2324324324324714</v>
      </c>
      <c r="K14" s="118">
        <v>4.0864864864865282</v>
      </c>
      <c r="L14" s="118">
        <v>3.9405405405405842</v>
      </c>
      <c r="M14" s="118">
        <v>3.7945945945946398</v>
      </c>
      <c r="N14" s="118">
        <v>3.6486486486486953</v>
      </c>
      <c r="O14" s="118">
        <v>3.5027027027027504</v>
      </c>
      <c r="P14" s="118">
        <v>3.3567567567568051</v>
      </c>
      <c r="Q14" s="118">
        <v>3.2108108108108597</v>
      </c>
      <c r="R14" s="118">
        <v>3.0648648648649139</v>
      </c>
      <c r="S14" s="118">
        <v>2.9189189189189677</v>
      </c>
      <c r="T14" s="118">
        <v>2.7729729729730215</v>
      </c>
      <c r="U14" s="118">
        <v>2.6270270270270748</v>
      </c>
      <c r="V14" s="118">
        <v>2.4810810810811277</v>
      </c>
      <c r="W14" s="118">
        <v>2.3351351351351806</v>
      </c>
      <c r="X14" s="118">
        <v>2.189189189189233</v>
      </c>
      <c r="Y14" s="118">
        <v>2.043243243243285</v>
      </c>
      <c r="Z14" s="118">
        <v>1.8972972972973368</v>
      </c>
      <c r="AA14" s="118">
        <v>1.7513513513513885</v>
      </c>
      <c r="AB14" s="118">
        <v>1.6054054054054401</v>
      </c>
      <c r="AC14" s="118">
        <v>1.4594594594594914</v>
      </c>
      <c r="AD14" s="118">
        <v>1.3135135135135427</v>
      </c>
      <c r="AE14" s="118">
        <v>1.1675675675675938</v>
      </c>
      <c r="AF14" s="118">
        <v>1.0216216216216449</v>
      </c>
      <c r="AG14" s="118">
        <v>0.87567567567569582</v>
      </c>
      <c r="AH14" s="118">
        <v>0.72972972972974659</v>
      </c>
      <c r="AI14" s="118">
        <v>0.58378378378379736</v>
      </c>
      <c r="AJ14" s="118">
        <v>0.43783783783784802</v>
      </c>
      <c r="AK14" s="118">
        <v>0.29189189189189868</v>
      </c>
      <c r="AL14" s="118">
        <v>0.14594594594594934</v>
      </c>
      <c r="AM14" s="119">
        <v>0</v>
      </c>
    </row>
    <row r="15" spans="1:39" x14ac:dyDescent="0.25">
      <c r="A15" t="s">
        <v>169</v>
      </c>
      <c r="B15" s="96">
        <v>19.8</v>
      </c>
      <c r="C15" s="118">
        <v>19.26486486486489</v>
      </c>
      <c r="D15" s="118">
        <v>18.729729729729776</v>
      </c>
      <c r="E15" s="118">
        <v>18.194594594594662</v>
      </c>
      <c r="F15" s="118">
        <v>17.659459459459544</v>
      </c>
      <c r="G15" s="118">
        <v>17.124324324324427</v>
      </c>
      <c r="H15" s="118">
        <v>16.589189189189305</v>
      </c>
      <c r="I15" s="118">
        <v>16.054054054054184</v>
      </c>
      <c r="J15" s="118">
        <v>15.518918918919059</v>
      </c>
      <c r="K15" s="118">
        <v>14.983783783783933</v>
      </c>
      <c r="L15" s="118">
        <v>14.448648648648806</v>
      </c>
      <c r="M15" s="118">
        <v>13.913513513513678</v>
      </c>
      <c r="N15" s="118">
        <v>13.378378378378548</v>
      </c>
      <c r="O15" s="118">
        <v>12.843243243243418</v>
      </c>
      <c r="P15" s="118">
        <v>12.308108108108286</v>
      </c>
      <c r="Q15" s="118">
        <v>11.772972972973152</v>
      </c>
      <c r="R15" s="118">
        <v>11.237837837838018</v>
      </c>
      <c r="S15" s="118">
        <v>10.702702702702883</v>
      </c>
      <c r="T15" s="118">
        <v>10.167567567567746</v>
      </c>
      <c r="U15" s="118">
        <v>9.6324324324326085</v>
      </c>
      <c r="V15" s="118">
        <v>9.0972972972974695</v>
      </c>
      <c r="W15" s="118">
        <v>8.5621621621623287</v>
      </c>
      <c r="X15" s="118">
        <v>8.027027027027188</v>
      </c>
      <c r="Y15" s="118">
        <v>7.4918918918920454</v>
      </c>
      <c r="Z15" s="118">
        <v>6.956756756756902</v>
      </c>
      <c r="AA15" s="118">
        <v>6.4216216216217585</v>
      </c>
      <c r="AB15" s="118">
        <v>5.8864864864866142</v>
      </c>
      <c r="AC15" s="118">
        <v>5.351351351351469</v>
      </c>
      <c r="AD15" s="118">
        <v>4.8162162162163238</v>
      </c>
      <c r="AE15" s="118">
        <v>4.2810810810811777</v>
      </c>
      <c r="AF15" s="118">
        <v>3.7459459459460311</v>
      </c>
      <c r="AG15" s="118">
        <v>3.2108108108108846</v>
      </c>
      <c r="AH15" s="118">
        <v>2.6756756756757376</v>
      </c>
      <c r="AI15" s="118">
        <v>2.1405405405405906</v>
      </c>
      <c r="AJ15" s="118">
        <v>1.6054054054054432</v>
      </c>
      <c r="AK15" s="118">
        <v>1.0702702702702955</v>
      </c>
      <c r="AL15" s="118">
        <v>0.53513513513514777</v>
      </c>
      <c r="AM15" s="119">
        <v>0</v>
      </c>
    </row>
    <row r="16" spans="1:39" ht="15.75" thickBot="1" x14ac:dyDescent="0.3">
      <c r="A16" s="85" t="s">
        <v>100</v>
      </c>
      <c r="B16" s="97">
        <v>543.1922047249999</v>
      </c>
      <c r="C16" s="97">
        <v>541.32039444537327</v>
      </c>
      <c r="D16" s="97">
        <v>539.44858464608456</v>
      </c>
      <c r="E16" s="97">
        <v>537.57677556039403</v>
      </c>
      <c r="F16" s="97">
        <v>535.70496741475188</v>
      </c>
      <c r="G16" s="97">
        <v>533.83316042721833</v>
      </c>
      <c r="H16" s="97">
        <v>531.9613548059566</v>
      </c>
      <c r="I16" s="97">
        <v>530.08955074780624</v>
      </c>
      <c r="J16" s="97">
        <v>528.21774843694948</v>
      </c>
      <c r="K16" s="97">
        <v>526.34594804367691</v>
      </c>
      <c r="L16" s="97">
        <v>524.47414972326328</v>
      </c>
      <c r="M16" s="97">
        <v>522.60235361495836</v>
      </c>
      <c r="N16" s="97">
        <v>520.7305598411009</v>
      </c>
      <c r="O16" s="97">
        <v>518.85876850636043</v>
      </c>
      <c r="P16" s="97">
        <v>516.98697969711122</v>
      </c>
      <c r="Q16" s="97">
        <v>515.11519348094328</v>
      </c>
      <c r="R16" s="97">
        <v>513.24340990631038</v>
      </c>
      <c r="S16" s="97">
        <v>511.37162900232022</v>
      </c>
      <c r="T16" s="97">
        <v>509.4998507786637</v>
      </c>
      <c r="U16" s="97">
        <v>507.62807522568488</v>
      </c>
      <c r="V16" s="97">
        <v>505.75630231458962</v>
      </c>
      <c r="W16" s="97">
        <v>503.8845319977903</v>
      </c>
      <c r="X16" s="97">
        <v>502.01276420938331</v>
      </c>
      <c r="Y16" s="97">
        <v>500.14099886575491</v>
      </c>
      <c r="Z16" s="97">
        <v>498.2692358663092</v>
      </c>
      <c r="AA16" s="97">
        <v>496.39747509431487</v>
      </c>
      <c r="AB16" s="97">
        <v>494.52571641786</v>
      </c>
      <c r="AC16" s="97">
        <v>492.65395969091014</v>
      </c>
      <c r="AD16" s="97">
        <v>490.78220475446022</v>
      </c>
      <c r="AE16" s="97">
        <v>488.91045143777126</v>
      </c>
      <c r="AF16" s="97">
        <v>487.03869955968321</v>
      </c>
      <c r="AG16" s="97">
        <v>485.16694892999226</v>
      </c>
      <c r="AH16" s="97">
        <v>483.29519935088365</v>
      </c>
      <c r="AI16" s="97">
        <v>481.42345061841024</v>
      </c>
      <c r="AJ16" s="97">
        <v>479.551702524002</v>
      </c>
      <c r="AK16" s="97">
        <v>477.67995485600011</v>
      </c>
      <c r="AL16" s="97">
        <v>475.80820740120146</v>
      </c>
      <c r="AM16" s="120">
        <v>473.93645994640292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0:BF111"/>
  <sheetViews>
    <sheetView topLeftCell="A37" workbookViewId="0">
      <selection activeCell="AH58" sqref="AH58"/>
    </sheetView>
  </sheetViews>
  <sheetFormatPr baseColWidth="10" defaultRowHeight="15" outlineLevelRow="1" x14ac:dyDescent="0.25"/>
  <cols>
    <col min="1" max="1" width="27" bestFit="1" customWidth="1"/>
    <col min="2" max="39" width="8.140625" customWidth="1"/>
    <col min="40" max="74" width="7.5703125" customWidth="1"/>
  </cols>
  <sheetData>
    <row r="10" spans="1:39" x14ac:dyDescent="0.25">
      <c r="A10" s="3" t="s">
        <v>103</v>
      </c>
      <c r="B10" s="47">
        <v>2013</v>
      </c>
      <c r="C10" s="47">
        <v>2014</v>
      </c>
      <c r="D10" s="47">
        <v>2015</v>
      </c>
      <c r="E10" s="47">
        <v>2016</v>
      </c>
      <c r="F10" s="47">
        <v>2017</v>
      </c>
      <c r="G10" s="47">
        <v>2018</v>
      </c>
      <c r="H10" s="47">
        <v>2019</v>
      </c>
      <c r="I10" s="47">
        <v>2020</v>
      </c>
      <c r="J10" s="47">
        <v>2021</v>
      </c>
      <c r="K10" s="47">
        <v>2022</v>
      </c>
      <c r="L10" s="47">
        <v>2023</v>
      </c>
      <c r="M10" s="47">
        <v>2024</v>
      </c>
      <c r="N10" s="47">
        <v>2025</v>
      </c>
      <c r="O10" s="47">
        <v>2026</v>
      </c>
      <c r="P10" s="47">
        <v>2027</v>
      </c>
      <c r="Q10" s="47">
        <v>2028</v>
      </c>
      <c r="R10" s="47">
        <v>2029</v>
      </c>
      <c r="S10" s="47">
        <v>2030</v>
      </c>
      <c r="T10" s="47">
        <v>2031</v>
      </c>
      <c r="U10" s="47">
        <v>2032</v>
      </c>
      <c r="V10" s="47">
        <v>2033</v>
      </c>
      <c r="W10" s="47">
        <v>2034</v>
      </c>
      <c r="X10" s="47">
        <v>2035</v>
      </c>
      <c r="Y10" s="47">
        <v>2036</v>
      </c>
      <c r="Z10" s="47">
        <v>2037</v>
      </c>
      <c r="AA10" s="47">
        <v>2038</v>
      </c>
      <c r="AB10" s="47">
        <v>2039</v>
      </c>
      <c r="AC10" s="47">
        <v>2040</v>
      </c>
      <c r="AD10" s="47">
        <v>2041</v>
      </c>
      <c r="AE10" s="47">
        <v>2042</v>
      </c>
      <c r="AF10" s="47">
        <v>2043</v>
      </c>
      <c r="AG10" s="47">
        <v>2044</v>
      </c>
      <c r="AH10" s="47">
        <v>2045</v>
      </c>
      <c r="AI10" s="47">
        <v>2046</v>
      </c>
      <c r="AJ10" s="47">
        <v>2047</v>
      </c>
      <c r="AK10" s="47">
        <v>2048</v>
      </c>
      <c r="AL10" s="47">
        <v>2049</v>
      </c>
      <c r="AM10" s="47">
        <v>2050</v>
      </c>
    </row>
    <row r="11" spans="1:39" x14ac:dyDescent="0.25">
      <c r="A11" t="s">
        <v>90</v>
      </c>
      <c r="B11" s="109">
        <v>0</v>
      </c>
      <c r="C11" s="111">
        <f t="shared" ref="C11" ca="1" si="0">(B11+D11)/2</f>
        <v>196.97461324784854</v>
      </c>
      <c r="D11" s="111">
        <f t="shared" ref="D11" ca="1" si="1">(C11+E11)/2</f>
        <v>393.94922649569708</v>
      </c>
      <c r="E11" s="111">
        <f t="shared" ref="E11" ca="1" si="2">(D11+F11)/2</f>
        <v>590.92383974354561</v>
      </c>
      <c r="F11" s="111">
        <f t="shared" ref="F11" ca="1" si="3">(E11+G11)/2</f>
        <v>787.89845299139404</v>
      </c>
      <c r="G11" s="111">
        <f t="shared" ref="G11" ca="1" si="4">(F11+H11)/2</f>
        <v>984.87306623924246</v>
      </c>
      <c r="H11" s="111">
        <f t="shared" ref="H11" ca="1" si="5">(G11+I11)/2</f>
        <v>1181.8476794870908</v>
      </c>
      <c r="I11" s="111">
        <f t="shared" ref="I11" ca="1" si="6">(H11+J11)/2</f>
        <v>1378.8222927349389</v>
      </c>
      <c r="J11" s="111">
        <f t="shared" ref="J11" ca="1" si="7">(I11+K11)/2</f>
        <v>1575.7969059827867</v>
      </c>
      <c r="K11" s="111">
        <f t="shared" ref="K11" ca="1" si="8">(J11+L11)/2</f>
        <v>1772.7715192306346</v>
      </c>
      <c r="L11" s="111">
        <f t="shared" ref="L11" ca="1" si="9">(K11+M11)/2</f>
        <v>1969.7461324784822</v>
      </c>
      <c r="M11" s="111">
        <f>'Capacités installées'!H24</f>
        <v>2166.7207457263298</v>
      </c>
      <c r="N11" s="111">
        <f t="shared" ref="N11" ca="1" si="10">(M11+O11)/2</f>
        <v>2490.8626736284277</v>
      </c>
      <c r="O11" s="111">
        <f t="shared" ref="O11" ca="1" si="11">(N11+P11)/2</f>
        <v>2815.0046015305261</v>
      </c>
      <c r="P11" s="111">
        <f t="shared" ref="P11:Q11" ca="1" si="12">(O11+Q11)/2</f>
        <v>3139.146529432624</v>
      </c>
      <c r="Q11" s="111">
        <f t="shared" ca="1" si="12"/>
        <v>3463.2884573347219</v>
      </c>
      <c r="R11" s="111">
        <f t="shared" ref="R11:S11" ca="1" si="13">(Q11+S11)/2</f>
        <v>3787.4303852368193</v>
      </c>
      <c r="S11" s="111">
        <f t="shared" ca="1" si="13"/>
        <v>4111.5723131389168</v>
      </c>
      <c r="T11" s="111">
        <f ca="1">(S11+U11)/2</f>
        <v>4435.7142410410133</v>
      </c>
      <c r="U11" s="111">
        <f t="shared" ref="U11" ca="1" si="14">(T11+V11)/2</f>
        <v>4759.8561689431099</v>
      </c>
      <c r="V11" s="111">
        <f t="shared" ref="V11" ca="1" si="15">(U11+W11)/2</f>
        <v>5083.9980968452055</v>
      </c>
      <c r="W11" s="111">
        <f t="shared" ref="W11" ca="1" si="16">(V11+X11)/2</f>
        <v>5408.1400247473002</v>
      </c>
      <c r="X11" s="111">
        <f t="shared" ref="X11" ca="1" si="17">(W11+Y11)/2</f>
        <v>5732.281952649395</v>
      </c>
      <c r="Y11" s="111">
        <f t="shared" ref="Y11" ca="1" si="18">(X11+Z11)/2</f>
        <v>6056.4238805514888</v>
      </c>
      <c r="Z11" s="111">
        <f t="shared" ref="Z11" ca="1" si="19">(Y11+AA11)/2</f>
        <v>6380.5658084535817</v>
      </c>
      <c r="AA11" s="111">
        <f t="shared" ref="AA11" ca="1" si="20">(Z11+AB11)/2</f>
        <v>6704.7077363556746</v>
      </c>
      <c r="AB11" s="111">
        <f t="shared" ref="AB11" ca="1" si="21">(AA11+AC11)/2</f>
        <v>7028.8496642577666</v>
      </c>
      <c r="AC11" s="111">
        <f t="shared" ref="AC11" ca="1" si="22">(AB11+AD11)/2</f>
        <v>7352.9915921598576</v>
      </c>
      <c r="AD11" s="111">
        <f t="shared" ref="AD11" ca="1" si="23">(AC11+AE11)/2</f>
        <v>7677.1335200619487</v>
      </c>
      <c r="AE11" s="111">
        <f>'Capacités installées'!G24</f>
        <v>8001.2754479640398</v>
      </c>
      <c r="AF11" s="111">
        <f t="shared" ref="AF11" ca="1" si="24">(AE11+AG11)/2</f>
        <v>9557.6665944420438</v>
      </c>
      <c r="AG11" s="111">
        <f t="shared" ref="AG11" ca="1" si="25">(AF11+AH11)/2</f>
        <v>11114.057740920049</v>
      </c>
      <c r="AH11" s="111">
        <f t="shared" ref="AH11" ca="1" si="26">(AG11+AI11)/2</f>
        <v>12670.448887398055</v>
      </c>
      <c r="AI11" s="111">
        <f t="shared" ref="AI11" ca="1" si="27">(AH11+AJ11)/2</f>
        <v>14226.840033876062</v>
      </c>
      <c r="AJ11" s="111">
        <f t="shared" ref="AJ11" ca="1" si="28">(AI11+AK11)/2</f>
        <v>15783.231180354069</v>
      </c>
      <c r="AK11" s="110">
        <f ca="1">(AJ11+AL11)/2</f>
        <v>17339.622326832075</v>
      </c>
      <c r="AL11" s="110">
        <f ca="1">(AK11+AM11)/2</f>
        <v>18896.013473310086</v>
      </c>
      <c r="AM11" s="110">
        <f>'Capacités installées'!B24</f>
        <v>20452.4046197881</v>
      </c>
    </row>
    <row r="12" spans="1:39" x14ac:dyDescent="0.25">
      <c r="A12" t="s">
        <v>110</v>
      </c>
      <c r="B12" s="33"/>
      <c r="C12" s="42">
        <f ca="1">C11-B11</f>
        <v>196.97461324784854</v>
      </c>
      <c r="D12" s="42">
        <f t="shared" ref="D12:AM12" ca="1" si="29">D11-C11</f>
        <v>196.97461324784854</v>
      </c>
      <c r="E12" s="42">
        <f t="shared" ca="1" si="29"/>
        <v>196.97461324784854</v>
      </c>
      <c r="F12" s="42">
        <f t="shared" ca="1" si="29"/>
        <v>196.97461324784842</v>
      </c>
      <c r="G12" s="42">
        <f t="shared" ca="1" si="29"/>
        <v>196.97461324784842</v>
      </c>
      <c r="H12" s="42">
        <f t="shared" ca="1" si="29"/>
        <v>196.97461324784831</v>
      </c>
      <c r="I12" s="42">
        <f t="shared" ca="1" si="29"/>
        <v>196.97461324784808</v>
      </c>
      <c r="J12" s="42">
        <f t="shared" ca="1" si="29"/>
        <v>196.97461324784786</v>
      </c>
      <c r="K12" s="42">
        <f t="shared" ca="1" si="29"/>
        <v>196.97461324784786</v>
      </c>
      <c r="L12" s="42">
        <f t="shared" ca="1" si="29"/>
        <v>196.97461324784763</v>
      </c>
      <c r="M12" s="42">
        <f t="shared" ca="1" si="29"/>
        <v>196.97461324784763</v>
      </c>
      <c r="N12" s="42">
        <f t="shared" ca="1" si="29"/>
        <v>324.1419279020979</v>
      </c>
      <c r="O12" s="42">
        <f t="shared" ca="1" si="29"/>
        <v>324.14192790209836</v>
      </c>
      <c r="P12" s="42">
        <f t="shared" ca="1" si="29"/>
        <v>324.1419279020979</v>
      </c>
      <c r="Q12" s="42">
        <f t="shared" ca="1" si="29"/>
        <v>324.1419279020979</v>
      </c>
      <c r="R12" s="42">
        <f t="shared" ca="1" si="29"/>
        <v>324.14192790209745</v>
      </c>
      <c r="S12" s="42">
        <f t="shared" ca="1" si="29"/>
        <v>324.14192790209745</v>
      </c>
      <c r="T12" s="42">
        <f t="shared" ca="1" si="29"/>
        <v>324.14192790209654</v>
      </c>
      <c r="U12" s="42">
        <f t="shared" ca="1" si="29"/>
        <v>324.14192790209654</v>
      </c>
      <c r="V12" s="42">
        <f t="shared" ca="1" si="29"/>
        <v>324.14192790209563</v>
      </c>
      <c r="W12" s="42">
        <f t="shared" ca="1" si="29"/>
        <v>324.14192790209472</v>
      </c>
      <c r="X12" s="42">
        <f t="shared" ca="1" si="29"/>
        <v>324.14192790209472</v>
      </c>
      <c r="Y12" s="42">
        <f t="shared" ca="1" si="29"/>
        <v>324.14192790209381</v>
      </c>
      <c r="Z12" s="42">
        <f t="shared" ca="1" si="29"/>
        <v>324.1419279020929</v>
      </c>
      <c r="AA12" s="42">
        <f t="shared" ca="1" si="29"/>
        <v>324.1419279020929</v>
      </c>
      <c r="AB12" s="42">
        <f t="shared" ca="1" si="29"/>
        <v>324.14192790209199</v>
      </c>
      <c r="AC12" s="42">
        <f t="shared" ca="1" si="29"/>
        <v>324.14192790209108</v>
      </c>
      <c r="AD12" s="42">
        <f t="shared" ca="1" si="29"/>
        <v>324.14192790209108</v>
      </c>
      <c r="AE12" s="42">
        <f t="shared" ca="1" si="29"/>
        <v>324.14192790209108</v>
      </c>
      <c r="AF12" s="42">
        <f t="shared" ca="1" si="29"/>
        <v>1556.391146478004</v>
      </c>
      <c r="AG12" s="42">
        <f t="shared" ca="1" si="29"/>
        <v>1556.3911464780049</v>
      </c>
      <c r="AH12" s="42">
        <f t="shared" ca="1" si="29"/>
        <v>1556.3911464780067</v>
      </c>
      <c r="AI12" s="42">
        <f t="shared" ca="1" si="29"/>
        <v>1556.3911464780067</v>
      </c>
      <c r="AJ12" s="42">
        <f t="shared" ca="1" si="29"/>
        <v>1556.3911464780067</v>
      </c>
      <c r="AK12" s="42">
        <f t="shared" ca="1" si="29"/>
        <v>1556.3911464780067</v>
      </c>
      <c r="AL12" s="42">
        <f t="shared" ca="1" si="29"/>
        <v>1556.3911464780103</v>
      </c>
      <c r="AM12" s="42">
        <f t="shared" ca="1" si="29"/>
        <v>1556.391146478014</v>
      </c>
    </row>
    <row r="13" spans="1:39" x14ac:dyDescent="0.25">
      <c r="A13" t="s">
        <v>106</v>
      </c>
      <c r="B13" s="46">
        <f>LCOE!AN27*1000</f>
        <v>900000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9"/>
      <c r="N13" s="42"/>
      <c r="O13" s="42"/>
      <c r="P13" s="42"/>
      <c r="Q13" s="42"/>
      <c r="R13" s="42"/>
      <c r="S13" s="43">
        <f>LCOE!AO27*1000</f>
        <v>805000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9"/>
      <c r="AF13" s="49"/>
      <c r="AG13" s="49"/>
      <c r="AH13" s="49"/>
      <c r="AI13" s="49"/>
      <c r="AJ13" s="49"/>
      <c r="AK13" s="49"/>
      <c r="AL13" s="42"/>
      <c r="AM13" s="43">
        <f>LCOE!AP27*1000</f>
        <v>753000</v>
      </c>
    </row>
    <row r="14" spans="1:39" x14ac:dyDescent="0.25">
      <c r="A14" t="s">
        <v>104</v>
      </c>
      <c r="B14" s="41">
        <f>B13*S14/S13</f>
        <v>57370.517928286856</v>
      </c>
      <c r="C14" s="13">
        <f t="shared" ref="C14:R14" ca="1" si="30">(B14+D14)/2</f>
        <v>57014.295758143926</v>
      </c>
      <c r="D14" s="13">
        <f t="shared" ca="1" si="30"/>
        <v>56658.073588000996</v>
      </c>
      <c r="E14" s="13">
        <f t="shared" ca="1" si="30"/>
        <v>56301.851417858066</v>
      </c>
      <c r="F14" s="13">
        <f t="shared" ca="1" si="30"/>
        <v>55945.629247715129</v>
      </c>
      <c r="G14" s="13">
        <f t="shared" ca="1" si="30"/>
        <v>55589.407077572192</v>
      </c>
      <c r="H14" s="13">
        <f t="shared" ca="1" si="30"/>
        <v>55233.184907429248</v>
      </c>
      <c r="I14" s="13">
        <f t="shared" ca="1" si="30"/>
        <v>54876.962737286303</v>
      </c>
      <c r="J14" s="13">
        <f t="shared" ca="1" si="30"/>
        <v>54520.740567143352</v>
      </c>
      <c r="K14" s="13">
        <f t="shared" ca="1" si="30"/>
        <v>54164.518397000393</v>
      </c>
      <c r="L14" s="13">
        <f t="shared" ca="1" si="30"/>
        <v>53808.296226857434</v>
      </c>
      <c r="M14" s="13">
        <f t="shared" ca="1" si="30"/>
        <v>53452.074056714468</v>
      </c>
      <c r="N14" s="13">
        <f t="shared" ca="1" si="30"/>
        <v>53095.851886571494</v>
      </c>
      <c r="O14" s="13">
        <f t="shared" ca="1" si="30"/>
        <v>52739.629716428521</v>
      </c>
      <c r="P14" s="13">
        <f t="shared" ca="1" si="30"/>
        <v>52383.40754628554</v>
      </c>
      <c r="Q14" s="13">
        <f t="shared" ca="1" si="30"/>
        <v>52027.185376142552</v>
      </c>
      <c r="R14" s="13">
        <f t="shared" ca="1" si="30"/>
        <v>51670.963205999564</v>
      </c>
      <c r="S14" s="13">
        <f>S13*AM14/AM13</f>
        <v>51314.741035856576</v>
      </c>
      <c r="T14" s="13">
        <f ca="1">(S14+U14)/2</f>
        <v>51149.003984063791</v>
      </c>
      <c r="U14" s="13">
        <f t="shared" ref="U14:AL14" ca="1" si="31">(T14+V14)/2</f>
        <v>50983.266932270999</v>
      </c>
      <c r="V14" s="13">
        <f t="shared" ca="1" si="31"/>
        <v>50817.529880478207</v>
      </c>
      <c r="W14" s="13">
        <f t="shared" ca="1" si="31"/>
        <v>50651.792828685408</v>
      </c>
      <c r="X14" s="13">
        <f t="shared" ca="1" si="31"/>
        <v>50486.055776892608</v>
      </c>
      <c r="Y14" s="13">
        <f t="shared" ca="1" si="31"/>
        <v>50320.318725099802</v>
      </c>
      <c r="Z14" s="13">
        <f t="shared" ca="1" si="31"/>
        <v>50154.581673306988</v>
      </c>
      <c r="AA14" s="13">
        <f t="shared" ca="1" si="31"/>
        <v>49988.844621514174</v>
      </c>
      <c r="AB14" s="13">
        <f t="shared" ca="1" si="31"/>
        <v>49823.107569721353</v>
      </c>
      <c r="AC14" s="13">
        <f t="shared" ca="1" si="31"/>
        <v>49657.370517928524</v>
      </c>
      <c r="AD14" s="13">
        <f t="shared" ca="1" si="31"/>
        <v>49491.633466135696</v>
      </c>
      <c r="AE14" s="13">
        <f t="shared" ca="1" si="31"/>
        <v>49325.89641434286</v>
      </c>
      <c r="AF14" s="13">
        <f t="shared" ca="1" si="31"/>
        <v>49160.159362550017</v>
      </c>
      <c r="AG14" s="13">
        <f t="shared" ca="1" si="31"/>
        <v>48994.422310757174</v>
      </c>
      <c r="AH14" s="13">
        <f t="shared" ca="1" si="31"/>
        <v>48828.685258964324</v>
      </c>
      <c r="AI14" s="13">
        <f t="shared" ca="1" si="31"/>
        <v>48662.948207171466</v>
      </c>
      <c r="AJ14" s="13">
        <f t="shared" ca="1" si="31"/>
        <v>48497.211155378609</v>
      </c>
      <c r="AK14" s="13">
        <f t="shared" ca="1" si="31"/>
        <v>48331.474103585744</v>
      </c>
      <c r="AL14" s="13">
        <f t="shared" ca="1" si="31"/>
        <v>48165.737051792872</v>
      </c>
      <c r="AM14" s="13">
        <f>LCOE!AR27*1000</f>
        <v>48000</v>
      </c>
    </row>
    <row r="15" spans="1:39" x14ac:dyDescent="0.25">
      <c r="A15" t="s">
        <v>105</v>
      </c>
      <c r="B15" s="13">
        <f>B14*S15/S14</f>
        <v>16733.067729083668</v>
      </c>
      <c r="C15" s="13">
        <f t="shared" ref="C15:R15" ca="1" si="32">(B15+D15)/2</f>
        <v>16629.169596125317</v>
      </c>
      <c r="D15" s="13">
        <f t="shared" ca="1" si="32"/>
        <v>16525.271463166966</v>
      </c>
      <c r="E15" s="13">
        <f t="shared" ca="1" si="32"/>
        <v>16421.373330208611</v>
      </c>
      <c r="F15" s="13">
        <f t="shared" ca="1" si="32"/>
        <v>16317.475197250253</v>
      </c>
      <c r="G15" s="13">
        <f t="shared" ca="1" si="32"/>
        <v>16213.577064291894</v>
      </c>
      <c r="H15" s="13">
        <f t="shared" ca="1" si="32"/>
        <v>16109.678931333534</v>
      </c>
      <c r="I15" s="13">
        <f t="shared" ca="1" si="32"/>
        <v>16005.780798375174</v>
      </c>
      <c r="J15" s="13">
        <f t="shared" ca="1" si="32"/>
        <v>15901.882665416812</v>
      </c>
      <c r="K15" s="13">
        <f t="shared" ca="1" si="32"/>
        <v>15797.984532458448</v>
      </c>
      <c r="L15" s="13">
        <f t="shared" ca="1" si="32"/>
        <v>15694.086399500084</v>
      </c>
      <c r="M15" s="13">
        <f t="shared" ca="1" si="32"/>
        <v>15590.188266541718</v>
      </c>
      <c r="N15" s="13">
        <f t="shared" ca="1" si="32"/>
        <v>15486.29013358335</v>
      </c>
      <c r="O15" s="13">
        <f t="shared" ca="1" si="32"/>
        <v>15382.392000624983</v>
      </c>
      <c r="P15" s="13">
        <f t="shared" ca="1" si="32"/>
        <v>15278.493867666613</v>
      </c>
      <c r="Q15" s="13">
        <f t="shared" ca="1" si="32"/>
        <v>15174.595734708244</v>
      </c>
      <c r="R15" s="13">
        <f t="shared" ca="1" si="32"/>
        <v>15070.697601749873</v>
      </c>
      <c r="S15" s="13">
        <f>S14*AM15/AM14</f>
        <v>14966.799468791502</v>
      </c>
      <c r="T15" s="13">
        <f ca="1">(S15+U15)/2</f>
        <v>14918.459495351937</v>
      </c>
      <c r="U15" s="13">
        <f t="shared" ref="U15:AL15" ca="1" si="33">(T15+V15)/2</f>
        <v>14870.119521912371</v>
      </c>
      <c r="V15" s="13">
        <f t="shared" ca="1" si="33"/>
        <v>14821.779548472805</v>
      </c>
      <c r="W15" s="13">
        <f t="shared" ca="1" si="33"/>
        <v>14773.439575033237</v>
      </c>
      <c r="X15" s="13">
        <f t="shared" ca="1" si="33"/>
        <v>14725.099601593667</v>
      </c>
      <c r="Y15" s="13">
        <f t="shared" ca="1" si="33"/>
        <v>14676.759628154097</v>
      </c>
      <c r="Z15" s="13">
        <f t="shared" ca="1" si="33"/>
        <v>14628.419654714526</v>
      </c>
      <c r="AA15" s="13">
        <f t="shared" ca="1" si="33"/>
        <v>14580.079681274954</v>
      </c>
      <c r="AB15" s="13">
        <f t="shared" ca="1" si="33"/>
        <v>14531.739707835381</v>
      </c>
      <c r="AC15" s="13">
        <f t="shared" ca="1" si="33"/>
        <v>14483.399734395807</v>
      </c>
      <c r="AD15" s="13">
        <f t="shared" ca="1" si="33"/>
        <v>14435.059760956232</v>
      </c>
      <c r="AE15" s="13">
        <f t="shared" ca="1" si="33"/>
        <v>14386.719787516655</v>
      </c>
      <c r="AF15" s="13">
        <f t="shared" ca="1" si="33"/>
        <v>14338.379814077078</v>
      </c>
      <c r="AG15" s="13">
        <f t="shared" ca="1" si="33"/>
        <v>14290.039840637499</v>
      </c>
      <c r="AH15" s="13">
        <f t="shared" ca="1" si="33"/>
        <v>14241.699867197918</v>
      </c>
      <c r="AI15" s="13">
        <f t="shared" ca="1" si="33"/>
        <v>14193.359893758337</v>
      </c>
      <c r="AJ15" s="13">
        <f t="shared" ca="1" si="33"/>
        <v>14145.019920318755</v>
      </c>
      <c r="AK15" s="13">
        <f t="shared" ca="1" si="33"/>
        <v>14096.679946879171</v>
      </c>
      <c r="AL15" s="13">
        <f t="shared" ca="1" si="33"/>
        <v>14048.339973439586</v>
      </c>
      <c r="AM15" s="13">
        <f>LCOE!AS27*1000</f>
        <v>14000</v>
      </c>
    </row>
    <row r="16" spans="1:39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x14ac:dyDescent="0.25">
      <c r="A17" t="s">
        <v>111</v>
      </c>
      <c r="B17" s="111">
        <v>0</v>
      </c>
      <c r="C17" s="111">
        <v>11.230368856558853</v>
      </c>
      <c r="D17" s="111">
        <v>22.390570988923493</v>
      </c>
      <c r="E17" s="111">
        <v>33.480606397093922</v>
      </c>
      <c r="F17" s="111">
        <v>44.500475081070128</v>
      </c>
      <c r="G17" s="111">
        <v>55.450177040852118</v>
      </c>
      <c r="H17" s="111">
        <v>66.329712276439892</v>
      </c>
      <c r="I17" s="111">
        <v>77.139080787833436</v>
      </c>
      <c r="J17" s="111">
        <v>87.878282575032742</v>
      </c>
      <c r="K17" s="111">
        <v>98.547317638037839</v>
      </c>
      <c r="L17" s="111">
        <v>109.1461859768487</v>
      </c>
      <c r="M17" s="111">
        <v>119.67488759146534</v>
      </c>
      <c r="N17" s="111">
        <v>136.88646195988798</v>
      </c>
      <c r="O17" s="111">
        <v>153.98250433626202</v>
      </c>
      <c r="P17" s="111">
        <v>170.96298981066121</v>
      </c>
      <c r="Q17" s="111">
        <v>187.82789728806395</v>
      </c>
      <c r="R17" s="111">
        <v>204.57720996571211</v>
      </c>
      <c r="S17" s="111">
        <v>221.21091565905971</v>
      </c>
      <c r="T17" s="111">
        <v>237.790752303121</v>
      </c>
      <c r="U17" s="111">
        <v>254.31671619264057</v>
      </c>
      <c r="V17" s="111">
        <v>270.78880829932109</v>
      </c>
      <c r="W17" s="111">
        <v>285.95378251837656</v>
      </c>
      <c r="X17" s="111">
        <v>301.10242073477059</v>
      </c>
      <c r="Y17" s="111">
        <v>316.23473625546535</v>
      </c>
      <c r="Z17" s="111">
        <v>331.3507455584467</v>
      </c>
      <c r="AA17" s="111">
        <v>346.45046767912186</v>
      </c>
      <c r="AB17" s="111">
        <v>361.53392354176964</v>
      </c>
      <c r="AC17" s="111">
        <v>376.60113525827563</v>
      </c>
      <c r="AD17" s="111">
        <v>391.65212541656325</v>
      </c>
      <c r="AE17" s="111">
        <v>406.68691638062904</v>
      </c>
      <c r="AF17" s="111">
        <v>482.28378821048562</v>
      </c>
      <c r="AG17" s="111">
        <v>557.66022909289188</v>
      </c>
      <c r="AH17" s="111">
        <v>632.27351593987305</v>
      </c>
      <c r="AI17" s="111">
        <v>706.69060339514965</v>
      </c>
      <c r="AJ17" s="111">
        <v>780.9114929405257</v>
      </c>
      <c r="AK17" s="111">
        <v>854.93618554363832</v>
      </c>
      <c r="AL17" s="111">
        <v>928.76468166765562</v>
      </c>
      <c r="AM17" s="111">
        <v>1002.3969812999535</v>
      </c>
    </row>
    <row r="18" spans="1:39" x14ac:dyDescent="0.25">
      <c r="A18" t="s">
        <v>107</v>
      </c>
      <c r="B18" s="13">
        <f>B15*B11/1000000</f>
        <v>0</v>
      </c>
      <c r="C18" s="13">
        <f t="shared" ref="C18:S18" ca="1" si="34">C15*C11/1000000</f>
        <v>3.2755242498296662</v>
      </c>
      <c r="D18" s="13">
        <f t="shared" ca="1" si="34"/>
        <v>6.5101179105460432</v>
      </c>
      <c r="E18" s="13">
        <f t="shared" ca="1" si="34"/>
        <v>9.7037809821491283</v>
      </c>
      <c r="F18" s="13">
        <f t="shared" ca="1" si="34"/>
        <v>12.856513464638917</v>
      </c>
      <c r="G18" s="13">
        <f t="shared" ca="1" si="34"/>
        <v>15.968315358015413</v>
      </c>
      <c r="H18" s="13">
        <f t="shared" ca="1" si="34"/>
        <v>19.039186662278613</v>
      </c>
      <c r="I18" s="13">
        <f t="shared" ca="1" si="34"/>
        <v>22.069127377428515</v>
      </c>
      <c r="J18" s="13">
        <f t="shared" ca="1" si="34"/>
        <v>25.058137503465119</v>
      </c>
      <c r="K18" s="13">
        <f t="shared" ca="1" si="34"/>
        <v>28.006217040388428</v>
      </c>
      <c r="L18" s="13">
        <f t="shared" ca="1" si="34"/>
        <v>30.913365988198436</v>
      </c>
      <c r="M18" s="13">
        <f t="shared" ca="1" si="34"/>
        <v>33.779584346895149</v>
      </c>
      <c r="N18" s="13">
        <f t="shared" ca="1" si="34"/>
        <v>38.574222046722966</v>
      </c>
      <c r="O18" s="13">
        <f t="shared" ca="1" si="34"/>
        <v>43.301504264305684</v>
      </c>
      <c r="P18" s="13">
        <f t="shared" ca="1" si="34"/>
        <v>47.961430999643284</v>
      </c>
      <c r="Q18" s="13">
        <f t="shared" ca="1" si="34"/>
        <v>52.554002252735764</v>
      </c>
      <c r="R18" s="13">
        <f t="shared" ca="1" si="34"/>
        <v>57.079218023583131</v>
      </c>
      <c r="S18" s="13">
        <f t="shared" ca="1" si="34"/>
        <v>61.537078312185386</v>
      </c>
      <c r="T18" s="13">
        <f t="shared" ref="T18:AM18" ca="1" si="35">T15*T11/1000000</f>
        <v>66.174023237926122</v>
      </c>
      <c r="U18" s="13">
        <f t="shared" ca="1" si="35"/>
        <v>70.779630139295961</v>
      </c>
      <c r="V18" s="13">
        <f t="shared" ca="1" si="35"/>
        <v>75.353899016294932</v>
      </c>
      <c r="W18" s="13">
        <f t="shared" ca="1" si="35"/>
        <v>79.896829868922993</v>
      </c>
      <c r="X18" s="13">
        <f t="shared" ca="1" si="35"/>
        <v>84.408422697180171</v>
      </c>
      <c r="Y18" s="13">
        <f t="shared" ca="1" si="35"/>
        <v>88.888677501066468</v>
      </c>
      <c r="Z18" s="13">
        <f t="shared" ca="1" si="35"/>
        <v>93.337594280581854</v>
      </c>
      <c r="AA18" s="13">
        <f t="shared" ca="1" si="35"/>
        <v>97.755173035726372</v>
      </c>
      <c r="AB18" s="13">
        <f t="shared" ca="1" si="35"/>
        <v>102.14141376649997</v>
      </c>
      <c r="AC18" s="13">
        <f t="shared" ca="1" si="35"/>
        <v>106.49631647290269</v>
      </c>
      <c r="AD18" s="13">
        <f t="shared" ca="1" si="35"/>
        <v>110.81988115493451</v>
      </c>
      <c r="AE18" s="13">
        <f t="shared" ca="1" si="35"/>
        <v>115.11210781259544</v>
      </c>
      <c r="AF18" s="13">
        <f t="shared" ca="1" si="35"/>
        <v>137.04145376742662</v>
      </c>
      <c r="AG18" s="13">
        <f t="shared" ca="1" si="35"/>
        <v>158.82032790889309</v>
      </c>
      <c r="AH18" s="13">
        <f t="shared" ca="1" si="35"/>
        <v>180.44873023699489</v>
      </c>
      <c r="AI18" s="13">
        <f t="shared" ca="1" si="35"/>
        <v>201.92666075173199</v>
      </c>
      <c r="AJ18" s="13">
        <f t="shared" ca="1" si="35"/>
        <v>223.25411945310441</v>
      </c>
      <c r="AK18" s="13">
        <f t="shared" ca="1" si="35"/>
        <v>244.43110634111204</v>
      </c>
      <c r="AL18" s="13">
        <f t="shared" ca="1" si="35"/>
        <v>265.45762141575506</v>
      </c>
      <c r="AM18" s="13">
        <f t="shared" si="35"/>
        <v>286.33366467703343</v>
      </c>
    </row>
    <row r="19" spans="1:39" x14ac:dyDescent="0.25">
      <c r="A19" t="s">
        <v>112</v>
      </c>
      <c r="B19" s="13">
        <f>B18+B17</f>
        <v>0</v>
      </c>
      <c r="C19" s="13">
        <f t="shared" ref="C19:AM19" ca="1" si="36">C18+C17</f>
        <v>14.50589310638852</v>
      </c>
      <c r="D19" s="13">
        <f t="shared" ca="1" si="36"/>
        <v>28.900688899469536</v>
      </c>
      <c r="E19" s="13">
        <f t="shared" ca="1" si="36"/>
        <v>43.184387379243049</v>
      </c>
      <c r="F19" s="13">
        <f t="shared" ca="1" si="36"/>
        <v>57.356988545709044</v>
      </c>
      <c r="G19" s="13">
        <f t="shared" ca="1" si="36"/>
        <v>71.418492398867528</v>
      </c>
      <c r="H19" s="13">
        <f t="shared" ca="1" si="36"/>
        <v>85.368898938718502</v>
      </c>
      <c r="I19" s="13">
        <f t="shared" ca="1" si="36"/>
        <v>99.208208165261951</v>
      </c>
      <c r="J19" s="13">
        <f t="shared" ca="1" si="36"/>
        <v>112.93642007849786</v>
      </c>
      <c r="K19" s="13">
        <f t="shared" ca="1" si="36"/>
        <v>126.55353467842627</v>
      </c>
      <c r="L19" s="13">
        <f t="shared" ca="1" si="36"/>
        <v>140.05955196504715</v>
      </c>
      <c r="M19" s="13">
        <f t="shared" ca="1" si="36"/>
        <v>153.45447193836048</v>
      </c>
      <c r="N19" s="13">
        <f t="shared" ca="1" si="36"/>
        <v>175.46068400661096</v>
      </c>
      <c r="O19" s="13">
        <f t="shared" ca="1" si="36"/>
        <v>197.28400860056772</v>
      </c>
      <c r="P19" s="13">
        <f t="shared" ca="1" si="36"/>
        <v>218.9244208103045</v>
      </c>
      <c r="Q19" s="13">
        <f t="shared" ca="1" si="36"/>
        <v>240.38189954079971</v>
      </c>
      <c r="R19" s="13">
        <f t="shared" ca="1" si="36"/>
        <v>261.65642798929525</v>
      </c>
      <c r="S19" s="13">
        <f t="shared" ca="1" si="36"/>
        <v>282.74799397124508</v>
      </c>
      <c r="T19" s="13">
        <f t="shared" ca="1" si="36"/>
        <v>303.96477554104712</v>
      </c>
      <c r="U19" s="13">
        <f t="shared" ca="1" si="36"/>
        <v>325.0963463319365</v>
      </c>
      <c r="V19" s="13">
        <f t="shared" ca="1" si="36"/>
        <v>346.14270731561601</v>
      </c>
      <c r="W19" s="13">
        <f t="shared" ca="1" si="36"/>
        <v>365.85061238729952</v>
      </c>
      <c r="X19" s="13">
        <f t="shared" ca="1" si="36"/>
        <v>385.51084343195078</v>
      </c>
      <c r="Y19" s="13">
        <f t="shared" ca="1" si="36"/>
        <v>405.12341375653182</v>
      </c>
      <c r="Z19" s="13">
        <f t="shared" ca="1" si="36"/>
        <v>424.68833983902857</v>
      </c>
      <c r="AA19" s="13">
        <f t="shared" ca="1" si="36"/>
        <v>444.20564071484824</v>
      </c>
      <c r="AB19" s="13">
        <f t="shared" ca="1" si="36"/>
        <v>463.6753373082696</v>
      </c>
      <c r="AC19" s="13">
        <f t="shared" ca="1" si="36"/>
        <v>483.09745173117835</v>
      </c>
      <c r="AD19" s="13">
        <f t="shared" ca="1" si="36"/>
        <v>502.47200657149779</v>
      </c>
      <c r="AE19" s="13">
        <f t="shared" ca="1" si="36"/>
        <v>521.79902419322445</v>
      </c>
      <c r="AF19" s="13">
        <f t="shared" ca="1" si="36"/>
        <v>619.32524197791224</v>
      </c>
      <c r="AG19" s="13">
        <f t="shared" ca="1" si="36"/>
        <v>716.48055700178497</v>
      </c>
      <c r="AH19" s="13">
        <f t="shared" ca="1" si="36"/>
        <v>812.72224617686788</v>
      </c>
      <c r="AI19" s="13">
        <f t="shared" ca="1" si="36"/>
        <v>908.61726414688167</v>
      </c>
      <c r="AJ19" s="13">
        <f t="shared" ca="1" si="36"/>
        <v>1004.1656123936301</v>
      </c>
      <c r="AK19" s="13">
        <f t="shared" ca="1" si="36"/>
        <v>1099.3672918847503</v>
      </c>
      <c r="AL19" s="13">
        <f t="shared" ca="1" si="36"/>
        <v>1194.2223030834107</v>
      </c>
      <c r="AM19" s="13">
        <f t="shared" si="36"/>
        <v>1288.730645976987</v>
      </c>
    </row>
    <row r="20" spans="1:39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2" spans="1:39" x14ac:dyDescent="0.25">
      <c r="A22" s="3" t="s">
        <v>29</v>
      </c>
      <c r="B22" s="47">
        <v>2013</v>
      </c>
      <c r="C22" s="47">
        <v>2014</v>
      </c>
      <c r="D22" s="47">
        <v>2015</v>
      </c>
      <c r="E22" s="47">
        <v>2016</v>
      </c>
      <c r="F22" s="47">
        <v>2017</v>
      </c>
      <c r="G22" s="47">
        <v>2018</v>
      </c>
      <c r="H22" s="47">
        <v>2019</v>
      </c>
      <c r="I22" s="47">
        <v>2020</v>
      </c>
      <c r="J22" s="47">
        <v>2021</v>
      </c>
      <c r="K22" s="47">
        <v>2022</v>
      </c>
      <c r="L22" s="47">
        <v>2023</v>
      </c>
      <c r="M22" s="47">
        <v>2024</v>
      </c>
      <c r="N22" s="47">
        <v>2025</v>
      </c>
      <c r="O22" s="47">
        <v>2026</v>
      </c>
      <c r="P22" s="47">
        <v>2027</v>
      </c>
      <c r="Q22" s="47">
        <v>2028</v>
      </c>
      <c r="R22" s="47">
        <v>2029</v>
      </c>
      <c r="S22" s="47">
        <v>2030</v>
      </c>
      <c r="T22" s="47">
        <v>2031</v>
      </c>
      <c r="U22" s="47">
        <v>2032</v>
      </c>
      <c r="V22" s="47">
        <v>2033</v>
      </c>
      <c r="W22" s="47">
        <v>2034</v>
      </c>
      <c r="X22" s="47">
        <v>2035</v>
      </c>
      <c r="Y22" s="47">
        <v>2036</v>
      </c>
      <c r="Z22" s="47">
        <v>2037</v>
      </c>
      <c r="AA22" s="47">
        <v>2038</v>
      </c>
      <c r="AB22" s="47">
        <v>2039</v>
      </c>
      <c r="AC22" s="47">
        <v>2040</v>
      </c>
      <c r="AD22" s="47">
        <v>2041</v>
      </c>
      <c r="AE22" s="47">
        <v>2042</v>
      </c>
      <c r="AF22" s="47">
        <v>2043</v>
      </c>
      <c r="AG22" s="47">
        <v>2044</v>
      </c>
      <c r="AH22" s="47">
        <v>2045</v>
      </c>
      <c r="AI22" s="47">
        <v>2046</v>
      </c>
      <c r="AJ22" s="47">
        <v>2047</v>
      </c>
      <c r="AK22" s="47">
        <v>2048</v>
      </c>
      <c r="AL22" s="47">
        <v>2049</v>
      </c>
      <c r="AM22" s="47">
        <v>2050</v>
      </c>
    </row>
    <row r="23" spans="1:39" x14ac:dyDescent="0.25">
      <c r="A23" s="51" t="s">
        <v>90</v>
      </c>
      <c r="B23" s="109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0">
        <f>'Capacités installées'!H21</f>
        <v>6.19590200000014E-4</v>
      </c>
      <c r="N23" s="111">
        <v>0</v>
      </c>
      <c r="O23" s="111">
        <v>0</v>
      </c>
      <c r="P23" s="111">
        <v>0</v>
      </c>
      <c r="Q23" s="111">
        <v>0</v>
      </c>
      <c r="R23" s="111">
        <v>0</v>
      </c>
      <c r="S23" s="111">
        <v>0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6">
        <f t="shared" ref="AE23" ca="1" si="37">(AD23+AF23)/2</f>
        <v>1509.6137944172237</v>
      </c>
      <c r="AF23" s="116">
        <f ca="1">(AE23+AG23)/2</f>
        <v>3019.2275888344475</v>
      </c>
      <c r="AG23" s="116">
        <f t="shared" ref="AG23:AL23" ca="1" si="38">(AF23+AH23)/2</f>
        <v>4528.8413832516708</v>
      </c>
      <c r="AH23" s="116">
        <f t="shared" ca="1" si="38"/>
        <v>6038.4551776688932</v>
      </c>
      <c r="AI23" s="116">
        <f t="shared" ca="1" si="38"/>
        <v>7548.0689720861155</v>
      </c>
      <c r="AJ23" s="116">
        <f t="shared" ca="1" si="38"/>
        <v>9057.6827665033379</v>
      </c>
      <c r="AK23" s="116">
        <f t="shared" ca="1" si="38"/>
        <v>10567.296560920558</v>
      </c>
      <c r="AL23" s="116">
        <f t="shared" ca="1" si="38"/>
        <v>12076.910355337779</v>
      </c>
      <c r="AM23" s="110">
        <f>'Capacités installées'!B21</f>
        <v>13586.524149755</v>
      </c>
    </row>
    <row r="24" spans="1:39" x14ac:dyDescent="0.25">
      <c r="A24" t="s">
        <v>110</v>
      </c>
      <c r="B24" s="33"/>
      <c r="C24" s="42">
        <f>C23-B23</f>
        <v>0</v>
      </c>
      <c r="D24" s="42">
        <f t="shared" ref="D24" si="39">D23-C23</f>
        <v>0</v>
      </c>
      <c r="E24" s="42">
        <f t="shared" ref="E24" si="40">E23-D23</f>
        <v>0</v>
      </c>
      <c r="F24" s="42">
        <f t="shared" ref="F24" si="41">F23-E23</f>
        <v>0</v>
      </c>
      <c r="G24" s="42">
        <f t="shared" ref="G24" si="42">G23-F23</f>
        <v>0</v>
      </c>
      <c r="H24" s="42">
        <f t="shared" ref="H24" si="43">H23-G23</f>
        <v>0</v>
      </c>
      <c r="I24" s="42">
        <f t="shared" ref="I24" si="44">I23-H23</f>
        <v>0</v>
      </c>
      <c r="J24" s="42">
        <f t="shared" ref="J24" si="45">J23-I23</f>
        <v>0</v>
      </c>
      <c r="K24" s="42">
        <f t="shared" ref="K24" si="46">K23-J23</f>
        <v>0</v>
      </c>
      <c r="L24" s="42">
        <f t="shared" ref="L24" si="47">L23-K23</f>
        <v>0</v>
      </c>
      <c r="M24" s="42">
        <f t="shared" ref="M24" si="48">M23-L23</f>
        <v>6.19590200000014E-4</v>
      </c>
      <c r="N24" s="42">
        <f t="shared" ref="N24" si="49">N23-M23</f>
        <v>-6.19590200000014E-4</v>
      </c>
      <c r="O24" s="42">
        <f t="shared" ref="O24" si="50">O23-N23</f>
        <v>0</v>
      </c>
      <c r="P24" s="42">
        <f t="shared" ref="P24" si="51">P23-O23</f>
        <v>0</v>
      </c>
      <c r="Q24" s="42">
        <f t="shared" ref="Q24" si="52">Q23-P23</f>
        <v>0</v>
      </c>
      <c r="R24" s="42">
        <f t="shared" ref="R24" si="53">R23-Q23</f>
        <v>0</v>
      </c>
      <c r="S24" s="42">
        <f t="shared" ref="S24" si="54">S23-R23</f>
        <v>0</v>
      </c>
      <c r="T24" s="42">
        <f t="shared" ref="T24" si="55">T23-S23</f>
        <v>0</v>
      </c>
      <c r="U24" s="42">
        <f t="shared" ref="U24" si="56">U23-T23</f>
        <v>0</v>
      </c>
      <c r="V24" s="42">
        <f t="shared" ref="V24" si="57">V23-U23</f>
        <v>0</v>
      </c>
      <c r="W24" s="42">
        <f t="shared" ref="W24" si="58">W23-V23</f>
        <v>0</v>
      </c>
      <c r="X24" s="42">
        <f t="shared" ref="X24" si="59">X23-W23</f>
        <v>0</v>
      </c>
      <c r="Y24" s="42">
        <f t="shared" ref="Y24" si="60">Y23-X23</f>
        <v>0</v>
      </c>
      <c r="Z24" s="42">
        <f t="shared" ref="Z24" si="61">Z23-Y23</f>
        <v>0</v>
      </c>
      <c r="AA24" s="42">
        <f t="shared" ref="AA24" si="62">AA23-Z23</f>
        <v>0</v>
      </c>
      <c r="AB24" s="42">
        <f t="shared" ref="AB24" si="63">AB23-AA23</f>
        <v>0</v>
      </c>
      <c r="AC24" s="42">
        <f t="shared" ref="AC24" si="64">AC23-AB23</f>
        <v>0</v>
      </c>
      <c r="AD24" s="42">
        <f t="shared" ref="AD24" si="65">AD23-AC23</f>
        <v>0</v>
      </c>
      <c r="AE24" s="42">
        <f t="shared" ref="AE24" ca="1" si="66">AE23-AD23</f>
        <v>1509.6137944172237</v>
      </c>
      <c r="AF24" s="42">
        <f t="shared" ref="AF24" ca="1" si="67">AF23-AE23</f>
        <v>1509.6137944172237</v>
      </c>
      <c r="AG24" s="42">
        <f t="shared" ref="AG24" ca="1" si="68">AG23-AF23</f>
        <v>1509.6137944172233</v>
      </c>
      <c r="AH24" s="42">
        <f t="shared" ref="AH24" ca="1" si="69">AH23-AG23</f>
        <v>1509.6137944172224</v>
      </c>
      <c r="AI24" s="42">
        <f t="shared" ref="AI24" ca="1" si="70">AI23-AH23</f>
        <v>1509.6137944172224</v>
      </c>
      <c r="AJ24" s="42">
        <f t="shared" ref="AJ24" ca="1" si="71">AJ23-AI23</f>
        <v>1509.6137944172224</v>
      </c>
      <c r="AK24" s="42">
        <f t="shared" ref="AK24" ca="1" si="72">AK23-AJ23</f>
        <v>1509.6137944172206</v>
      </c>
      <c r="AL24" s="42">
        <f t="shared" ref="AL24" ca="1" si="73">AL23-AK23</f>
        <v>1509.6137944172206</v>
      </c>
      <c r="AM24" s="42">
        <f t="shared" ref="AM24" ca="1" si="74">AM23-AL23</f>
        <v>1509.6137944172206</v>
      </c>
    </row>
    <row r="25" spans="1:39" x14ac:dyDescent="0.25">
      <c r="A25" t="s">
        <v>106</v>
      </c>
      <c r="B25" s="46">
        <f>LCOE!AN28*1000</f>
        <v>836653.38645418326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9"/>
      <c r="N25" s="42"/>
      <c r="O25" s="42"/>
      <c r="P25" s="42"/>
      <c r="Q25" s="42"/>
      <c r="R25" s="42"/>
      <c r="S25" s="43">
        <f>LCOE!AO28*1000</f>
        <v>748339.97343957506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9"/>
      <c r="AF25" s="42"/>
      <c r="AG25" s="42"/>
      <c r="AH25" s="42"/>
      <c r="AI25" s="42"/>
      <c r="AJ25" s="42"/>
      <c r="AK25" s="49"/>
      <c r="AL25" s="42"/>
      <c r="AM25" s="43">
        <f>LCOE!AP28*1000</f>
        <v>700000</v>
      </c>
    </row>
    <row r="26" spans="1:39" x14ac:dyDescent="0.25">
      <c r="A26" t="s">
        <v>104</v>
      </c>
      <c r="B26" s="50">
        <f>B25*S26/S25</f>
        <v>50199.203187250998</v>
      </c>
      <c r="C26" s="13">
        <f t="shared" ref="C26:R26" ca="1" si="75">(B26+D26)/2</f>
        <v>49887.508788375941</v>
      </c>
      <c r="D26" s="13">
        <f t="shared" ca="1" si="75"/>
        <v>49575.814389500883</v>
      </c>
      <c r="E26" s="13">
        <f t="shared" ca="1" si="75"/>
        <v>49264.119990625819</v>
      </c>
      <c r="F26" s="13">
        <f t="shared" ca="1" si="75"/>
        <v>48952.425591750754</v>
      </c>
      <c r="G26" s="13">
        <f t="shared" ca="1" si="75"/>
        <v>48640.731192875683</v>
      </c>
      <c r="H26" s="13">
        <f t="shared" ca="1" si="75"/>
        <v>48329.036794000611</v>
      </c>
      <c r="I26" s="13">
        <f t="shared" ca="1" si="75"/>
        <v>48017.342395125532</v>
      </c>
      <c r="J26" s="13">
        <f t="shared" ca="1" si="75"/>
        <v>47705.647996250453</v>
      </c>
      <c r="K26" s="13">
        <f t="shared" ca="1" si="75"/>
        <v>47393.953597375366</v>
      </c>
      <c r="L26" s="13">
        <f t="shared" ca="1" si="75"/>
        <v>47082.259198500273</v>
      </c>
      <c r="M26" s="13">
        <f t="shared" ca="1" si="75"/>
        <v>46770.564799625179</v>
      </c>
      <c r="N26" s="13">
        <f t="shared" ca="1" si="75"/>
        <v>46458.870400750078</v>
      </c>
      <c r="O26" s="13">
        <f t="shared" ca="1" si="75"/>
        <v>46147.17600187497</v>
      </c>
      <c r="P26" s="13">
        <f t="shared" ca="1" si="75"/>
        <v>45835.481602999862</v>
      </c>
      <c r="Q26" s="13">
        <f t="shared" ca="1" si="75"/>
        <v>45523.787204124746</v>
      </c>
      <c r="R26" s="13">
        <f t="shared" ca="1" si="75"/>
        <v>45212.092805249624</v>
      </c>
      <c r="S26" s="13">
        <f>S25*AM26/AM25</f>
        <v>44900.398406374501</v>
      </c>
      <c r="T26" s="13">
        <f ca="1">(S26+U26)/2</f>
        <v>44755.378486055815</v>
      </c>
      <c r="U26" s="13">
        <f t="shared" ref="U26:U27" ca="1" si="76">(T26+V26)/2</f>
        <v>44610.35856573713</v>
      </c>
      <c r="V26" s="13">
        <f t="shared" ref="V26:V27" ca="1" si="77">(U26+W26)/2</f>
        <v>44465.338645418436</v>
      </c>
      <c r="W26" s="13">
        <f t="shared" ref="W26:W27" ca="1" si="78">(V26+X26)/2</f>
        <v>44320.318725099743</v>
      </c>
      <c r="X26" s="13">
        <f t="shared" ref="X26:X27" ca="1" si="79">(W26+Y26)/2</f>
        <v>44175.298804781043</v>
      </c>
      <c r="Y26" s="13">
        <f t="shared" ref="Y26:Y27" ca="1" si="80">(X26+Z26)/2</f>
        <v>44030.278884462343</v>
      </c>
      <c r="Z26" s="13">
        <f t="shared" ref="Z26:Z27" ca="1" si="81">(Y26+AA26)/2</f>
        <v>43885.258964143635</v>
      </c>
      <c r="AA26" s="13">
        <f t="shared" ref="AA26:AA27" ca="1" si="82">(Z26+AB26)/2</f>
        <v>43740.23904382492</v>
      </c>
      <c r="AB26" s="13">
        <f t="shared" ref="AB26:AB27" ca="1" si="83">(AA26+AC26)/2</f>
        <v>43595.219123506206</v>
      </c>
      <c r="AC26" s="13">
        <f t="shared" ref="AC26:AC27" ca="1" si="84">(AB26+AD26)/2</f>
        <v>43450.199203187483</v>
      </c>
      <c r="AD26" s="13">
        <f t="shared" ref="AD26:AD27" ca="1" si="85">(AC26+AE26)/2</f>
        <v>43305.179282868754</v>
      </c>
      <c r="AE26" s="13">
        <f t="shared" ref="AE26:AE27" ca="1" si="86">(AD26+AF26)/2</f>
        <v>43160.159362550025</v>
      </c>
      <c r="AF26" s="13">
        <f t="shared" ref="AF26:AF27" ca="1" si="87">(AE26+AG26)/2</f>
        <v>43015.139442231288</v>
      </c>
      <c r="AG26" s="13">
        <f t="shared" ref="AG26:AG27" ca="1" si="88">(AF26+AH26)/2</f>
        <v>42870.119521912544</v>
      </c>
      <c r="AH26" s="13">
        <f t="shared" ref="AH26:AH27" ca="1" si="89">(AG26+AI26)/2</f>
        <v>42725.0996015938</v>
      </c>
      <c r="AI26" s="13">
        <f t="shared" ref="AI26:AI27" ca="1" si="90">(AH26+AJ26)/2</f>
        <v>42580.079681275049</v>
      </c>
      <c r="AJ26" s="13">
        <f t="shared" ref="AJ26:AJ27" ca="1" si="91">(AI26+AK26)/2</f>
        <v>42435.05976095629</v>
      </c>
      <c r="AK26" s="13">
        <f t="shared" ref="AK26:AK27" ca="1" si="92">(AJ26+AL26)/2</f>
        <v>42290.039840637532</v>
      </c>
      <c r="AL26" s="13">
        <f t="shared" ref="AL26:AL27" ca="1" si="93">(AK26+AM26)/2</f>
        <v>42145.019920318766</v>
      </c>
      <c r="AM26" s="13">
        <f>LCOE!AR28*1000</f>
        <v>42000</v>
      </c>
    </row>
    <row r="27" spans="1:39" x14ac:dyDescent="0.25">
      <c r="A27" t="s">
        <v>105</v>
      </c>
      <c r="B27" s="13">
        <f>B26*S27/S26</f>
        <v>62151.394422310754</v>
      </c>
      <c r="C27" s="13">
        <f t="shared" ref="C27:R27" ca="1" si="94">(B27+D27)/2</f>
        <v>61765.487071322583</v>
      </c>
      <c r="D27" s="13">
        <f t="shared" ca="1" si="94"/>
        <v>61379.579720334412</v>
      </c>
      <c r="E27" s="13">
        <f t="shared" ca="1" si="94"/>
        <v>60993.672369346234</v>
      </c>
      <c r="F27" s="13">
        <f t="shared" ca="1" si="94"/>
        <v>60607.765018358055</v>
      </c>
      <c r="G27" s="13">
        <f t="shared" ca="1" si="94"/>
        <v>60221.85766736987</v>
      </c>
      <c r="H27" s="13">
        <f t="shared" ca="1" si="94"/>
        <v>59835.950316381677</v>
      </c>
      <c r="I27" s="13">
        <f t="shared" ca="1" si="94"/>
        <v>59450.042965393484</v>
      </c>
      <c r="J27" s="13">
        <f t="shared" ca="1" si="94"/>
        <v>59064.135614405284</v>
      </c>
      <c r="K27" s="13">
        <f t="shared" ca="1" si="94"/>
        <v>58678.228263417077</v>
      </c>
      <c r="L27" s="13">
        <f t="shared" ca="1" si="94"/>
        <v>58292.32091242887</v>
      </c>
      <c r="M27" s="13">
        <f t="shared" ca="1" si="94"/>
        <v>57906.413561440655</v>
      </c>
      <c r="N27" s="13">
        <f t="shared" ca="1" si="94"/>
        <v>57520.506210452433</v>
      </c>
      <c r="O27" s="13">
        <f t="shared" ca="1" si="94"/>
        <v>57134.598859464211</v>
      </c>
      <c r="P27" s="13">
        <f t="shared" ca="1" si="94"/>
        <v>56748.691508475982</v>
      </c>
      <c r="Q27" s="13">
        <f t="shared" ca="1" si="94"/>
        <v>56362.784157487753</v>
      </c>
      <c r="R27" s="13">
        <f t="shared" ca="1" si="94"/>
        <v>55976.876806499524</v>
      </c>
      <c r="S27" s="13">
        <f>S26*AM27/AM26</f>
        <v>55590.969455511287</v>
      </c>
      <c r="T27" s="13">
        <f ca="1">(S27+U27)/2</f>
        <v>55411.42098273577</v>
      </c>
      <c r="U27" s="13">
        <f t="shared" ca="1" si="76"/>
        <v>55231.872509960245</v>
      </c>
      <c r="V27" s="13">
        <f t="shared" ca="1" si="77"/>
        <v>55052.324037184713</v>
      </c>
      <c r="W27" s="13">
        <f t="shared" ca="1" si="78"/>
        <v>54872.775564409181</v>
      </c>
      <c r="X27" s="13">
        <f t="shared" ca="1" si="79"/>
        <v>54693.227091633642</v>
      </c>
      <c r="Y27" s="13">
        <f t="shared" ca="1" si="80"/>
        <v>54513.678618858095</v>
      </c>
      <c r="Z27" s="13">
        <f t="shared" ca="1" si="81"/>
        <v>54334.130146082549</v>
      </c>
      <c r="AA27" s="13">
        <f t="shared" ca="1" si="82"/>
        <v>54154.581673306995</v>
      </c>
      <c r="AB27" s="13">
        <f t="shared" ca="1" si="83"/>
        <v>53975.033200531434</v>
      </c>
      <c r="AC27" s="13">
        <f t="shared" ca="1" si="84"/>
        <v>53795.484727755873</v>
      </c>
      <c r="AD27" s="13">
        <f t="shared" ca="1" si="85"/>
        <v>53615.936254980305</v>
      </c>
      <c r="AE27" s="13">
        <f t="shared" ca="1" si="86"/>
        <v>53436.387782204729</v>
      </c>
      <c r="AF27" s="13">
        <f t="shared" ca="1" si="87"/>
        <v>53256.839309429153</v>
      </c>
      <c r="AG27" s="13">
        <f t="shared" ca="1" si="88"/>
        <v>53077.29083665357</v>
      </c>
      <c r="AH27" s="13">
        <f t="shared" ca="1" si="89"/>
        <v>52897.742363877987</v>
      </c>
      <c r="AI27" s="13">
        <f t="shared" ca="1" si="90"/>
        <v>52718.193891102397</v>
      </c>
      <c r="AJ27" s="13">
        <f t="shared" ca="1" si="91"/>
        <v>52538.645418326807</v>
      </c>
      <c r="AK27" s="13">
        <f t="shared" ca="1" si="92"/>
        <v>52359.09694555121</v>
      </c>
      <c r="AL27" s="13">
        <f t="shared" ca="1" si="93"/>
        <v>52179.548472775605</v>
      </c>
      <c r="AM27" s="13">
        <f>LCOE!AS28*1000</f>
        <v>52000</v>
      </c>
    </row>
    <row r="29" spans="1:39" x14ac:dyDescent="0.25">
      <c r="A29" t="s">
        <v>111</v>
      </c>
      <c r="B29" s="13">
        <f>SUM(B33:B42)</f>
        <v>0</v>
      </c>
      <c r="C29" s="13">
        <f t="shared" ref="C29:AL29" si="95">SUM(C33:C42)</f>
        <v>0</v>
      </c>
      <c r="D29" s="13">
        <f t="shared" si="95"/>
        <v>0</v>
      </c>
      <c r="E29" s="13">
        <f t="shared" si="95"/>
        <v>0</v>
      </c>
      <c r="F29" s="13">
        <f t="shared" si="95"/>
        <v>0</v>
      </c>
      <c r="G29" s="13">
        <f t="shared" si="95"/>
        <v>0</v>
      </c>
      <c r="H29" s="13">
        <f t="shared" si="95"/>
        <v>0</v>
      </c>
      <c r="I29" s="13">
        <f t="shared" si="95"/>
        <v>0</v>
      </c>
      <c r="J29" s="13">
        <f t="shared" si="95"/>
        <v>0</v>
      </c>
      <c r="K29" s="13">
        <f t="shared" si="95"/>
        <v>0</v>
      </c>
      <c r="L29" s="13">
        <f t="shared" si="95"/>
        <v>0</v>
      </c>
      <c r="M29" s="13">
        <f t="shared" si="95"/>
        <v>0</v>
      </c>
      <c r="N29" s="13">
        <f t="shared" si="95"/>
        <v>0</v>
      </c>
      <c r="O29" s="13">
        <f t="shared" si="95"/>
        <v>0</v>
      </c>
      <c r="P29" s="13">
        <f t="shared" si="95"/>
        <v>0</v>
      </c>
      <c r="Q29" s="13">
        <f t="shared" si="95"/>
        <v>0</v>
      </c>
      <c r="R29" s="13">
        <f t="shared" si="95"/>
        <v>0</v>
      </c>
      <c r="S29" s="13">
        <f t="shared" si="95"/>
        <v>0</v>
      </c>
      <c r="T29" s="13">
        <f t="shared" si="95"/>
        <v>0</v>
      </c>
      <c r="U29" s="13">
        <f t="shared" si="95"/>
        <v>0</v>
      </c>
      <c r="V29" s="13">
        <f t="shared" si="95"/>
        <v>0</v>
      </c>
      <c r="W29" s="13">
        <f t="shared" si="95"/>
        <v>0</v>
      </c>
      <c r="X29" s="13">
        <f t="shared" si="95"/>
        <v>0</v>
      </c>
      <c r="Y29" s="13">
        <f t="shared" si="95"/>
        <v>0</v>
      </c>
      <c r="Z29" s="13">
        <f t="shared" si="95"/>
        <v>0</v>
      </c>
      <c r="AA29" s="13">
        <f t="shared" si="95"/>
        <v>0</v>
      </c>
      <c r="AB29" s="13">
        <f t="shared" si="95"/>
        <v>0</v>
      </c>
      <c r="AC29" s="13">
        <f t="shared" si="95"/>
        <v>0</v>
      </c>
      <c r="AD29" s="13">
        <f t="shared" si="95"/>
        <v>0</v>
      </c>
      <c r="AE29" s="13">
        <f t="shared" ca="1" si="95"/>
        <v>65.155171942951213</v>
      </c>
      <c r="AF29" s="13">
        <f t="shared" ca="1" si="95"/>
        <v>130.09141981372397</v>
      </c>
      <c r="AG29" s="13">
        <f t="shared" ca="1" si="95"/>
        <v>194.80874361231827</v>
      </c>
      <c r="AH29" s="13">
        <f t="shared" ca="1" si="95"/>
        <v>259.30714333873402</v>
      </c>
      <c r="AI29" s="13">
        <f t="shared" ca="1" si="95"/>
        <v>323.58661899297135</v>
      </c>
      <c r="AJ29" s="13">
        <f t="shared" ca="1" si="95"/>
        <v>387.64717057503015</v>
      </c>
      <c r="AK29" s="13">
        <f t="shared" ca="1" si="95"/>
        <v>451.4887980849104</v>
      </c>
      <c r="AL29" s="13">
        <f t="shared" ca="1" si="95"/>
        <v>515.11150152261212</v>
      </c>
      <c r="AM29" s="13">
        <f ca="1">SUM(AM33:AM42)</f>
        <v>578.51528088813541</v>
      </c>
    </row>
    <row r="30" spans="1:39" x14ac:dyDescent="0.25">
      <c r="A30" t="s">
        <v>107</v>
      </c>
      <c r="B30" s="13">
        <f>B27*B23/1000000</f>
        <v>0</v>
      </c>
      <c r="C30" s="13">
        <f t="shared" ref="C30:S30" ca="1" si="96">C27*C23/1000000</f>
        <v>0</v>
      </c>
      <c r="D30" s="13">
        <f t="shared" ca="1" si="96"/>
        <v>0</v>
      </c>
      <c r="E30" s="13">
        <f t="shared" ca="1" si="96"/>
        <v>0</v>
      </c>
      <c r="F30" s="13">
        <f t="shared" ca="1" si="96"/>
        <v>0</v>
      </c>
      <c r="G30" s="13">
        <f t="shared" ca="1" si="96"/>
        <v>0</v>
      </c>
      <c r="H30" s="13">
        <f t="shared" ca="1" si="96"/>
        <v>0</v>
      </c>
      <c r="I30" s="13">
        <f t="shared" ca="1" si="96"/>
        <v>0</v>
      </c>
      <c r="J30" s="13">
        <f t="shared" ca="1" si="96"/>
        <v>0</v>
      </c>
      <c r="K30" s="13">
        <f t="shared" ca="1" si="96"/>
        <v>0</v>
      </c>
      <c r="L30" s="13">
        <f t="shared" ca="1" si="96"/>
        <v>0</v>
      </c>
      <c r="M30" s="13">
        <f t="shared" ca="1" si="96"/>
        <v>3.5878246359816537E-5</v>
      </c>
      <c r="N30" s="13">
        <f t="shared" ca="1" si="96"/>
        <v>0</v>
      </c>
      <c r="O30" s="13">
        <f t="shared" ca="1" si="96"/>
        <v>0</v>
      </c>
      <c r="P30" s="13">
        <f t="shared" ca="1" si="96"/>
        <v>0</v>
      </c>
      <c r="Q30" s="13">
        <f t="shared" ca="1" si="96"/>
        <v>0</v>
      </c>
      <c r="R30" s="13">
        <f t="shared" ca="1" si="96"/>
        <v>0</v>
      </c>
      <c r="S30" s="13">
        <f t="shared" si="96"/>
        <v>0</v>
      </c>
      <c r="T30" s="13">
        <f t="shared" ref="T30:AL30" ca="1" si="97">T27*T23/1000000</f>
        <v>0</v>
      </c>
      <c r="U30" s="13">
        <f t="shared" ca="1" si="97"/>
        <v>0</v>
      </c>
      <c r="V30" s="13">
        <f t="shared" ca="1" si="97"/>
        <v>0</v>
      </c>
      <c r="W30" s="13">
        <f t="shared" ca="1" si="97"/>
        <v>0</v>
      </c>
      <c r="X30" s="13">
        <f t="shared" ca="1" si="97"/>
        <v>0</v>
      </c>
      <c r="Y30" s="13">
        <f t="shared" ca="1" si="97"/>
        <v>0</v>
      </c>
      <c r="Z30" s="13">
        <f t="shared" ca="1" si="97"/>
        <v>0</v>
      </c>
      <c r="AA30" s="13">
        <f t="shared" ca="1" si="97"/>
        <v>0</v>
      </c>
      <c r="AB30" s="13">
        <f t="shared" ca="1" si="97"/>
        <v>0</v>
      </c>
      <c r="AC30" s="13">
        <f t="shared" ca="1" si="97"/>
        <v>0</v>
      </c>
      <c r="AD30" s="13">
        <f t="shared" ca="1" si="97"/>
        <v>0</v>
      </c>
      <c r="AE30" s="13">
        <f t="shared" ca="1" si="97"/>
        <v>80.668308119844255</v>
      </c>
      <c r="AF30" s="13">
        <f t="shared" ca="1" si="97"/>
        <v>160.79451853715139</v>
      </c>
      <c r="AG30" s="13">
        <f t="shared" ca="1" si="97"/>
        <v>240.37863125192138</v>
      </c>
      <c r="AH30" s="13">
        <f t="shared" ca="1" si="97"/>
        <v>319.42064626415419</v>
      </c>
      <c r="AI30" s="13">
        <f t="shared" ca="1" si="97"/>
        <v>397.92056357384979</v>
      </c>
      <c r="AJ30" s="13">
        <f t="shared" ca="1" si="97"/>
        <v>475.8783831810083</v>
      </c>
      <c r="AK30" s="13">
        <f t="shared" ca="1" si="97"/>
        <v>553.29410508562944</v>
      </c>
      <c r="AL30" s="13">
        <f t="shared" ca="1" si="97"/>
        <v>630.16772928771331</v>
      </c>
      <c r="AM30" s="13">
        <f>AM27*AM23/1000000</f>
        <v>706.49925578725993</v>
      </c>
    </row>
    <row r="31" spans="1:39" x14ac:dyDescent="0.25">
      <c r="A31" t="s">
        <v>112</v>
      </c>
      <c r="B31" s="13">
        <f>B30+B29</f>
        <v>0</v>
      </c>
      <c r="C31" s="13">
        <f t="shared" ref="C31" ca="1" si="98">C30+C29</f>
        <v>0</v>
      </c>
      <c r="D31" s="13">
        <f t="shared" ref="D31" ca="1" si="99">D30+D29</f>
        <v>0</v>
      </c>
      <c r="E31" s="13">
        <f t="shared" ref="E31" ca="1" si="100">E30+E29</f>
        <v>0</v>
      </c>
      <c r="F31" s="13">
        <f t="shared" ref="F31" ca="1" si="101">F30+F29</f>
        <v>0</v>
      </c>
      <c r="G31" s="13">
        <f t="shared" ref="G31" ca="1" si="102">G30+G29</f>
        <v>0</v>
      </c>
      <c r="H31" s="13">
        <f t="shared" ref="H31" ca="1" si="103">H30+H29</f>
        <v>0</v>
      </c>
      <c r="I31" s="13">
        <f t="shared" ref="I31" ca="1" si="104">I30+I29</f>
        <v>0</v>
      </c>
      <c r="J31" s="13">
        <f t="shared" ref="J31" ca="1" si="105">J30+J29</f>
        <v>0</v>
      </c>
      <c r="K31" s="13">
        <f t="shared" ref="K31" ca="1" si="106">K30+K29</f>
        <v>0</v>
      </c>
      <c r="L31" s="13">
        <f t="shared" ref="L31" ca="1" si="107">L30+L29</f>
        <v>0</v>
      </c>
      <c r="M31" s="13">
        <f t="shared" ref="M31" ca="1" si="108">M30+M29</f>
        <v>3.5878246359816537E-5</v>
      </c>
      <c r="N31" s="13">
        <f t="shared" ref="N31" ca="1" si="109">N30+N29</f>
        <v>0</v>
      </c>
      <c r="O31" s="13">
        <f t="shared" ref="O31" ca="1" si="110">O30+O29</f>
        <v>0</v>
      </c>
      <c r="P31" s="13">
        <f t="shared" ref="P31" ca="1" si="111">P30+P29</f>
        <v>0</v>
      </c>
      <c r="Q31" s="13">
        <f t="shared" ref="Q31" ca="1" si="112">Q30+Q29</f>
        <v>0</v>
      </c>
      <c r="R31" s="13">
        <f t="shared" ref="R31" ca="1" si="113">R30+R29</f>
        <v>0</v>
      </c>
      <c r="S31" s="13">
        <f t="shared" ref="S31" si="114">S30+S29</f>
        <v>0</v>
      </c>
      <c r="T31" s="13">
        <f t="shared" ref="T31" ca="1" si="115">T30+T29</f>
        <v>0</v>
      </c>
      <c r="U31" s="13">
        <f t="shared" ref="U31" ca="1" si="116">U30+U29</f>
        <v>0</v>
      </c>
      <c r="V31" s="13">
        <f t="shared" ref="V31" ca="1" si="117">V30+V29</f>
        <v>0</v>
      </c>
      <c r="W31" s="13">
        <f t="shared" ref="W31" ca="1" si="118">W30+W29</f>
        <v>0</v>
      </c>
      <c r="X31" s="13">
        <f t="shared" ref="X31" ca="1" si="119">X30+X29</f>
        <v>0</v>
      </c>
      <c r="Y31" s="13">
        <f t="shared" ref="Y31" ca="1" si="120">Y30+Y29</f>
        <v>0</v>
      </c>
      <c r="Z31" s="13">
        <f t="shared" ref="Z31" ca="1" si="121">Z30+Z29</f>
        <v>0</v>
      </c>
      <c r="AA31" s="13">
        <f t="shared" ref="AA31" ca="1" si="122">AA30+AA29</f>
        <v>0</v>
      </c>
      <c r="AB31" s="13">
        <f t="shared" ref="AB31" ca="1" si="123">AB30+AB29</f>
        <v>0</v>
      </c>
      <c r="AC31" s="13">
        <f t="shared" ref="AC31" ca="1" si="124">AC30+AC29</f>
        <v>0</v>
      </c>
      <c r="AD31" s="13">
        <f t="shared" ref="AD31" ca="1" si="125">AD30+AD29</f>
        <v>0</v>
      </c>
      <c r="AE31" s="13">
        <f t="shared" ref="AE31" ca="1" si="126">AE30+AE29</f>
        <v>145.82348006279545</v>
      </c>
      <c r="AF31" s="13">
        <f t="shared" ref="AF31" ca="1" si="127">AF30+AF29</f>
        <v>290.88593835087534</v>
      </c>
      <c r="AG31" s="13">
        <f t="shared" ref="AG31" ca="1" si="128">AG30+AG29</f>
        <v>435.18737486423964</v>
      </c>
      <c r="AH31" s="13">
        <f t="shared" ref="AH31" ca="1" si="129">AH30+AH29</f>
        <v>578.72778960288815</v>
      </c>
      <c r="AI31" s="13">
        <f t="shared" ref="AI31" ca="1" si="130">AI30+AI29</f>
        <v>721.50718256682114</v>
      </c>
      <c r="AJ31" s="13">
        <f t="shared" ref="AJ31" ca="1" si="131">AJ30+AJ29</f>
        <v>863.52555375603845</v>
      </c>
      <c r="AK31" s="13">
        <f t="shared" ref="AK31" ca="1" si="132">AK30+AK29</f>
        <v>1004.7829031705398</v>
      </c>
      <c r="AL31" s="13">
        <f t="shared" ref="AL31" ca="1" si="133">AL30+AL29</f>
        <v>1145.2792308103253</v>
      </c>
      <c r="AM31" s="13">
        <f ca="1">AM30+AM29</f>
        <v>1285.0145366753954</v>
      </c>
    </row>
    <row r="33" spans="1:58" outlineLevel="1" x14ac:dyDescent="0.25">
      <c r="A33" t="s">
        <v>108</v>
      </c>
    </row>
    <row r="34" spans="1:58" outlineLevel="1" x14ac:dyDescent="0.25">
      <c r="A34">
        <v>2042</v>
      </c>
      <c r="AE34" s="13">
        <f ca="1">$AE$24*$AE$26/1000000</f>
        <v>65.155171942951213</v>
      </c>
      <c r="AF34" s="13">
        <f t="shared" ref="AF34:AM34" ca="1" si="134">$AE$24*$AE$26/1000000</f>
        <v>65.155171942951213</v>
      </c>
      <c r="AG34" s="13">
        <f t="shared" ca="1" si="134"/>
        <v>65.155171942951213</v>
      </c>
      <c r="AH34" s="13">
        <f t="shared" ca="1" si="134"/>
        <v>65.155171942951213</v>
      </c>
      <c r="AI34" s="13">
        <f t="shared" ca="1" si="134"/>
        <v>65.155171942951213</v>
      </c>
      <c r="AJ34" s="13">
        <f t="shared" ca="1" si="134"/>
        <v>65.155171942951213</v>
      </c>
      <c r="AK34" s="13">
        <f t="shared" ca="1" si="134"/>
        <v>65.155171942951213</v>
      </c>
      <c r="AL34" s="13">
        <f t="shared" ca="1" si="134"/>
        <v>65.155171942951213</v>
      </c>
      <c r="AM34" s="13">
        <f t="shared" ca="1" si="134"/>
        <v>65.155171942951213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8" outlineLevel="1" x14ac:dyDescent="0.25">
      <c r="A35">
        <v>2043</v>
      </c>
      <c r="AF35" s="13">
        <f ca="1">$AF$24*$AF$26/1000000</f>
        <v>64.93624787077276</v>
      </c>
      <c r="AG35" s="13">
        <f t="shared" ref="AG35:AM35" ca="1" si="135">$AF$24*$AF$26/1000000</f>
        <v>64.93624787077276</v>
      </c>
      <c r="AH35" s="13">
        <f t="shared" ca="1" si="135"/>
        <v>64.93624787077276</v>
      </c>
      <c r="AI35" s="13">
        <f t="shared" ca="1" si="135"/>
        <v>64.93624787077276</v>
      </c>
      <c r="AJ35" s="13">
        <f t="shared" ca="1" si="135"/>
        <v>64.93624787077276</v>
      </c>
      <c r="AK35" s="13">
        <f t="shared" ca="1" si="135"/>
        <v>64.93624787077276</v>
      </c>
      <c r="AL35" s="13">
        <f t="shared" ca="1" si="135"/>
        <v>64.93624787077276</v>
      </c>
      <c r="AM35" s="13">
        <f t="shared" ca="1" si="135"/>
        <v>64.93624787077276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:58" outlineLevel="1" x14ac:dyDescent="0.25">
      <c r="A36">
        <v>2044</v>
      </c>
      <c r="AG36" s="13">
        <f ca="1">$AG$24*$AG$26/1000000</f>
        <v>64.717323798594279</v>
      </c>
      <c r="AH36" s="13">
        <f t="shared" ref="AH36:AM36" ca="1" si="136">$AG$24*$AG$26/1000000</f>
        <v>64.717323798594279</v>
      </c>
      <c r="AI36" s="13">
        <f t="shared" ca="1" si="136"/>
        <v>64.717323798594279</v>
      </c>
      <c r="AJ36" s="13">
        <f t="shared" ca="1" si="136"/>
        <v>64.717323798594279</v>
      </c>
      <c r="AK36" s="13">
        <f t="shared" ca="1" si="136"/>
        <v>64.717323798594279</v>
      </c>
      <c r="AL36" s="13">
        <f t="shared" ca="1" si="136"/>
        <v>64.717323798594279</v>
      </c>
      <c r="AM36" s="13">
        <f t="shared" ca="1" si="136"/>
        <v>64.717323798594279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8" outlineLevel="1" x14ac:dyDescent="0.25">
      <c r="A37">
        <v>2045</v>
      </c>
      <c r="AH37" s="13">
        <f ca="1">$AH$24*$AH$26/1000000</f>
        <v>64.498399726415769</v>
      </c>
      <c r="AI37" s="13">
        <f t="shared" ref="AI37:AM37" ca="1" si="137">$AH$24*$AH$26/1000000</f>
        <v>64.498399726415769</v>
      </c>
      <c r="AJ37" s="13">
        <f t="shared" ca="1" si="137"/>
        <v>64.498399726415769</v>
      </c>
      <c r="AK37" s="13">
        <f t="shared" ca="1" si="137"/>
        <v>64.498399726415769</v>
      </c>
      <c r="AL37" s="13">
        <f t="shared" ca="1" si="137"/>
        <v>64.498399726415769</v>
      </c>
      <c r="AM37" s="13">
        <f t="shared" ca="1" si="137"/>
        <v>64.498399726415769</v>
      </c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8" outlineLevel="1" x14ac:dyDescent="0.25">
      <c r="A38">
        <v>2046</v>
      </c>
      <c r="AI38" s="13">
        <f ca="1">$AI$24*$AI$26/1000000</f>
        <v>64.279475654237302</v>
      </c>
      <c r="AJ38" s="13">
        <f t="shared" ref="AJ38:AM38" ca="1" si="138">$AI$24*$AI$26/1000000</f>
        <v>64.279475654237302</v>
      </c>
      <c r="AK38" s="13">
        <f t="shared" ca="1" si="138"/>
        <v>64.279475654237302</v>
      </c>
      <c r="AL38" s="13">
        <f t="shared" ca="1" si="138"/>
        <v>64.279475654237302</v>
      </c>
      <c r="AM38" s="13">
        <f t="shared" ca="1" si="138"/>
        <v>64.279475654237302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8" outlineLevel="1" x14ac:dyDescent="0.25">
      <c r="A39">
        <v>2047</v>
      </c>
      <c r="AJ39" s="13">
        <f ca="1">$AJ$24*$AJ$26/1000000</f>
        <v>64.060551582058821</v>
      </c>
      <c r="AK39" s="13">
        <f t="shared" ref="AK39:AM39" ca="1" si="139">$AJ$24*$AJ$26/1000000</f>
        <v>64.060551582058821</v>
      </c>
      <c r="AL39" s="13">
        <f t="shared" ca="1" si="139"/>
        <v>64.060551582058821</v>
      </c>
      <c r="AM39" s="13">
        <f t="shared" ca="1" si="139"/>
        <v>64.060551582058821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8" outlineLevel="1" x14ac:dyDescent="0.25">
      <c r="A40">
        <v>2048</v>
      </c>
      <c r="AK40" s="13">
        <f ca="1">$AK$24*$AK$26/1000000</f>
        <v>63.841627509880254</v>
      </c>
      <c r="AL40" s="13">
        <f t="shared" ref="AL40:AM40" ca="1" si="140">$AK$24*$AK$26/1000000</f>
        <v>63.841627509880254</v>
      </c>
      <c r="AM40" s="13">
        <f t="shared" ca="1" si="140"/>
        <v>63.841627509880254</v>
      </c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8" outlineLevel="1" x14ac:dyDescent="0.25">
      <c r="A41">
        <v>2049</v>
      </c>
      <c r="AL41" s="13">
        <f ca="1">$AL$24*$AL$26/1000000</f>
        <v>63.622703437701759</v>
      </c>
      <c r="AM41" s="13">
        <f ca="1">$AL$24*$AL$26/1000000</f>
        <v>63.622703437701759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1:58" outlineLevel="1" x14ac:dyDescent="0.25">
      <c r="A42">
        <v>2050</v>
      </c>
      <c r="AM42" s="13">
        <f ca="1">$AM$24*$AM$26/1000000</f>
        <v>63.403779365523263</v>
      </c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5" spans="1:58" x14ac:dyDescent="0.25">
      <c r="A45" s="3" t="s">
        <v>59</v>
      </c>
      <c r="B45" s="47">
        <v>2013</v>
      </c>
      <c r="C45" s="47">
        <v>2014</v>
      </c>
      <c r="D45" s="47">
        <v>2015</v>
      </c>
      <c r="E45" s="47">
        <v>2016</v>
      </c>
      <c r="F45" s="47">
        <v>2017</v>
      </c>
      <c r="G45" s="47">
        <v>2018</v>
      </c>
      <c r="H45" s="47">
        <v>2019</v>
      </c>
      <c r="I45" s="47">
        <v>2020</v>
      </c>
      <c r="J45" s="47">
        <v>2021</v>
      </c>
      <c r="K45" s="47">
        <v>2022</v>
      </c>
      <c r="L45" s="47">
        <v>2023</v>
      </c>
      <c r="M45" s="47">
        <v>2024</v>
      </c>
      <c r="N45" s="47">
        <v>2025</v>
      </c>
      <c r="O45" s="47">
        <v>2026</v>
      </c>
      <c r="P45" s="47">
        <v>2027</v>
      </c>
      <c r="Q45" s="47">
        <v>2028</v>
      </c>
      <c r="R45" s="47">
        <v>2029</v>
      </c>
      <c r="S45" s="47">
        <v>2030</v>
      </c>
      <c r="T45" s="47">
        <v>2031</v>
      </c>
      <c r="U45" s="47">
        <v>2032</v>
      </c>
      <c r="V45" s="47">
        <v>2033</v>
      </c>
      <c r="W45" s="47">
        <v>2034</v>
      </c>
      <c r="X45" s="47">
        <v>2035</v>
      </c>
      <c r="Y45" s="47">
        <v>2036</v>
      </c>
      <c r="Z45" s="47">
        <v>2037</v>
      </c>
      <c r="AA45" s="47">
        <v>2038</v>
      </c>
      <c r="AB45" s="47">
        <v>2039</v>
      </c>
      <c r="AC45" s="47">
        <v>2040</v>
      </c>
      <c r="AD45" s="47">
        <v>2041</v>
      </c>
      <c r="AE45" s="47">
        <v>2042</v>
      </c>
      <c r="AF45" s="47">
        <v>2043</v>
      </c>
      <c r="AG45" s="47">
        <v>2044</v>
      </c>
      <c r="AH45" s="47">
        <v>2045</v>
      </c>
      <c r="AI45" s="47">
        <v>2046</v>
      </c>
      <c r="AJ45" s="47">
        <v>2047</v>
      </c>
      <c r="AK45" s="47">
        <v>2048</v>
      </c>
      <c r="AL45" s="47">
        <v>2049</v>
      </c>
      <c r="AM45" s="47">
        <v>2050</v>
      </c>
    </row>
    <row r="46" spans="1:58" x14ac:dyDescent="0.25">
      <c r="A46" t="s">
        <v>142</v>
      </c>
      <c r="B46" s="109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0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0"/>
      <c r="AF46" s="111"/>
      <c r="AG46" s="111"/>
      <c r="AH46" s="111"/>
      <c r="AI46" s="111"/>
      <c r="AJ46" s="111"/>
      <c r="AK46" s="110"/>
      <c r="AL46" s="110"/>
      <c r="AM46" s="110"/>
    </row>
    <row r="47" spans="1:58" x14ac:dyDescent="0.25">
      <c r="A47" s="51" t="s">
        <v>90</v>
      </c>
      <c r="B47" s="109">
        <v>4300</v>
      </c>
      <c r="C47" s="111">
        <f t="shared" ref="C47:P47" ca="1" si="141">(B47+D47)/2</f>
        <v>4480.0000000000036</v>
      </c>
      <c r="D47" s="111">
        <f t="shared" ca="1" si="141"/>
        <v>4660.0000000000073</v>
      </c>
      <c r="E47" s="111">
        <f t="shared" ca="1" si="141"/>
        <v>4840.00000000001</v>
      </c>
      <c r="F47" s="111">
        <f t="shared" ca="1" si="141"/>
        <v>5020.0000000000127</v>
      </c>
      <c r="G47" s="111">
        <f t="shared" ca="1" si="141"/>
        <v>5200.0000000000146</v>
      </c>
      <c r="H47" s="111">
        <f t="shared" ca="1" si="141"/>
        <v>5380.0000000000155</v>
      </c>
      <c r="I47" s="111">
        <f t="shared" ca="1" si="141"/>
        <v>5560.0000000000164</v>
      </c>
      <c r="J47" s="111">
        <f t="shared" ca="1" si="141"/>
        <v>5740.0000000000164</v>
      </c>
      <c r="K47" s="111">
        <f t="shared" ca="1" si="141"/>
        <v>5920.0000000000155</v>
      </c>
      <c r="L47" s="111">
        <f t="shared" ca="1" si="141"/>
        <v>6100.0000000000146</v>
      </c>
      <c r="M47" s="111">
        <f t="shared" ca="1" si="141"/>
        <v>6280.0000000000127</v>
      </c>
      <c r="N47" s="111">
        <f t="shared" ca="1" si="141"/>
        <v>6460.00000000001</v>
      </c>
      <c r="O47" s="111">
        <f t="shared" ca="1" si="141"/>
        <v>6640.0000000000073</v>
      </c>
      <c r="P47" s="111">
        <f t="shared" ca="1" si="141"/>
        <v>6820.0000000000036</v>
      </c>
      <c r="Q47" s="110">
        <f t="shared" ref="Q47:AK47" si="142">R47</f>
        <v>7000</v>
      </c>
      <c r="R47" s="110">
        <f t="shared" si="142"/>
        <v>7000</v>
      </c>
      <c r="S47" s="110">
        <f t="shared" si="142"/>
        <v>7000</v>
      </c>
      <c r="T47" s="110">
        <f t="shared" si="142"/>
        <v>7000</v>
      </c>
      <c r="U47" s="110">
        <f t="shared" si="142"/>
        <v>7000</v>
      </c>
      <c r="V47" s="110">
        <f t="shared" si="142"/>
        <v>7000</v>
      </c>
      <c r="W47" s="110">
        <f t="shared" si="142"/>
        <v>7000</v>
      </c>
      <c r="X47" s="110">
        <f t="shared" si="142"/>
        <v>7000</v>
      </c>
      <c r="Y47" s="110">
        <f t="shared" si="142"/>
        <v>7000</v>
      </c>
      <c r="Z47" s="110">
        <f t="shared" si="142"/>
        <v>7000</v>
      </c>
      <c r="AA47" s="110">
        <f t="shared" si="142"/>
        <v>7000</v>
      </c>
      <c r="AB47" s="110">
        <f t="shared" si="142"/>
        <v>7000</v>
      </c>
      <c r="AC47" s="110">
        <f t="shared" si="142"/>
        <v>7000</v>
      </c>
      <c r="AD47" s="110">
        <f t="shared" si="142"/>
        <v>7000</v>
      </c>
      <c r="AE47" s="110">
        <f t="shared" si="142"/>
        <v>7000</v>
      </c>
      <c r="AF47" s="110">
        <f t="shared" si="142"/>
        <v>7000</v>
      </c>
      <c r="AG47" s="110">
        <f t="shared" si="142"/>
        <v>7000</v>
      </c>
      <c r="AH47" s="110">
        <f t="shared" si="142"/>
        <v>7000</v>
      </c>
      <c r="AI47" s="110">
        <f t="shared" si="142"/>
        <v>7000</v>
      </c>
      <c r="AJ47" s="110">
        <f t="shared" si="142"/>
        <v>7000</v>
      </c>
      <c r="AK47" s="110">
        <f t="shared" si="142"/>
        <v>7000</v>
      </c>
      <c r="AL47" s="110">
        <f>AM47</f>
        <v>7000</v>
      </c>
      <c r="AM47" s="110">
        <f>'Capacités installées'!B5</f>
        <v>7000</v>
      </c>
    </row>
    <row r="48" spans="1:58" x14ac:dyDescent="0.25">
      <c r="A48" t="s">
        <v>110</v>
      </c>
      <c r="B48" s="33"/>
      <c r="C48" s="42">
        <f ca="1">C47-B47</f>
        <v>180.00000000000364</v>
      </c>
      <c r="D48" s="42">
        <f t="shared" ref="D48" ca="1" si="143">D47-C47</f>
        <v>180.00000000000364</v>
      </c>
      <c r="E48" s="42">
        <f t="shared" ref="E48" ca="1" si="144">E47-D47</f>
        <v>180.00000000000273</v>
      </c>
      <c r="F48" s="42">
        <f t="shared" ref="F48" ca="1" si="145">F47-E47</f>
        <v>180.00000000000273</v>
      </c>
      <c r="G48" s="42">
        <f t="shared" ref="G48" ca="1" si="146">G47-F47</f>
        <v>180.00000000000182</v>
      </c>
      <c r="H48" s="42">
        <f t="shared" ref="H48" ca="1" si="147">H47-G47</f>
        <v>180.00000000000091</v>
      </c>
      <c r="I48" s="42">
        <f t="shared" ref="I48" ca="1" si="148">I47-H47</f>
        <v>180.00000000000091</v>
      </c>
      <c r="J48" s="42">
        <f t="shared" ref="J48" ca="1" si="149">J47-I47</f>
        <v>180</v>
      </c>
      <c r="K48" s="42">
        <f t="shared" ref="K48" ca="1" si="150">K47-J47</f>
        <v>179.99999999999909</v>
      </c>
      <c r="L48" s="42">
        <f t="shared" ref="L48" ca="1" si="151">L47-K47</f>
        <v>179.99999999999909</v>
      </c>
      <c r="M48" s="42">
        <f t="shared" ref="M48" ca="1" si="152">M47-L47</f>
        <v>179.99999999999818</v>
      </c>
      <c r="N48" s="42">
        <f t="shared" ref="N48" ca="1" si="153">N47-M47</f>
        <v>179.99999999999727</v>
      </c>
      <c r="O48" s="42">
        <f t="shared" ref="O48" ca="1" si="154">O47-N47</f>
        <v>179.99999999999727</v>
      </c>
      <c r="P48" s="42">
        <f t="shared" ref="P48" ca="1" si="155">P47-O47</f>
        <v>179.99999999999636</v>
      </c>
      <c r="Q48" s="42">
        <f t="shared" ref="Q48" ca="1" si="156">Q47-P47</f>
        <v>179.99999999999636</v>
      </c>
      <c r="R48" s="42">
        <f t="shared" ref="R48" si="157">R47-Q47</f>
        <v>0</v>
      </c>
      <c r="S48" s="42">
        <f t="shared" ref="S48" si="158">S47-R47</f>
        <v>0</v>
      </c>
      <c r="T48" s="42">
        <f t="shared" ref="T48" si="159">T47-S47</f>
        <v>0</v>
      </c>
      <c r="U48" s="42">
        <f t="shared" ref="U48" si="160">U47-T47</f>
        <v>0</v>
      </c>
      <c r="V48" s="42">
        <f t="shared" ref="V48" si="161">V47-U47</f>
        <v>0</v>
      </c>
      <c r="W48" s="42">
        <f t="shared" ref="W48" si="162">W47-V47</f>
        <v>0</v>
      </c>
      <c r="X48" s="42">
        <f t="shared" ref="X48" si="163">X47-W47</f>
        <v>0</v>
      </c>
      <c r="Y48" s="42">
        <f t="shared" ref="Y48" si="164">Y47-X47</f>
        <v>0</v>
      </c>
      <c r="Z48" s="42">
        <f t="shared" ref="Z48" si="165">Z47-Y47</f>
        <v>0</v>
      </c>
      <c r="AA48" s="42">
        <f t="shared" ref="AA48" si="166">AA47-Z47</f>
        <v>0</v>
      </c>
      <c r="AB48" s="42">
        <f t="shared" ref="AB48" si="167">AB47-AA47</f>
        <v>0</v>
      </c>
      <c r="AC48" s="42">
        <f t="shared" ref="AC48" si="168">AC47-AB47</f>
        <v>0</v>
      </c>
      <c r="AD48" s="42">
        <f t="shared" ref="AD48" si="169">AD47-AC47</f>
        <v>0</v>
      </c>
      <c r="AE48" s="42">
        <f t="shared" ref="AE48" si="170">AE47-AD47</f>
        <v>0</v>
      </c>
      <c r="AF48" s="42">
        <f t="shared" ref="AF48" si="171">AF47-AE47</f>
        <v>0</v>
      </c>
      <c r="AG48" s="42">
        <f t="shared" ref="AG48" si="172">AG47-AF47</f>
        <v>0</v>
      </c>
      <c r="AH48" s="42">
        <f t="shared" ref="AH48" si="173">AH47-AG47</f>
        <v>0</v>
      </c>
      <c r="AI48" s="42">
        <f t="shared" ref="AI48" si="174">AI47-AH47</f>
        <v>0</v>
      </c>
      <c r="AJ48" s="42">
        <f t="shared" ref="AJ48" si="175">AJ47-AI47</f>
        <v>0</v>
      </c>
      <c r="AK48" s="42">
        <f t="shared" ref="AK48" si="176">AK47-AJ47</f>
        <v>0</v>
      </c>
      <c r="AL48" s="42">
        <f t="shared" ref="AL48" si="177">AL47-AK47</f>
        <v>0</v>
      </c>
      <c r="AM48" s="42">
        <f t="shared" ref="AM48" si="178">AM47-AL47</f>
        <v>0</v>
      </c>
    </row>
    <row r="49" spans="1:43" x14ac:dyDescent="0.25">
      <c r="A49" t="s">
        <v>197</v>
      </c>
      <c r="AM49" s="69">
        <f>AM50/AM52</f>
        <v>0.17986111111111111</v>
      </c>
    </row>
    <row r="50" spans="1:43" x14ac:dyDescent="0.25">
      <c r="A50" t="s">
        <v>107</v>
      </c>
      <c r="B50" s="13">
        <f ca="1">$AM$49*B52</f>
        <v>63.64</v>
      </c>
      <c r="C50" s="13">
        <f t="shared" ref="C50:AK50" ca="1" si="179">$AM$49*C52</f>
        <v>66.304000000000045</v>
      </c>
      <c r="D50" s="13">
        <f t="shared" ca="1" si="179"/>
        <v>68.968000000000103</v>
      </c>
      <c r="E50" s="13">
        <f t="shared" ca="1" si="179"/>
        <v>71.632000000000147</v>
      </c>
      <c r="F50" s="13">
        <f t="shared" ca="1" si="179"/>
        <v>74.296000000000191</v>
      </c>
      <c r="G50" s="13">
        <f t="shared" ca="1" si="179"/>
        <v>76.960000000000207</v>
      </c>
      <c r="H50" s="13">
        <f t="shared" ca="1" si="179"/>
        <v>79.624000000000223</v>
      </c>
      <c r="I50" s="13">
        <f t="shared" ca="1" si="179"/>
        <v>82.288000000000238</v>
      </c>
      <c r="J50" s="13">
        <f t="shared" ca="1" si="179"/>
        <v>84.95200000000024</v>
      </c>
      <c r="K50" s="13">
        <f t="shared" ca="1" si="179"/>
        <v>87.616000000000227</v>
      </c>
      <c r="L50" s="13">
        <f t="shared" ca="1" si="179"/>
        <v>90.280000000000214</v>
      </c>
      <c r="M50" s="13">
        <f t="shared" ca="1" si="179"/>
        <v>92.944000000000187</v>
      </c>
      <c r="N50" s="13">
        <f t="shared" ca="1" si="179"/>
        <v>95.608000000000146</v>
      </c>
      <c r="O50" s="13">
        <f t="shared" ca="1" si="179"/>
        <v>98.272000000000105</v>
      </c>
      <c r="P50" s="13">
        <f t="shared" ca="1" si="179"/>
        <v>100.93600000000004</v>
      </c>
      <c r="Q50" s="13">
        <f t="shared" si="179"/>
        <v>103.6</v>
      </c>
      <c r="R50" s="13">
        <f t="shared" si="179"/>
        <v>103.6</v>
      </c>
      <c r="S50" s="13">
        <f t="shared" si="179"/>
        <v>103.6</v>
      </c>
      <c r="T50" s="13">
        <f t="shared" si="179"/>
        <v>103.6</v>
      </c>
      <c r="U50" s="13">
        <f t="shared" si="179"/>
        <v>103.6</v>
      </c>
      <c r="V50" s="13">
        <f t="shared" si="179"/>
        <v>103.6</v>
      </c>
      <c r="W50" s="13">
        <f t="shared" si="179"/>
        <v>103.6</v>
      </c>
      <c r="X50" s="13">
        <f t="shared" si="179"/>
        <v>103.6</v>
      </c>
      <c r="Y50" s="13">
        <f t="shared" si="179"/>
        <v>103.6</v>
      </c>
      <c r="Z50" s="13">
        <f t="shared" si="179"/>
        <v>103.6</v>
      </c>
      <c r="AA50" s="13">
        <f t="shared" si="179"/>
        <v>103.6</v>
      </c>
      <c r="AB50" s="13">
        <f t="shared" si="179"/>
        <v>103.6</v>
      </c>
      <c r="AC50" s="13">
        <f t="shared" si="179"/>
        <v>103.6</v>
      </c>
      <c r="AD50" s="13">
        <f t="shared" si="179"/>
        <v>103.6</v>
      </c>
      <c r="AE50" s="13">
        <f t="shared" si="179"/>
        <v>103.6</v>
      </c>
      <c r="AF50" s="13">
        <f t="shared" si="179"/>
        <v>103.6</v>
      </c>
      <c r="AG50" s="13">
        <f t="shared" si="179"/>
        <v>103.6</v>
      </c>
      <c r="AH50" s="13">
        <f t="shared" si="179"/>
        <v>103.6</v>
      </c>
      <c r="AI50" s="13">
        <f t="shared" si="179"/>
        <v>103.6</v>
      </c>
      <c r="AJ50" s="13">
        <f t="shared" si="179"/>
        <v>103.6</v>
      </c>
      <c r="AK50" s="13">
        <f t="shared" si="179"/>
        <v>103.6</v>
      </c>
      <c r="AL50" s="13">
        <f>$AM$49*AL52</f>
        <v>103.6</v>
      </c>
      <c r="AM50" s="13">
        <f>LCOE!AS25*1000*'Capacités installées'!B5/1000000</f>
        <v>103.6</v>
      </c>
    </row>
    <row r="51" spans="1:43" x14ac:dyDescent="0.25">
      <c r="A51" t="s">
        <v>111</v>
      </c>
      <c r="B51" s="13">
        <f ca="1">B52-B50</f>
        <v>290.18857142857144</v>
      </c>
      <c r="C51" s="13">
        <f t="shared" ref="C51:AM51" ca="1" si="180">C52-C50</f>
        <v>302.33600000000024</v>
      </c>
      <c r="D51" s="13">
        <f t="shared" ca="1" si="180"/>
        <v>314.48342857142904</v>
      </c>
      <c r="E51" s="13">
        <f t="shared" ca="1" si="180"/>
        <v>326.63085714285785</v>
      </c>
      <c r="F51" s="13">
        <f t="shared" ca="1" si="180"/>
        <v>338.77828571428654</v>
      </c>
      <c r="G51" s="13">
        <f t="shared" ca="1" si="180"/>
        <v>350.92571428571523</v>
      </c>
      <c r="H51" s="13">
        <f t="shared" ca="1" si="180"/>
        <v>363.07314285714392</v>
      </c>
      <c r="I51" s="13">
        <f t="shared" ca="1" si="180"/>
        <v>375.2205714285725</v>
      </c>
      <c r="J51" s="13">
        <f t="shared" ca="1" si="180"/>
        <v>387.36800000000108</v>
      </c>
      <c r="K51" s="13">
        <f t="shared" ca="1" si="180"/>
        <v>399.5154285714296</v>
      </c>
      <c r="L51" s="13">
        <f t="shared" ca="1" si="180"/>
        <v>411.66285714285812</v>
      </c>
      <c r="M51" s="13">
        <f t="shared" ca="1" si="180"/>
        <v>423.81028571428658</v>
      </c>
      <c r="N51" s="13">
        <f t="shared" ca="1" si="180"/>
        <v>435.95771428571493</v>
      </c>
      <c r="O51" s="13">
        <f t="shared" ca="1" si="180"/>
        <v>448.10514285714333</v>
      </c>
      <c r="P51" s="13">
        <f t="shared" ca="1" si="180"/>
        <v>460.25257142857163</v>
      </c>
      <c r="Q51" s="13">
        <f t="shared" si="180"/>
        <v>472.4</v>
      </c>
      <c r="R51" s="13">
        <f t="shared" si="180"/>
        <v>472.4</v>
      </c>
      <c r="S51" s="13">
        <f t="shared" si="180"/>
        <v>472.4</v>
      </c>
      <c r="T51" s="13">
        <f t="shared" si="180"/>
        <v>472.4</v>
      </c>
      <c r="U51" s="13">
        <f t="shared" si="180"/>
        <v>472.4</v>
      </c>
      <c r="V51" s="13">
        <f t="shared" si="180"/>
        <v>472.4</v>
      </c>
      <c r="W51" s="13">
        <f t="shared" si="180"/>
        <v>472.4</v>
      </c>
      <c r="X51" s="13">
        <f t="shared" si="180"/>
        <v>472.4</v>
      </c>
      <c r="Y51" s="13">
        <f t="shared" si="180"/>
        <v>472.4</v>
      </c>
      <c r="Z51" s="13">
        <f t="shared" si="180"/>
        <v>472.4</v>
      </c>
      <c r="AA51" s="13">
        <f t="shared" si="180"/>
        <v>472.4</v>
      </c>
      <c r="AB51" s="13">
        <f t="shared" si="180"/>
        <v>472.4</v>
      </c>
      <c r="AC51" s="13">
        <f t="shared" si="180"/>
        <v>472.4</v>
      </c>
      <c r="AD51" s="13">
        <f t="shared" si="180"/>
        <v>472.4</v>
      </c>
      <c r="AE51" s="13">
        <f t="shared" si="180"/>
        <v>472.4</v>
      </c>
      <c r="AF51" s="13">
        <f t="shared" si="180"/>
        <v>472.4</v>
      </c>
      <c r="AG51" s="13">
        <f t="shared" si="180"/>
        <v>472.4</v>
      </c>
      <c r="AH51" s="13">
        <f t="shared" si="180"/>
        <v>472.4</v>
      </c>
      <c r="AI51" s="13">
        <f t="shared" si="180"/>
        <v>472.4</v>
      </c>
      <c r="AJ51" s="13">
        <f t="shared" si="180"/>
        <v>472.4</v>
      </c>
      <c r="AK51" s="13">
        <f t="shared" si="180"/>
        <v>472.4</v>
      </c>
      <c r="AL51" s="13">
        <f t="shared" si="180"/>
        <v>472.4</v>
      </c>
      <c r="AM51" s="13">
        <f t="shared" si="180"/>
        <v>472.4</v>
      </c>
    </row>
    <row r="52" spans="1:43" x14ac:dyDescent="0.25">
      <c r="A52" t="s">
        <v>112</v>
      </c>
      <c r="B52" s="13">
        <f t="shared" ref="B52:AL52" ca="1" si="181">C52/C47*B47</f>
        <v>353.82857142857142</v>
      </c>
      <c r="C52" s="13">
        <f t="shared" ca="1" si="181"/>
        <v>368.64000000000027</v>
      </c>
      <c r="D52" s="13">
        <f t="shared" ca="1" si="181"/>
        <v>383.45142857142918</v>
      </c>
      <c r="E52" s="13">
        <f t="shared" ca="1" si="181"/>
        <v>398.26285714285797</v>
      </c>
      <c r="F52" s="13">
        <f t="shared" ca="1" si="181"/>
        <v>413.07428571428676</v>
      </c>
      <c r="G52" s="13">
        <f t="shared" ca="1" si="181"/>
        <v>427.88571428571544</v>
      </c>
      <c r="H52" s="13">
        <f t="shared" ca="1" si="181"/>
        <v>442.69714285714412</v>
      </c>
      <c r="I52" s="13">
        <f t="shared" ca="1" si="181"/>
        <v>457.50857142857274</v>
      </c>
      <c r="J52" s="13">
        <f t="shared" ca="1" si="181"/>
        <v>472.3200000000013</v>
      </c>
      <c r="K52" s="13">
        <f t="shared" ca="1" si="181"/>
        <v>487.13142857142981</v>
      </c>
      <c r="L52" s="13">
        <f t="shared" ca="1" si="181"/>
        <v>501.94285714285832</v>
      </c>
      <c r="M52" s="13">
        <f t="shared" ca="1" si="181"/>
        <v>516.75428571428677</v>
      </c>
      <c r="N52" s="13">
        <f t="shared" ca="1" si="181"/>
        <v>531.5657142857151</v>
      </c>
      <c r="O52" s="13">
        <f t="shared" ca="1" si="181"/>
        <v>546.37714285714344</v>
      </c>
      <c r="P52" s="13">
        <f t="shared" ca="1" si="181"/>
        <v>561.18857142857166</v>
      </c>
      <c r="Q52" s="13">
        <f t="shared" si="181"/>
        <v>576</v>
      </c>
      <c r="R52" s="13">
        <f t="shared" si="181"/>
        <v>576</v>
      </c>
      <c r="S52" s="13">
        <f t="shared" si="181"/>
        <v>576</v>
      </c>
      <c r="T52" s="13">
        <f t="shared" si="181"/>
        <v>576</v>
      </c>
      <c r="U52" s="13">
        <f t="shared" si="181"/>
        <v>576</v>
      </c>
      <c r="V52" s="13">
        <f t="shared" si="181"/>
        <v>576</v>
      </c>
      <c r="W52" s="13">
        <f t="shared" si="181"/>
        <v>576</v>
      </c>
      <c r="X52" s="13">
        <f t="shared" si="181"/>
        <v>576</v>
      </c>
      <c r="Y52" s="13">
        <f t="shared" si="181"/>
        <v>576</v>
      </c>
      <c r="Z52" s="13">
        <f t="shared" si="181"/>
        <v>576</v>
      </c>
      <c r="AA52" s="13">
        <f t="shared" si="181"/>
        <v>576</v>
      </c>
      <c r="AB52" s="13">
        <f t="shared" si="181"/>
        <v>576</v>
      </c>
      <c r="AC52" s="13">
        <f t="shared" si="181"/>
        <v>576</v>
      </c>
      <c r="AD52" s="13">
        <f t="shared" si="181"/>
        <v>576</v>
      </c>
      <c r="AE52" s="13">
        <f t="shared" si="181"/>
        <v>576</v>
      </c>
      <c r="AF52" s="13">
        <f t="shared" si="181"/>
        <v>576</v>
      </c>
      <c r="AG52" s="13">
        <f t="shared" si="181"/>
        <v>576</v>
      </c>
      <c r="AH52" s="13">
        <f t="shared" si="181"/>
        <v>576</v>
      </c>
      <c r="AI52" s="13">
        <f t="shared" si="181"/>
        <v>576</v>
      </c>
      <c r="AJ52" s="13">
        <f t="shared" si="181"/>
        <v>576</v>
      </c>
      <c r="AK52" s="13">
        <f t="shared" si="181"/>
        <v>576</v>
      </c>
      <c r="AL52" s="13">
        <f t="shared" si="181"/>
        <v>576</v>
      </c>
      <c r="AM52" s="111">
        <v>576</v>
      </c>
    </row>
    <row r="54" spans="1:43" x14ac:dyDescent="0.25"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3" x14ac:dyDescent="0.25">
      <c r="A55" s="3" t="s">
        <v>195</v>
      </c>
      <c r="B55" s="47">
        <v>2013</v>
      </c>
      <c r="C55" s="47">
        <v>2014</v>
      </c>
      <c r="D55" s="47">
        <v>2015</v>
      </c>
      <c r="E55" s="47">
        <v>2016</v>
      </c>
      <c r="F55" s="47">
        <v>2017</v>
      </c>
      <c r="G55" s="47">
        <v>2018</v>
      </c>
      <c r="H55" s="47">
        <v>2019</v>
      </c>
      <c r="I55" s="47">
        <v>2020</v>
      </c>
      <c r="J55" s="47">
        <v>2021</v>
      </c>
      <c r="K55" s="47">
        <v>2022</v>
      </c>
      <c r="L55" s="47">
        <v>2023</v>
      </c>
      <c r="M55" s="47">
        <v>2024</v>
      </c>
      <c r="N55" s="47">
        <v>2025</v>
      </c>
      <c r="O55" s="47">
        <v>2026</v>
      </c>
      <c r="P55" s="47">
        <v>2027</v>
      </c>
      <c r="Q55" s="47">
        <v>2028</v>
      </c>
      <c r="R55" s="47">
        <v>2029</v>
      </c>
      <c r="S55" s="47">
        <v>2030</v>
      </c>
      <c r="T55" s="47">
        <v>2031</v>
      </c>
      <c r="U55" s="47">
        <v>2032</v>
      </c>
      <c r="V55" s="47">
        <v>2033</v>
      </c>
      <c r="W55" s="47">
        <v>2034</v>
      </c>
      <c r="X55" s="47">
        <v>2035</v>
      </c>
      <c r="Y55" s="47">
        <v>2036</v>
      </c>
      <c r="Z55" s="47">
        <v>2037</v>
      </c>
      <c r="AA55" s="47">
        <v>2038</v>
      </c>
      <c r="AB55" s="47">
        <v>2039</v>
      </c>
      <c r="AC55" s="47">
        <v>2040</v>
      </c>
      <c r="AD55" s="47">
        <v>2041</v>
      </c>
      <c r="AE55" s="47">
        <v>2042</v>
      </c>
      <c r="AF55" s="47">
        <v>2043</v>
      </c>
      <c r="AG55" s="47">
        <v>2044</v>
      </c>
      <c r="AH55" s="47">
        <v>2045</v>
      </c>
      <c r="AI55" s="47">
        <v>2046</v>
      </c>
      <c r="AJ55" s="47">
        <v>2047</v>
      </c>
      <c r="AK55" s="47">
        <v>2048</v>
      </c>
      <c r="AL55" s="47">
        <v>2049</v>
      </c>
      <c r="AM55" s="47">
        <v>2050</v>
      </c>
    </row>
    <row r="56" spans="1:43" outlineLevel="1" x14ac:dyDescent="0.25">
      <c r="A56" t="s">
        <v>171</v>
      </c>
      <c r="B56" s="109">
        <v>0</v>
      </c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1">
        <v>0</v>
      </c>
      <c r="L56" s="111">
        <v>0</v>
      </c>
      <c r="M56" s="111">
        <v>0</v>
      </c>
      <c r="N56" s="111">
        <v>0</v>
      </c>
      <c r="O56" s="111">
        <v>0</v>
      </c>
      <c r="P56" s="111">
        <v>0</v>
      </c>
      <c r="Q56" s="111">
        <v>0</v>
      </c>
      <c r="R56" s="111">
        <v>0</v>
      </c>
      <c r="S56" s="111">
        <v>0</v>
      </c>
      <c r="T56" s="111">
        <v>0</v>
      </c>
      <c r="U56" s="111">
        <v>0</v>
      </c>
      <c r="V56" s="111">
        <v>0</v>
      </c>
      <c r="W56" s="111">
        <v>0</v>
      </c>
      <c r="X56" s="111">
        <v>0</v>
      </c>
      <c r="Y56" s="111">
        <v>0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7">
        <f ca="1">(AD56+AF56)/2</f>
        <v>1790954.9365888871</v>
      </c>
      <c r="AF56" s="117">
        <f ca="1">(AE56+AG56)/2</f>
        <v>3581909.8731777743</v>
      </c>
      <c r="AG56" s="117">
        <f t="shared" ref="AG56:AL56" ca="1" si="182">(AF56+AH56)/2</f>
        <v>5372864.8097666614</v>
      </c>
      <c r="AH56" s="117">
        <f t="shared" ca="1" si="182"/>
        <v>7163819.7463555494</v>
      </c>
      <c r="AI56" s="117">
        <f t="shared" ca="1" si="182"/>
        <v>8954774.6829444375</v>
      </c>
      <c r="AJ56" s="117">
        <f t="shared" ca="1" si="182"/>
        <v>10745729.619533326</v>
      </c>
      <c r="AK56" s="117">
        <f t="shared" ca="1" si="182"/>
        <v>12536684.556122217</v>
      </c>
      <c r="AL56" s="117">
        <f t="shared" ca="1" si="182"/>
        <v>14327639.492711108</v>
      </c>
      <c r="AM56" s="117">
        <f>Production!$B$4</f>
        <v>16118594.429300001</v>
      </c>
    </row>
    <row r="57" spans="1:43" outlineLevel="1" x14ac:dyDescent="0.25">
      <c r="A57" t="s">
        <v>185</v>
      </c>
      <c r="B57" s="109">
        <f>LCOE!B22</f>
        <v>206.55737704918033</v>
      </c>
      <c r="C57" s="111">
        <f ca="1">LCOE!C22</f>
        <v>204.99517839922842</v>
      </c>
      <c r="D57" s="111">
        <f ca="1">LCOE!D22</f>
        <v>203.43297974927651</v>
      </c>
      <c r="E57" s="111">
        <f ca="1">LCOE!E22</f>
        <v>201.87078109932463</v>
      </c>
      <c r="F57" s="111">
        <f ca="1">LCOE!F22</f>
        <v>200.30858244937275</v>
      </c>
      <c r="G57" s="111">
        <f ca="1">LCOE!G22</f>
        <v>198.7463837994209</v>
      </c>
      <c r="H57" s="111">
        <f ca="1">LCOE!H22</f>
        <v>197.18418514946904</v>
      </c>
      <c r="I57" s="111">
        <f ca="1">LCOE!I22</f>
        <v>195.62198649951722</v>
      </c>
      <c r="J57" s="111">
        <f ca="1">LCOE!J22</f>
        <v>194.05978784956542</v>
      </c>
      <c r="K57" s="111">
        <f ca="1">LCOE!K22</f>
        <v>192.49758919961363</v>
      </c>
      <c r="L57" s="111">
        <f ca="1">LCOE!L22</f>
        <v>190.93539054966186</v>
      </c>
      <c r="M57" s="110">
        <f ca="1">LCOE!M22</f>
        <v>189.37319189971012</v>
      </c>
      <c r="N57" s="111">
        <f ca="1">LCOE!N22</f>
        <v>187.81099324975838</v>
      </c>
      <c r="O57" s="111">
        <f ca="1">LCOE!O22</f>
        <v>186.24879459980667</v>
      </c>
      <c r="P57" s="111">
        <f ca="1">LCOE!P22</f>
        <v>184.68659594985499</v>
      </c>
      <c r="Q57" s="111">
        <f ca="1">LCOE!Q22</f>
        <v>183.12439729990331</v>
      </c>
      <c r="R57" s="111">
        <f ca="1">LCOE!R22</f>
        <v>181.56219864995165</v>
      </c>
      <c r="S57" s="111">
        <f>LCOE!S22</f>
        <v>180</v>
      </c>
      <c r="T57" s="111">
        <f ca="1">LCOE!T22</f>
        <v>179.99999999999983</v>
      </c>
      <c r="U57" s="111">
        <f ca="1">LCOE!U22</f>
        <v>179.99999999999969</v>
      </c>
      <c r="V57" s="111">
        <f ca="1">LCOE!V22</f>
        <v>179.99999999999955</v>
      </c>
      <c r="W57" s="111">
        <f ca="1">LCOE!W22</f>
        <v>179.99999999999943</v>
      </c>
      <c r="X57" s="111">
        <f ca="1">LCOE!X22</f>
        <v>179.99999999999935</v>
      </c>
      <c r="Y57" s="111">
        <f ca="1">LCOE!Y22</f>
        <v>179.99999999999926</v>
      </c>
      <c r="Z57" s="111">
        <f ca="1">LCOE!Z22</f>
        <v>179.9999999999992</v>
      </c>
      <c r="AA57" s="111">
        <f ca="1">LCOE!AA22</f>
        <v>179.99999999999918</v>
      </c>
      <c r="AB57" s="111">
        <f ca="1">LCOE!AB22</f>
        <v>179.99999999999915</v>
      </c>
      <c r="AC57" s="111">
        <f ca="1">LCOE!AC22</f>
        <v>179.99999999999915</v>
      </c>
      <c r="AD57" s="111">
        <f ca="1">LCOE!AD22</f>
        <v>179.99999999999915</v>
      </c>
      <c r="AE57" s="110">
        <f ca="1">LCOE!AE22</f>
        <v>179.99999999999918</v>
      </c>
      <c r="AF57" s="111">
        <f ca="1">LCOE!AF22</f>
        <v>179.9999999999992</v>
      </c>
      <c r="AG57" s="111">
        <f ca="1">LCOE!AG22</f>
        <v>179.99999999999926</v>
      </c>
      <c r="AH57" s="111">
        <f ca="1">LCOE!AH22</f>
        <v>179.99999999999935</v>
      </c>
      <c r="AI57" s="111">
        <f ca="1">LCOE!AI22</f>
        <v>179.99999999999943</v>
      </c>
      <c r="AJ57" s="111">
        <f ca="1">LCOE!AJ22</f>
        <v>179.99999999999955</v>
      </c>
      <c r="AK57" s="110">
        <f ca="1">LCOE!AK22</f>
        <v>179.99999999999969</v>
      </c>
      <c r="AL57" s="110">
        <f ca="1">LCOE!AL22</f>
        <v>179.99999999999983</v>
      </c>
      <c r="AM57" s="110">
        <f>LCOE!AM22</f>
        <v>180</v>
      </c>
    </row>
    <row r="58" spans="1:43" x14ac:dyDescent="0.25">
      <c r="A58" s="51" t="s">
        <v>90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f t="shared" ref="AE58:AL58" ca="1" si="183">(AD58+AF58)/2</f>
        <v>1493.8515836656097</v>
      </c>
      <c r="AF58" s="49">
        <f t="shared" ca="1" si="183"/>
        <v>2987.7031673312194</v>
      </c>
      <c r="AG58" s="49">
        <f t="shared" ca="1" si="183"/>
        <v>4481.5547509968292</v>
      </c>
      <c r="AH58" s="49">
        <f t="shared" ca="1" si="183"/>
        <v>5975.4063346624398</v>
      </c>
      <c r="AI58" s="49">
        <f t="shared" ca="1" si="183"/>
        <v>7469.2579183280504</v>
      </c>
      <c r="AJ58" s="49">
        <f t="shared" ca="1" si="183"/>
        <v>8963.109501993662</v>
      </c>
      <c r="AK58" s="49">
        <f t="shared" ca="1" si="183"/>
        <v>10456.961085659274</v>
      </c>
      <c r="AL58" s="49">
        <f t="shared" ca="1" si="183"/>
        <v>11950.812669324887</v>
      </c>
      <c r="AM58" s="43">
        <f>'Capacités installées'!B3</f>
        <v>13444.6642529905</v>
      </c>
    </row>
    <row r="59" spans="1:43" x14ac:dyDescent="0.25">
      <c r="A59" t="s">
        <v>110</v>
      </c>
      <c r="B59" s="33"/>
      <c r="C59" s="42">
        <f>C58-B58</f>
        <v>0</v>
      </c>
      <c r="D59" s="42">
        <f t="shared" ref="D59" si="184">D58-C58</f>
        <v>0</v>
      </c>
      <c r="E59" s="42">
        <f t="shared" ref="E59" si="185">E58-D58</f>
        <v>0</v>
      </c>
      <c r="F59" s="42">
        <f t="shared" ref="F59" si="186">F58-E58</f>
        <v>0</v>
      </c>
      <c r="G59" s="42">
        <f t="shared" ref="G59" si="187">G58-F58</f>
        <v>0</v>
      </c>
      <c r="H59" s="42">
        <f t="shared" ref="H59" si="188">H58-G58</f>
        <v>0</v>
      </c>
      <c r="I59" s="42">
        <f t="shared" ref="I59" si="189">I58-H58</f>
        <v>0</v>
      </c>
      <c r="J59" s="42">
        <f t="shared" ref="J59" si="190">J58-I58</f>
        <v>0</v>
      </c>
      <c r="K59" s="42">
        <f t="shared" ref="K59" si="191">K58-J58</f>
        <v>0</v>
      </c>
      <c r="L59" s="42">
        <f t="shared" ref="L59" si="192">L58-K58</f>
        <v>0</v>
      </c>
      <c r="M59" s="42">
        <f t="shared" ref="M59" si="193">M58-L58</f>
        <v>0</v>
      </c>
      <c r="N59" s="42">
        <f t="shared" ref="N59" si="194">N58-M58</f>
        <v>0</v>
      </c>
      <c r="O59" s="42">
        <f t="shared" ref="O59" si="195">O58-N58</f>
        <v>0</v>
      </c>
      <c r="P59" s="42">
        <f t="shared" ref="P59" si="196">P58-O58</f>
        <v>0</v>
      </c>
      <c r="Q59" s="42">
        <f t="shared" ref="Q59" si="197">Q58-P58</f>
        <v>0</v>
      </c>
      <c r="R59" s="42">
        <f t="shared" ref="R59" si="198">R58-Q58</f>
        <v>0</v>
      </c>
      <c r="S59" s="42">
        <f t="shared" ref="S59" si="199">S58-R58</f>
        <v>0</v>
      </c>
      <c r="T59" s="42">
        <f t="shared" ref="T59" si="200">T58-S58</f>
        <v>0</v>
      </c>
      <c r="U59" s="42">
        <f t="shared" ref="U59" si="201">U58-T58</f>
        <v>0</v>
      </c>
      <c r="V59" s="42">
        <f t="shared" ref="V59" si="202">V58-U58</f>
        <v>0</v>
      </c>
      <c r="W59" s="42">
        <f t="shared" ref="W59" si="203">W58-V58</f>
        <v>0</v>
      </c>
      <c r="X59" s="42">
        <f t="shared" ref="X59" si="204">X58-W58</f>
        <v>0</v>
      </c>
      <c r="Y59" s="42">
        <f t="shared" ref="Y59" si="205">Y58-X58</f>
        <v>0</v>
      </c>
      <c r="Z59" s="42">
        <f t="shared" ref="Z59" si="206">Z58-Y58</f>
        <v>0</v>
      </c>
      <c r="AA59" s="42">
        <f t="shared" ref="AA59" si="207">AA58-Z58</f>
        <v>0</v>
      </c>
      <c r="AB59" s="42">
        <f t="shared" ref="AB59" si="208">AB58-AA58</f>
        <v>0</v>
      </c>
      <c r="AC59" s="42">
        <f t="shared" ref="AC59" si="209">AC58-AB58</f>
        <v>0</v>
      </c>
      <c r="AD59" s="42">
        <f t="shared" ref="AD59" si="210">AD58-AC58</f>
        <v>0</v>
      </c>
      <c r="AE59" s="42">
        <f t="shared" ref="AE59" ca="1" si="211">AE58-AD58</f>
        <v>1493.8515836656097</v>
      </c>
      <c r="AF59" s="42">
        <f t="shared" ref="AF59" ca="1" si="212">AF58-AE58</f>
        <v>1493.8515836656097</v>
      </c>
      <c r="AG59" s="42">
        <f t="shared" ref="AG59" ca="1" si="213">AG58-AF58</f>
        <v>1493.8515836656097</v>
      </c>
      <c r="AH59" s="42">
        <f t="shared" ref="AH59" ca="1" si="214">AH58-AG58</f>
        <v>1493.8515836656106</v>
      </c>
      <c r="AI59" s="42">
        <f t="shared" ref="AI59" ca="1" si="215">AI58-AH58</f>
        <v>1493.8515836656106</v>
      </c>
      <c r="AJ59" s="42">
        <f t="shared" ref="AJ59" ca="1" si="216">AJ58-AI58</f>
        <v>1493.8515836656115</v>
      </c>
      <c r="AK59" s="42">
        <f t="shared" ref="AK59" ca="1" si="217">AK58-AJ58</f>
        <v>1493.8515836656115</v>
      </c>
      <c r="AL59" s="42">
        <f t="shared" ref="AL59" ca="1" si="218">AL58-AK58</f>
        <v>1493.8515836656134</v>
      </c>
      <c r="AM59" s="42">
        <f t="shared" ref="AM59" ca="1" si="219">AM58-AL58</f>
        <v>1493.8515836656134</v>
      </c>
    </row>
    <row r="60" spans="1:43" x14ac:dyDescent="0.25">
      <c r="A60" t="s">
        <v>143</v>
      </c>
      <c r="B60" s="42">
        <f>LCOE!$AT$22*10</f>
        <v>150</v>
      </c>
      <c r="C60" s="42">
        <f>LCOE!$AT$22*10</f>
        <v>150</v>
      </c>
      <c r="D60" s="42">
        <f>LCOE!$AT$22*10</f>
        <v>150</v>
      </c>
      <c r="E60" s="42">
        <f>LCOE!$AT$22*10</f>
        <v>150</v>
      </c>
      <c r="F60" s="42">
        <f>LCOE!$AT$22*10</f>
        <v>150</v>
      </c>
      <c r="G60" s="42">
        <f>LCOE!$AT$22*10</f>
        <v>150</v>
      </c>
      <c r="H60" s="42">
        <f>LCOE!$AT$22*10</f>
        <v>150</v>
      </c>
      <c r="I60" s="42">
        <f>LCOE!$AT$22*10</f>
        <v>150</v>
      </c>
      <c r="J60" s="42">
        <f>LCOE!$AT$22*10</f>
        <v>150</v>
      </c>
      <c r="K60" s="42">
        <f>LCOE!$AT$22*10</f>
        <v>150</v>
      </c>
      <c r="L60" s="42">
        <f>LCOE!$AT$22*10</f>
        <v>150</v>
      </c>
      <c r="M60" s="42">
        <f>LCOE!$AT$22*10</f>
        <v>150</v>
      </c>
      <c r="N60" s="42">
        <f>LCOE!$AT$22*10</f>
        <v>150</v>
      </c>
      <c r="O60" s="42">
        <f>LCOE!$AT$22*10</f>
        <v>150</v>
      </c>
      <c r="P60" s="42">
        <f>LCOE!$AT$22*10</f>
        <v>150</v>
      </c>
      <c r="Q60" s="42">
        <f>LCOE!$AT$22*10</f>
        <v>150</v>
      </c>
      <c r="R60" s="42">
        <f>LCOE!$AT$22*10</f>
        <v>150</v>
      </c>
      <c r="S60" s="42">
        <f>LCOE!$AT$22*10</f>
        <v>150</v>
      </c>
      <c r="T60" s="42">
        <f>LCOE!$AT$22*10</f>
        <v>150</v>
      </c>
      <c r="U60" s="42">
        <f>LCOE!$AT$22*10</f>
        <v>150</v>
      </c>
      <c r="V60" s="42">
        <f>LCOE!$AT$22*10</f>
        <v>150</v>
      </c>
      <c r="W60" s="42">
        <f>LCOE!$AT$22*10</f>
        <v>150</v>
      </c>
      <c r="X60" s="42">
        <f>LCOE!$AT$22*10</f>
        <v>150</v>
      </c>
      <c r="Y60" s="42">
        <f>LCOE!$AT$22*10</f>
        <v>150</v>
      </c>
      <c r="Z60" s="42">
        <f>LCOE!$AT$22*10</f>
        <v>150</v>
      </c>
      <c r="AA60" s="42">
        <f>LCOE!$AT$22*10</f>
        <v>150</v>
      </c>
      <c r="AB60" s="42">
        <f>LCOE!$AT$22*10</f>
        <v>150</v>
      </c>
      <c r="AC60" s="42">
        <f>LCOE!$AT$22*10</f>
        <v>150</v>
      </c>
      <c r="AD60" s="42">
        <f>LCOE!$AT$22*10</f>
        <v>150</v>
      </c>
      <c r="AE60" s="42">
        <f>LCOE!$AT$22*10</f>
        <v>150</v>
      </c>
      <c r="AF60" s="42">
        <f>LCOE!$AT$22*10</f>
        <v>150</v>
      </c>
      <c r="AG60" s="42">
        <f>LCOE!$AT$22*10</f>
        <v>150</v>
      </c>
      <c r="AH60" s="42">
        <f>LCOE!$AT$22*10</f>
        <v>150</v>
      </c>
      <c r="AI60" s="42">
        <f>LCOE!$AT$22*10</f>
        <v>150</v>
      </c>
      <c r="AJ60" s="42">
        <f>LCOE!$AT$22*10</f>
        <v>150</v>
      </c>
      <c r="AK60" s="42">
        <f>LCOE!$AT$22*10</f>
        <v>150</v>
      </c>
      <c r="AL60" s="42">
        <f>LCOE!$AT$22*10</f>
        <v>150</v>
      </c>
      <c r="AM60" s="42">
        <f>LCOE!$AT$22*10</f>
        <v>150</v>
      </c>
    </row>
    <row r="61" spans="1:43" x14ac:dyDescent="0.25">
      <c r="A61" t="s">
        <v>197</v>
      </c>
      <c r="B61" s="55"/>
      <c r="C61" s="42"/>
      <c r="D61" s="43"/>
      <c r="E61" s="42"/>
      <c r="F61" s="42"/>
      <c r="G61" s="42"/>
      <c r="H61" s="42"/>
      <c r="I61" s="42"/>
      <c r="J61" s="42"/>
      <c r="K61" s="42"/>
      <c r="L61" s="42"/>
      <c r="M61" s="49"/>
      <c r="N61" s="43"/>
      <c r="O61" s="42"/>
      <c r="P61" s="42"/>
      <c r="Q61" s="42"/>
      <c r="R61" s="42"/>
      <c r="S61" s="57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9"/>
      <c r="AF61" s="42"/>
      <c r="AG61" s="42"/>
      <c r="AH61" s="42"/>
      <c r="AI61" s="42"/>
      <c r="AJ61" s="42"/>
      <c r="AK61" s="49"/>
      <c r="AL61" s="42"/>
      <c r="AM61" s="112">
        <f>AM63/AM66</f>
        <v>0.10194665231139106</v>
      </c>
    </row>
    <row r="62" spans="1:43" x14ac:dyDescent="0.25">
      <c r="A62" t="s">
        <v>30</v>
      </c>
      <c r="B62" s="113">
        <f>LCOE!AQ22</f>
        <v>30</v>
      </c>
      <c r="AN62" s="13"/>
      <c r="AO62" s="13"/>
    </row>
    <row r="63" spans="1:43" x14ac:dyDescent="0.25">
      <c r="A63" t="s">
        <v>198</v>
      </c>
      <c r="B63" s="13">
        <f t="shared" ref="B63:AK63" si="220">$AM$61*B66</f>
        <v>0</v>
      </c>
      <c r="C63" s="13">
        <f t="shared" ca="1" si="220"/>
        <v>0</v>
      </c>
      <c r="D63" s="13">
        <f t="shared" ca="1" si="220"/>
        <v>0</v>
      </c>
      <c r="E63" s="13">
        <f t="shared" ca="1" si="220"/>
        <v>0</v>
      </c>
      <c r="F63" s="13">
        <f t="shared" ca="1" si="220"/>
        <v>0</v>
      </c>
      <c r="G63" s="13">
        <f t="shared" ca="1" si="220"/>
        <v>0</v>
      </c>
      <c r="H63" s="13">
        <f t="shared" ca="1" si="220"/>
        <v>0</v>
      </c>
      <c r="I63" s="13">
        <f t="shared" ca="1" si="220"/>
        <v>0</v>
      </c>
      <c r="J63" s="13">
        <f t="shared" ca="1" si="220"/>
        <v>0</v>
      </c>
      <c r="K63" s="13">
        <f t="shared" ca="1" si="220"/>
        <v>0</v>
      </c>
      <c r="L63" s="13">
        <f t="shared" ca="1" si="220"/>
        <v>0</v>
      </c>
      <c r="M63" s="13">
        <f t="shared" ca="1" si="220"/>
        <v>0</v>
      </c>
      <c r="N63" s="13">
        <f t="shared" ca="1" si="220"/>
        <v>0</v>
      </c>
      <c r="O63" s="13">
        <f t="shared" ca="1" si="220"/>
        <v>0</v>
      </c>
      <c r="P63" s="13">
        <f t="shared" ca="1" si="220"/>
        <v>0</v>
      </c>
      <c r="Q63" s="13">
        <f t="shared" ca="1" si="220"/>
        <v>0</v>
      </c>
      <c r="R63" s="13">
        <f t="shared" ca="1" si="220"/>
        <v>0</v>
      </c>
      <c r="S63" s="13">
        <f t="shared" si="220"/>
        <v>0</v>
      </c>
      <c r="T63" s="13">
        <f t="shared" ca="1" si="220"/>
        <v>0</v>
      </c>
      <c r="U63" s="13">
        <f t="shared" ca="1" si="220"/>
        <v>0</v>
      </c>
      <c r="V63" s="13">
        <f t="shared" ca="1" si="220"/>
        <v>0</v>
      </c>
      <c r="W63" s="13">
        <f t="shared" ca="1" si="220"/>
        <v>0</v>
      </c>
      <c r="X63" s="13">
        <f t="shared" ca="1" si="220"/>
        <v>0</v>
      </c>
      <c r="Y63" s="13">
        <f t="shared" ca="1" si="220"/>
        <v>0</v>
      </c>
      <c r="Z63" s="13">
        <f t="shared" ca="1" si="220"/>
        <v>0</v>
      </c>
      <c r="AA63" s="13">
        <f t="shared" ca="1" si="220"/>
        <v>0</v>
      </c>
      <c r="AB63" s="13">
        <f t="shared" ca="1" si="220"/>
        <v>0</v>
      </c>
      <c r="AC63" s="13">
        <f t="shared" ca="1" si="220"/>
        <v>0</v>
      </c>
      <c r="AD63" s="13">
        <f t="shared" ca="1" si="220"/>
        <v>0</v>
      </c>
      <c r="AE63" s="13">
        <f t="shared" ca="1" si="220"/>
        <v>32.864734840643258</v>
      </c>
      <c r="AF63" s="13">
        <f t="shared" ca="1" si="220"/>
        <v>65.729469681286517</v>
      </c>
      <c r="AG63" s="13">
        <f t="shared" ca="1" si="220"/>
        <v>98.594204521929825</v>
      </c>
      <c r="AH63" s="13">
        <f t="shared" ca="1" si="220"/>
        <v>131.45893936257315</v>
      </c>
      <c r="AI63" s="13">
        <f t="shared" ca="1" si="220"/>
        <v>164.32367420321654</v>
      </c>
      <c r="AJ63" s="13">
        <f t="shared" ca="1" si="220"/>
        <v>197.18840904386002</v>
      </c>
      <c r="AK63" s="13">
        <f t="shared" ca="1" si="220"/>
        <v>230.05314388450356</v>
      </c>
      <c r="AL63" s="13">
        <f ca="1">$AM$61*AL66</f>
        <v>262.9178787251472</v>
      </c>
      <c r="AM63" s="13">
        <f>LCOE!AS22*1000*'Capacités installées'!B3/1000000</f>
        <v>295.782613565791</v>
      </c>
      <c r="AN63" s="13"/>
      <c r="AO63" s="13"/>
      <c r="AP63" s="13"/>
      <c r="AQ63" s="13"/>
    </row>
    <row r="64" spans="1:43" x14ac:dyDescent="0.25">
      <c r="A64" t="s">
        <v>199</v>
      </c>
      <c r="B64" s="13">
        <f>B60*B56/1000000</f>
        <v>0</v>
      </c>
      <c r="C64" s="13">
        <f t="shared" ref="C64:AM64" si="221">C60*C56/1000000</f>
        <v>0</v>
      </c>
      <c r="D64" s="13">
        <f t="shared" si="221"/>
        <v>0</v>
      </c>
      <c r="E64" s="13">
        <f t="shared" si="221"/>
        <v>0</v>
      </c>
      <c r="F64" s="13">
        <f t="shared" si="221"/>
        <v>0</v>
      </c>
      <c r="G64" s="13">
        <f t="shared" si="221"/>
        <v>0</v>
      </c>
      <c r="H64" s="13">
        <f t="shared" si="221"/>
        <v>0</v>
      </c>
      <c r="I64" s="13">
        <f t="shared" si="221"/>
        <v>0</v>
      </c>
      <c r="J64" s="13">
        <f t="shared" si="221"/>
        <v>0</v>
      </c>
      <c r="K64" s="13">
        <f t="shared" si="221"/>
        <v>0</v>
      </c>
      <c r="L64" s="13">
        <f t="shared" si="221"/>
        <v>0</v>
      </c>
      <c r="M64" s="13">
        <f t="shared" si="221"/>
        <v>0</v>
      </c>
      <c r="N64" s="13">
        <f t="shared" si="221"/>
        <v>0</v>
      </c>
      <c r="O64" s="13">
        <f t="shared" si="221"/>
        <v>0</v>
      </c>
      <c r="P64" s="13">
        <f t="shared" si="221"/>
        <v>0</v>
      </c>
      <c r="Q64" s="13">
        <f t="shared" si="221"/>
        <v>0</v>
      </c>
      <c r="R64" s="13">
        <f t="shared" si="221"/>
        <v>0</v>
      </c>
      <c r="S64" s="13">
        <f t="shared" si="221"/>
        <v>0</v>
      </c>
      <c r="T64" s="13">
        <f t="shared" si="221"/>
        <v>0</v>
      </c>
      <c r="U64" s="13">
        <f t="shared" si="221"/>
        <v>0</v>
      </c>
      <c r="V64" s="13">
        <f t="shared" si="221"/>
        <v>0</v>
      </c>
      <c r="W64" s="13">
        <f t="shared" si="221"/>
        <v>0</v>
      </c>
      <c r="X64" s="13">
        <f t="shared" si="221"/>
        <v>0</v>
      </c>
      <c r="Y64" s="13">
        <f t="shared" si="221"/>
        <v>0</v>
      </c>
      <c r="Z64" s="13">
        <f t="shared" si="221"/>
        <v>0</v>
      </c>
      <c r="AA64" s="13">
        <f t="shared" si="221"/>
        <v>0</v>
      </c>
      <c r="AB64" s="13">
        <f t="shared" si="221"/>
        <v>0</v>
      </c>
      <c r="AC64" s="13">
        <f t="shared" si="221"/>
        <v>0</v>
      </c>
      <c r="AD64" s="13">
        <f t="shared" si="221"/>
        <v>0</v>
      </c>
      <c r="AE64" s="13">
        <f t="shared" ca="1" si="221"/>
        <v>268.64324048833305</v>
      </c>
      <c r="AF64" s="13">
        <f t="shared" ca="1" si="221"/>
        <v>537.2864809766661</v>
      </c>
      <c r="AG64" s="13">
        <f t="shared" ca="1" si="221"/>
        <v>805.92972146499915</v>
      </c>
      <c r="AH64" s="13">
        <f t="shared" ca="1" si="221"/>
        <v>1074.5729619533324</v>
      </c>
      <c r="AI64" s="13">
        <f t="shared" ca="1" si="221"/>
        <v>1343.2162024416657</v>
      </c>
      <c r="AJ64" s="13">
        <f t="shared" ca="1" si="221"/>
        <v>1611.859442929999</v>
      </c>
      <c r="AK64" s="13">
        <f t="shared" ca="1" si="221"/>
        <v>1880.5026834183325</v>
      </c>
      <c r="AL64" s="13">
        <f t="shared" ca="1" si="221"/>
        <v>2149.1459239066662</v>
      </c>
      <c r="AM64" s="13">
        <f t="shared" si="221"/>
        <v>2417.7891643950002</v>
      </c>
      <c r="AN64" s="13"/>
      <c r="AO64" s="13"/>
      <c r="AP64" s="13"/>
      <c r="AQ64" s="13"/>
    </row>
    <row r="65" spans="1:45" x14ac:dyDescent="0.25">
      <c r="A65" t="s">
        <v>111</v>
      </c>
      <c r="B65" s="13">
        <f>B66-B63-B64</f>
        <v>0</v>
      </c>
      <c r="C65" s="13">
        <f t="shared" ref="C65:AM65" ca="1" si="222">C66-C63-C64</f>
        <v>0</v>
      </c>
      <c r="D65" s="13">
        <f t="shared" ca="1" si="222"/>
        <v>0</v>
      </c>
      <c r="E65" s="13">
        <f t="shared" ca="1" si="222"/>
        <v>0</v>
      </c>
      <c r="F65" s="13">
        <f t="shared" ca="1" si="222"/>
        <v>0</v>
      </c>
      <c r="G65" s="13">
        <f t="shared" ca="1" si="222"/>
        <v>0</v>
      </c>
      <c r="H65" s="13">
        <f t="shared" ca="1" si="222"/>
        <v>0</v>
      </c>
      <c r="I65" s="13">
        <f t="shared" ca="1" si="222"/>
        <v>0</v>
      </c>
      <c r="J65" s="13">
        <f t="shared" ca="1" si="222"/>
        <v>0</v>
      </c>
      <c r="K65" s="13">
        <f t="shared" ca="1" si="222"/>
        <v>0</v>
      </c>
      <c r="L65" s="13">
        <f t="shared" ca="1" si="222"/>
        <v>0</v>
      </c>
      <c r="M65" s="13">
        <f t="shared" ca="1" si="222"/>
        <v>0</v>
      </c>
      <c r="N65" s="13">
        <f t="shared" ca="1" si="222"/>
        <v>0</v>
      </c>
      <c r="O65" s="13">
        <f t="shared" ca="1" si="222"/>
        <v>0</v>
      </c>
      <c r="P65" s="13">
        <f t="shared" ca="1" si="222"/>
        <v>0</v>
      </c>
      <c r="Q65" s="13">
        <f t="shared" ca="1" si="222"/>
        <v>0</v>
      </c>
      <c r="R65" s="13">
        <f t="shared" ca="1" si="222"/>
        <v>0</v>
      </c>
      <c r="S65" s="13">
        <f t="shared" si="222"/>
        <v>0</v>
      </c>
      <c r="T65" s="13">
        <f t="shared" ca="1" si="222"/>
        <v>0</v>
      </c>
      <c r="U65" s="13">
        <f t="shared" ca="1" si="222"/>
        <v>0</v>
      </c>
      <c r="V65" s="13">
        <f t="shared" ca="1" si="222"/>
        <v>0</v>
      </c>
      <c r="W65" s="13">
        <f t="shared" ca="1" si="222"/>
        <v>0</v>
      </c>
      <c r="X65" s="13">
        <f t="shared" ca="1" si="222"/>
        <v>0</v>
      </c>
      <c r="Y65" s="13">
        <f t="shared" ca="1" si="222"/>
        <v>0</v>
      </c>
      <c r="Z65" s="13">
        <f t="shared" ca="1" si="222"/>
        <v>0</v>
      </c>
      <c r="AA65" s="13">
        <f t="shared" ca="1" si="222"/>
        <v>0</v>
      </c>
      <c r="AB65" s="13">
        <f t="shared" ca="1" si="222"/>
        <v>0</v>
      </c>
      <c r="AC65" s="13">
        <f t="shared" ca="1" si="222"/>
        <v>0</v>
      </c>
      <c r="AD65" s="13">
        <f t="shared" ca="1" si="222"/>
        <v>0</v>
      </c>
      <c r="AE65" s="13">
        <f t="shared" ca="1" si="222"/>
        <v>20.863913257021864</v>
      </c>
      <c r="AF65" s="13">
        <f t="shared" ca="1" si="222"/>
        <v>41.727826514043841</v>
      </c>
      <c r="AG65" s="13">
        <f t="shared" ca="1" si="222"/>
        <v>62.591739771066159</v>
      </c>
      <c r="AH65" s="13">
        <f t="shared" ca="1" si="222"/>
        <v>83.455653028088591</v>
      </c>
      <c r="AI65" s="13">
        <f t="shared" ca="1" si="222"/>
        <v>104.31956628511125</v>
      </c>
      <c r="AJ65" s="13">
        <f t="shared" ca="1" si="222"/>
        <v>125.18347954213482</v>
      </c>
      <c r="AK65" s="13">
        <f t="shared" ca="1" si="222"/>
        <v>146.04739279915884</v>
      </c>
      <c r="AL65" s="13">
        <f t="shared" ca="1" si="222"/>
        <v>166.91130605618355</v>
      </c>
      <c r="AM65" s="13">
        <f t="shared" si="222"/>
        <v>187.77521931320916</v>
      </c>
      <c r="AN65" s="13"/>
      <c r="AO65" s="13"/>
      <c r="AP65" s="13"/>
    </row>
    <row r="66" spans="1:45" x14ac:dyDescent="0.25">
      <c r="A66" t="s">
        <v>112</v>
      </c>
      <c r="B66" s="13">
        <f t="shared" ref="B66:AL66" si="223">B56*B57/1000000</f>
        <v>0</v>
      </c>
      <c r="C66" s="13">
        <f t="shared" ca="1" si="223"/>
        <v>0</v>
      </c>
      <c r="D66" s="13">
        <f t="shared" ca="1" si="223"/>
        <v>0</v>
      </c>
      <c r="E66" s="13">
        <f t="shared" ca="1" si="223"/>
        <v>0</v>
      </c>
      <c r="F66" s="13">
        <f t="shared" ca="1" si="223"/>
        <v>0</v>
      </c>
      <c r="G66" s="13">
        <f t="shared" ca="1" si="223"/>
        <v>0</v>
      </c>
      <c r="H66" s="13">
        <f t="shared" ca="1" si="223"/>
        <v>0</v>
      </c>
      <c r="I66" s="13">
        <f t="shared" ca="1" si="223"/>
        <v>0</v>
      </c>
      <c r="J66" s="13">
        <f t="shared" ca="1" si="223"/>
        <v>0</v>
      </c>
      <c r="K66" s="13">
        <f t="shared" ca="1" si="223"/>
        <v>0</v>
      </c>
      <c r="L66" s="13">
        <f t="shared" ca="1" si="223"/>
        <v>0</v>
      </c>
      <c r="M66" s="13">
        <f t="shared" ca="1" si="223"/>
        <v>0</v>
      </c>
      <c r="N66" s="13">
        <f t="shared" ca="1" si="223"/>
        <v>0</v>
      </c>
      <c r="O66" s="13">
        <f t="shared" ca="1" si="223"/>
        <v>0</v>
      </c>
      <c r="P66" s="13">
        <f t="shared" ca="1" si="223"/>
        <v>0</v>
      </c>
      <c r="Q66" s="13">
        <f t="shared" ca="1" si="223"/>
        <v>0</v>
      </c>
      <c r="R66" s="13">
        <f t="shared" ca="1" si="223"/>
        <v>0</v>
      </c>
      <c r="S66" s="13">
        <f t="shared" si="223"/>
        <v>0</v>
      </c>
      <c r="T66" s="13">
        <f t="shared" ca="1" si="223"/>
        <v>0</v>
      </c>
      <c r="U66" s="13">
        <f t="shared" ca="1" si="223"/>
        <v>0</v>
      </c>
      <c r="V66" s="13">
        <f t="shared" ca="1" si="223"/>
        <v>0</v>
      </c>
      <c r="W66" s="13">
        <f t="shared" ca="1" si="223"/>
        <v>0</v>
      </c>
      <c r="X66" s="13">
        <f t="shared" ca="1" si="223"/>
        <v>0</v>
      </c>
      <c r="Y66" s="13">
        <f t="shared" ca="1" si="223"/>
        <v>0</v>
      </c>
      <c r="Z66" s="13">
        <f t="shared" ca="1" si="223"/>
        <v>0</v>
      </c>
      <c r="AA66" s="13">
        <f t="shared" ca="1" si="223"/>
        <v>0</v>
      </c>
      <c r="AB66" s="13">
        <f t="shared" ca="1" si="223"/>
        <v>0</v>
      </c>
      <c r="AC66" s="13">
        <f t="shared" ca="1" si="223"/>
        <v>0</v>
      </c>
      <c r="AD66" s="13">
        <f t="shared" ca="1" si="223"/>
        <v>0</v>
      </c>
      <c r="AE66" s="13">
        <f t="shared" ca="1" si="223"/>
        <v>322.37188858599819</v>
      </c>
      <c r="AF66" s="13">
        <f t="shared" ca="1" si="223"/>
        <v>644.7437771719965</v>
      </c>
      <c r="AG66" s="13">
        <f t="shared" ca="1" si="223"/>
        <v>967.11566575799509</v>
      </c>
      <c r="AH66" s="13">
        <f t="shared" ca="1" si="223"/>
        <v>1289.4875543439941</v>
      </c>
      <c r="AI66" s="13">
        <f t="shared" ca="1" si="223"/>
        <v>1611.8594429299935</v>
      </c>
      <c r="AJ66" s="13">
        <f t="shared" ca="1" si="223"/>
        <v>1934.2313315159938</v>
      </c>
      <c r="AK66" s="13">
        <f t="shared" ca="1" si="223"/>
        <v>2256.6032201019948</v>
      </c>
      <c r="AL66" s="13">
        <f t="shared" ca="1" si="223"/>
        <v>2578.9751086879969</v>
      </c>
      <c r="AM66" s="13">
        <f>AM56*AM57/1000000</f>
        <v>2901.3469972740004</v>
      </c>
      <c r="AN66" s="13"/>
      <c r="AO66" s="13"/>
      <c r="AP66" s="13"/>
      <c r="AQ66" s="13"/>
      <c r="AR66" s="13"/>
    </row>
    <row r="67" spans="1:45" x14ac:dyDescent="0.25"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hidden="1" outlineLevel="1" x14ac:dyDescent="0.25">
      <c r="A68" t="s">
        <v>108</v>
      </c>
    </row>
    <row r="69" spans="1:45" hidden="1" outlineLevel="1" x14ac:dyDescent="0.25">
      <c r="A69">
        <v>2021</v>
      </c>
      <c r="J69" s="13" t="e">
        <f>$J$59*#REF!/1000000</f>
        <v>#REF!</v>
      </c>
      <c r="K69" s="13" t="e">
        <f>$J$59*#REF!/1000000</f>
        <v>#REF!</v>
      </c>
      <c r="L69" s="13" t="e">
        <f>$J$59*#REF!/1000000</f>
        <v>#REF!</v>
      </c>
      <c r="M69" s="13" t="e">
        <f>$J$59*#REF!/1000000</f>
        <v>#REF!</v>
      </c>
      <c r="N69" s="13" t="e">
        <f>$J$59*#REF!/1000000</f>
        <v>#REF!</v>
      </c>
      <c r="O69" s="13" t="e">
        <f>$J$59*#REF!/1000000</f>
        <v>#REF!</v>
      </c>
      <c r="P69" s="13" t="e">
        <f>$J$59*#REF!/1000000</f>
        <v>#REF!</v>
      </c>
      <c r="Q69" s="13" t="e">
        <f>$J$59*#REF!/1000000</f>
        <v>#REF!</v>
      </c>
      <c r="R69" s="13" t="e">
        <f>$J$59*#REF!/1000000</f>
        <v>#REF!</v>
      </c>
      <c r="S69" s="13" t="e">
        <f>$J$59*#REF!/1000000</f>
        <v>#REF!</v>
      </c>
      <c r="T69" s="13" t="e">
        <f>$J$59*#REF!/1000000</f>
        <v>#REF!</v>
      </c>
      <c r="U69" s="13" t="e">
        <f>$J$59*#REF!/1000000</f>
        <v>#REF!</v>
      </c>
      <c r="V69" s="13" t="e">
        <f>$J$59*#REF!/1000000</f>
        <v>#REF!</v>
      </c>
      <c r="W69" s="13" t="e">
        <f>$J$59*#REF!/1000000</f>
        <v>#REF!</v>
      </c>
      <c r="X69" s="13" t="e">
        <f>$J$59*#REF!/1000000</f>
        <v>#REF!</v>
      </c>
      <c r="Y69" s="13" t="e">
        <f>$J$59*#REF!/1000000</f>
        <v>#REF!</v>
      </c>
      <c r="Z69" s="13" t="e">
        <f>$J$59*#REF!/1000000</f>
        <v>#REF!</v>
      </c>
      <c r="AA69" s="13" t="e">
        <f>$J$59*#REF!/1000000</f>
        <v>#REF!</v>
      </c>
      <c r="AB69" s="13" t="e">
        <f>$J$59*#REF!/1000000</f>
        <v>#REF!</v>
      </c>
      <c r="AC69" s="13" t="e">
        <f>$J$59*#REF!/1000000</f>
        <v>#REF!</v>
      </c>
      <c r="AD69" s="13" t="e">
        <f>$J$59*#REF!/1000000</f>
        <v>#REF!</v>
      </c>
      <c r="AE69" s="13" t="e">
        <f>$J$59*#REF!/1000000</f>
        <v>#REF!</v>
      </c>
      <c r="AF69" s="13" t="e">
        <f>$J$59*#REF!/1000000</f>
        <v>#REF!</v>
      </c>
      <c r="AG69" s="13" t="e">
        <f>$J$59*#REF!/1000000</f>
        <v>#REF!</v>
      </c>
      <c r="AH69" s="13" t="e">
        <f>$J$59*#REF!/1000000</f>
        <v>#REF!</v>
      </c>
      <c r="AI69" s="13" t="e">
        <f>$J$59*#REF!/1000000</f>
        <v>#REF!</v>
      </c>
      <c r="AJ69" s="13" t="e">
        <f>$J$59*#REF!/1000000</f>
        <v>#REF!</v>
      </c>
      <c r="AK69" s="13" t="e">
        <f>$J$59*#REF!/1000000</f>
        <v>#REF!</v>
      </c>
      <c r="AL69" s="13" t="e">
        <f>$J$59*#REF!/1000000</f>
        <v>#REF!</v>
      </c>
      <c r="AM69" s="13" t="e">
        <f>$J$59*#REF!/1000000</f>
        <v>#REF!</v>
      </c>
    </row>
    <row r="70" spans="1:45" hidden="1" outlineLevel="1" x14ac:dyDescent="0.25">
      <c r="A70">
        <v>2022</v>
      </c>
      <c r="K70" s="13" t="e">
        <f>$K$59*#REF!/1000000</f>
        <v>#REF!</v>
      </c>
      <c r="L70" s="13" t="e">
        <f>$K$59*#REF!/1000000</f>
        <v>#REF!</v>
      </c>
      <c r="M70" s="13" t="e">
        <f>$K$59*#REF!/1000000</f>
        <v>#REF!</v>
      </c>
      <c r="N70" s="13" t="e">
        <f>$K$59*#REF!/1000000</f>
        <v>#REF!</v>
      </c>
      <c r="O70" s="13" t="e">
        <f>$K$59*#REF!/1000000</f>
        <v>#REF!</v>
      </c>
      <c r="P70" s="13" t="e">
        <f>$K$59*#REF!/1000000</f>
        <v>#REF!</v>
      </c>
      <c r="Q70" s="13" t="e">
        <f>$K$59*#REF!/1000000</f>
        <v>#REF!</v>
      </c>
      <c r="R70" s="13" t="e">
        <f>$K$59*#REF!/1000000</f>
        <v>#REF!</v>
      </c>
      <c r="S70" s="13" t="e">
        <f>$K$59*#REF!/1000000</f>
        <v>#REF!</v>
      </c>
      <c r="T70" s="13" t="e">
        <f>$K$59*#REF!/1000000</f>
        <v>#REF!</v>
      </c>
      <c r="U70" s="13" t="e">
        <f>$K$59*#REF!/1000000</f>
        <v>#REF!</v>
      </c>
      <c r="V70" s="13" t="e">
        <f>$K$59*#REF!/1000000</f>
        <v>#REF!</v>
      </c>
      <c r="W70" s="13" t="e">
        <f>$K$59*#REF!/1000000</f>
        <v>#REF!</v>
      </c>
      <c r="X70" s="13" t="e">
        <f>$K$59*#REF!/1000000</f>
        <v>#REF!</v>
      </c>
      <c r="Y70" s="13" t="e">
        <f>$K$59*#REF!/1000000</f>
        <v>#REF!</v>
      </c>
      <c r="Z70" s="13" t="e">
        <f>$K$59*#REF!/1000000</f>
        <v>#REF!</v>
      </c>
      <c r="AA70" s="13" t="e">
        <f>$K$59*#REF!/1000000</f>
        <v>#REF!</v>
      </c>
      <c r="AB70" s="13" t="e">
        <f>$K$59*#REF!/1000000</f>
        <v>#REF!</v>
      </c>
      <c r="AC70" s="13" t="e">
        <f>$K$59*#REF!/1000000</f>
        <v>#REF!</v>
      </c>
      <c r="AD70" s="13" t="e">
        <f>$K$59*#REF!/1000000</f>
        <v>#REF!</v>
      </c>
      <c r="AE70" s="13" t="e">
        <f>$K$59*#REF!/1000000</f>
        <v>#REF!</v>
      </c>
      <c r="AF70" s="13" t="e">
        <f>$K$59*#REF!/1000000</f>
        <v>#REF!</v>
      </c>
      <c r="AG70" s="13" t="e">
        <f>$K$59*#REF!/1000000</f>
        <v>#REF!</v>
      </c>
      <c r="AH70" s="13" t="e">
        <f>$K$59*#REF!/1000000</f>
        <v>#REF!</v>
      </c>
      <c r="AI70" s="13" t="e">
        <f>$K$59*#REF!/1000000</f>
        <v>#REF!</v>
      </c>
      <c r="AJ70" s="13" t="e">
        <f>$K$59*#REF!/1000000</f>
        <v>#REF!</v>
      </c>
      <c r="AK70" s="13" t="e">
        <f>$K$59*#REF!/1000000</f>
        <v>#REF!</v>
      </c>
      <c r="AL70" s="13" t="e">
        <f>$K$59*#REF!/1000000</f>
        <v>#REF!</v>
      </c>
      <c r="AM70" s="13" t="e">
        <f>$K$59*#REF!/1000000</f>
        <v>#REF!</v>
      </c>
    </row>
    <row r="71" spans="1:45" hidden="1" outlineLevel="1" x14ac:dyDescent="0.25">
      <c r="A71">
        <v>2023</v>
      </c>
      <c r="L71" s="13" t="e">
        <f>$L$59*#REF!/1000000</f>
        <v>#REF!</v>
      </c>
      <c r="M71" s="13" t="e">
        <f>$L$59*#REF!/1000000</f>
        <v>#REF!</v>
      </c>
      <c r="N71" s="13" t="e">
        <f>$L$59*#REF!/1000000</f>
        <v>#REF!</v>
      </c>
      <c r="O71" s="13" t="e">
        <f>$L$59*#REF!/1000000</f>
        <v>#REF!</v>
      </c>
      <c r="P71" s="13" t="e">
        <f>$L$59*#REF!/1000000</f>
        <v>#REF!</v>
      </c>
      <c r="Q71" s="13" t="e">
        <f>$L$59*#REF!/1000000</f>
        <v>#REF!</v>
      </c>
      <c r="R71" s="13" t="e">
        <f>$L$59*#REF!/1000000</f>
        <v>#REF!</v>
      </c>
      <c r="S71" s="13" t="e">
        <f>$L$59*#REF!/1000000</f>
        <v>#REF!</v>
      </c>
      <c r="T71" s="13" t="e">
        <f>$L$59*#REF!/1000000</f>
        <v>#REF!</v>
      </c>
      <c r="U71" s="13" t="e">
        <f>$L$59*#REF!/1000000</f>
        <v>#REF!</v>
      </c>
      <c r="V71" s="13" t="e">
        <f>$L$59*#REF!/1000000</f>
        <v>#REF!</v>
      </c>
      <c r="W71" s="13" t="e">
        <f>$L$59*#REF!/1000000</f>
        <v>#REF!</v>
      </c>
      <c r="X71" s="13" t="e">
        <f>$L$59*#REF!/1000000</f>
        <v>#REF!</v>
      </c>
      <c r="Y71" s="13" t="e">
        <f>$L$59*#REF!/1000000</f>
        <v>#REF!</v>
      </c>
      <c r="Z71" s="13" t="e">
        <f>$L$59*#REF!/1000000</f>
        <v>#REF!</v>
      </c>
      <c r="AA71" s="13" t="e">
        <f>$L$59*#REF!/1000000</f>
        <v>#REF!</v>
      </c>
      <c r="AB71" s="13" t="e">
        <f>$L$59*#REF!/1000000</f>
        <v>#REF!</v>
      </c>
      <c r="AC71" s="13" t="e">
        <f>$L$59*#REF!/1000000</f>
        <v>#REF!</v>
      </c>
      <c r="AD71" s="13" t="e">
        <f>$L$59*#REF!/1000000</f>
        <v>#REF!</v>
      </c>
      <c r="AE71" s="13" t="e">
        <f>$L$59*#REF!/1000000</f>
        <v>#REF!</v>
      </c>
      <c r="AF71" s="13" t="e">
        <f>$L$59*#REF!/1000000</f>
        <v>#REF!</v>
      </c>
      <c r="AG71" s="13" t="e">
        <f>$L$59*#REF!/1000000</f>
        <v>#REF!</v>
      </c>
      <c r="AH71" s="13" t="e">
        <f>$L$59*#REF!/1000000</f>
        <v>#REF!</v>
      </c>
      <c r="AI71" s="13" t="e">
        <f>$L$59*#REF!/1000000</f>
        <v>#REF!</v>
      </c>
      <c r="AJ71" s="13" t="e">
        <f>$L$59*#REF!/1000000</f>
        <v>#REF!</v>
      </c>
      <c r="AK71" s="13" t="e">
        <f>$L$59*#REF!/1000000</f>
        <v>#REF!</v>
      </c>
      <c r="AL71" s="13" t="e">
        <f>$L$59*#REF!/1000000</f>
        <v>#REF!</v>
      </c>
      <c r="AM71" s="13" t="e">
        <f>$L$59*#REF!/1000000</f>
        <v>#REF!</v>
      </c>
    </row>
    <row r="72" spans="1:45" hidden="1" outlineLevel="1" x14ac:dyDescent="0.25">
      <c r="A72">
        <v>2024</v>
      </c>
      <c r="M72" s="13" t="e">
        <f>$M$59*#REF!/1000000</f>
        <v>#REF!</v>
      </c>
      <c r="N72" s="13" t="e">
        <f>$M$59*#REF!/1000000</f>
        <v>#REF!</v>
      </c>
      <c r="O72" s="13" t="e">
        <f>$M$59*#REF!/1000000</f>
        <v>#REF!</v>
      </c>
      <c r="P72" s="13" t="e">
        <f>$M$59*#REF!/1000000</f>
        <v>#REF!</v>
      </c>
      <c r="Q72" s="13" t="e">
        <f>$M$59*#REF!/1000000</f>
        <v>#REF!</v>
      </c>
      <c r="R72" s="13" t="e">
        <f>$M$59*#REF!/1000000</f>
        <v>#REF!</v>
      </c>
      <c r="S72" s="13" t="e">
        <f>$M$59*#REF!/1000000</f>
        <v>#REF!</v>
      </c>
      <c r="T72" s="13" t="e">
        <f>$M$59*#REF!/1000000</f>
        <v>#REF!</v>
      </c>
      <c r="U72" s="13" t="e">
        <f>$M$59*#REF!/1000000</f>
        <v>#REF!</v>
      </c>
      <c r="V72" s="13" t="e">
        <f>$M$59*#REF!/1000000</f>
        <v>#REF!</v>
      </c>
      <c r="W72" s="13" t="e">
        <f>$M$59*#REF!/1000000</f>
        <v>#REF!</v>
      </c>
      <c r="X72" s="13" t="e">
        <f>$M$59*#REF!/1000000</f>
        <v>#REF!</v>
      </c>
      <c r="Y72" s="13" t="e">
        <f>$M$59*#REF!/1000000</f>
        <v>#REF!</v>
      </c>
      <c r="Z72" s="13" t="e">
        <f>$M$59*#REF!/1000000</f>
        <v>#REF!</v>
      </c>
      <c r="AA72" s="13" t="e">
        <f>$M$59*#REF!/1000000</f>
        <v>#REF!</v>
      </c>
      <c r="AB72" s="13" t="e">
        <f>$M$59*#REF!/1000000</f>
        <v>#REF!</v>
      </c>
      <c r="AC72" s="13" t="e">
        <f>$M$59*#REF!/1000000</f>
        <v>#REF!</v>
      </c>
      <c r="AD72" s="13" t="e">
        <f>$M$59*#REF!/1000000</f>
        <v>#REF!</v>
      </c>
      <c r="AE72" s="13" t="e">
        <f>$M$59*#REF!/1000000</f>
        <v>#REF!</v>
      </c>
      <c r="AF72" s="13" t="e">
        <f>$M$59*#REF!/1000000</f>
        <v>#REF!</v>
      </c>
      <c r="AG72" s="13" t="e">
        <f>$M$59*#REF!/1000000</f>
        <v>#REF!</v>
      </c>
      <c r="AH72" s="13" t="e">
        <f>$M$59*#REF!/1000000</f>
        <v>#REF!</v>
      </c>
      <c r="AI72" s="13" t="e">
        <f>$M$59*#REF!/1000000</f>
        <v>#REF!</v>
      </c>
      <c r="AJ72" s="13" t="e">
        <f>$M$59*#REF!/1000000</f>
        <v>#REF!</v>
      </c>
      <c r="AK72" s="13" t="e">
        <f>$M$59*#REF!/1000000</f>
        <v>#REF!</v>
      </c>
      <c r="AL72" s="13" t="e">
        <f>$M$59*#REF!/1000000</f>
        <v>#REF!</v>
      </c>
      <c r="AM72" s="13" t="e">
        <f>$M$59*#REF!/1000000</f>
        <v>#REF!</v>
      </c>
    </row>
    <row r="73" spans="1:45" hidden="1" outlineLevel="1" x14ac:dyDescent="0.25">
      <c r="A73">
        <v>2025</v>
      </c>
      <c r="N73" s="13" t="e">
        <f>$N$59*#REF!/1000000</f>
        <v>#REF!</v>
      </c>
      <c r="O73" s="13" t="e">
        <f>$N$59*#REF!/1000000</f>
        <v>#REF!</v>
      </c>
      <c r="P73" s="13" t="e">
        <f>$N$59*#REF!/1000000</f>
        <v>#REF!</v>
      </c>
      <c r="Q73" s="13" t="e">
        <f>$N$59*#REF!/1000000</f>
        <v>#REF!</v>
      </c>
      <c r="R73" s="13" t="e">
        <f>$N$59*#REF!/1000000</f>
        <v>#REF!</v>
      </c>
      <c r="S73" s="13" t="e">
        <f>$N$59*#REF!/1000000</f>
        <v>#REF!</v>
      </c>
      <c r="T73" s="13" t="e">
        <f>$N$59*#REF!/1000000</f>
        <v>#REF!</v>
      </c>
      <c r="U73" s="13" t="e">
        <f>$N$59*#REF!/1000000</f>
        <v>#REF!</v>
      </c>
      <c r="V73" s="13" t="e">
        <f>$N$59*#REF!/1000000</f>
        <v>#REF!</v>
      </c>
      <c r="W73" s="13" t="e">
        <f>$N$59*#REF!/1000000</f>
        <v>#REF!</v>
      </c>
      <c r="X73" s="13" t="e">
        <f>$N$59*#REF!/1000000</f>
        <v>#REF!</v>
      </c>
      <c r="Y73" s="13" t="e">
        <f>$N$59*#REF!/1000000</f>
        <v>#REF!</v>
      </c>
      <c r="Z73" s="13" t="e">
        <f>$N$59*#REF!/1000000</f>
        <v>#REF!</v>
      </c>
      <c r="AA73" s="13" t="e">
        <f>$N$59*#REF!/1000000</f>
        <v>#REF!</v>
      </c>
      <c r="AB73" s="13" t="e">
        <f>$N$59*#REF!/1000000</f>
        <v>#REF!</v>
      </c>
      <c r="AC73" s="13" t="e">
        <f>$N$59*#REF!/1000000</f>
        <v>#REF!</v>
      </c>
      <c r="AD73" s="13" t="e">
        <f>$N$59*#REF!/1000000</f>
        <v>#REF!</v>
      </c>
      <c r="AE73" s="13" t="e">
        <f>$N$59*#REF!/1000000</f>
        <v>#REF!</v>
      </c>
      <c r="AF73" s="13" t="e">
        <f>$N$59*#REF!/1000000</f>
        <v>#REF!</v>
      </c>
      <c r="AG73" s="13" t="e">
        <f>$N$59*#REF!/1000000</f>
        <v>#REF!</v>
      </c>
      <c r="AH73" s="13" t="e">
        <f>$N$59*#REF!/1000000</f>
        <v>#REF!</v>
      </c>
      <c r="AI73" s="13" t="e">
        <f>$N$59*#REF!/1000000</f>
        <v>#REF!</v>
      </c>
      <c r="AJ73" s="13" t="e">
        <f>$N$59*#REF!/1000000</f>
        <v>#REF!</v>
      </c>
      <c r="AK73" s="13" t="e">
        <f>$N$59*#REF!/1000000</f>
        <v>#REF!</v>
      </c>
      <c r="AL73" s="13" t="e">
        <f>$N$59*#REF!/1000000</f>
        <v>#REF!</v>
      </c>
      <c r="AM73" s="13" t="e">
        <f>$N$59*#REF!/1000000</f>
        <v>#REF!</v>
      </c>
    </row>
    <row r="74" spans="1:45" hidden="1" outlineLevel="1" x14ac:dyDescent="0.25">
      <c r="A74">
        <v>2026</v>
      </c>
      <c r="O74" s="13" t="e">
        <f>$O$59*#REF!/1000000</f>
        <v>#REF!</v>
      </c>
      <c r="P74" s="13" t="e">
        <f>$O$59*#REF!/1000000</f>
        <v>#REF!</v>
      </c>
      <c r="Q74" s="13" t="e">
        <f>$O$59*#REF!/1000000</f>
        <v>#REF!</v>
      </c>
      <c r="R74" s="13" t="e">
        <f>$O$59*#REF!/1000000</f>
        <v>#REF!</v>
      </c>
      <c r="S74" s="13" t="e">
        <f>$O$59*#REF!/1000000</f>
        <v>#REF!</v>
      </c>
      <c r="T74" s="13" t="e">
        <f>$O$59*#REF!/1000000</f>
        <v>#REF!</v>
      </c>
      <c r="U74" s="13" t="e">
        <f>$O$59*#REF!/1000000</f>
        <v>#REF!</v>
      </c>
      <c r="V74" s="13" t="e">
        <f>$O$59*#REF!/1000000</f>
        <v>#REF!</v>
      </c>
      <c r="W74" s="13" t="e">
        <f>$O$59*#REF!/1000000</f>
        <v>#REF!</v>
      </c>
      <c r="X74" s="13" t="e">
        <f>$O$59*#REF!/1000000</f>
        <v>#REF!</v>
      </c>
      <c r="Y74" s="13" t="e">
        <f>$O$59*#REF!/1000000</f>
        <v>#REF!</v>
      </c>
      <c r="Z74" s="13" t="e">
        <f>$O$59*#REF!/1000000</f>
        <v>#REF!</v>
      </c>
      <c r="AA74" s="13" t="e">
        <f>$O$59*#REF!/1000000</f>
        <v>#REF!</v>
      </c>
      <c r="AB74" s="13" t="e">
        <f>$O$59*#REF!/1000000</f>
        <v>#REF!</v>
      </c>
      <c r="AC74" s="13" t="e">
        <f>$O$59*#REF!/1000000</f>
        <v>#REF!</v>
      </c>
      <c r="AD74" s="13" t="e">
        <f>$O$59*#REF!/1000000</f>
        <v>#REF!</v>
      </c>
      <c r="AE74" s="13" t="e">
        <f>$O$59*#REF!/1000000</f>
        <v>#REF!</v>
      </c>
      <c r="AF74" s="13" t="e">
        <f>$O$59*#REF!/1000000</f>
        <v>#REF!</v>
      </c>
      <c r="AG74" s="13" t="e">
        <f>$O$59*#REF!/1000000</f>
        <v>#REF!</v>
      </c>
      <c r="AH74" s="13" t="e">
        <f>$O$59*#REF!/1000000</f>
        <v>#REF!</v>
      </c>
      <c r="AI74" s="13" t="e">
        <f>$O$59*#REF!/1000000</f>
        <v>#REF!</v>
      </c>
      <c r="AJ74" s="13" t="e">
        <f>$O$59*#REF!/1000000</f>
        <v>#REF!</v>
      </c>
      <c r="AK74" s="13" t="e">
        <f>$O$59*#REF!/1000000</f>
        <v>#REF!</v>
      </c>
      <c r="AL74" s="13" t="e">
        <f>$O$59*#REF!/1000000</f>
        <v>#REF!</v>
      </c>
      <c r="AM74" s="13" t="e">
        <f>$O$59*#REF!/1000000</f>
        <v>#REF!</v>
      </c>
    </row>
    <row r="75" spans="1:45" hidden="1" outlineLevel="1" x14ac:dyDescent="0.25">
      <c r="A75">
        <v>2027</v>
      </c>
      <c r="P75" s="13" t="e">
        <f>$P$59*#REF!/1000000</f>
        <v>#REF!</v>
      </c>
      <c r="Q75" s="13" t="e">
        <f>$P$59*#REF!/1000000</f>
        <v>#REF!</v>
      </c>
      <c r="R75" s="13" t="e">
        <f>$P$59*#REF!/1000000</f>
        <v>#REF!</v>
      </c>
      <c r="S75" s="13" t="e">
        <f>$P$59*#REF!/1000000</f>
        <v>#REF!</v>
      </c>
      <c r="T75" s="13" t="e">
        <f>$P$59*#REF!/1000000</f>
        <v>#REF!</v>
      </c>
      <c r="U75" s="13" t="e">
        <f>$P$59*#REF!/1000000</f>
        <v>#REF!</v>
      </c>
      <c r="V75" s="13" t="e">
        <f>$P$59*#REF!/1000000</f>
        <v>#REF!</v>
      </c>
      <c r="W75" s="13" t="e">
        <f>$P$59*#REF!/1000000</f>
        <v>#REF!</v>
      </c>
      <c r="X75" s="13" t="e">
        <f>$P$59*#REF!/1000000</f>
        <v>#REF!</v>
      </c>
      <c r="Y75" s="13" t="e">
        <f>$P$59*#REF!/1000000</f>
        <v>#REF!</v>
      </c>
      <c r="Z75" s="13" t="e">
        <f>$P$59*#REF!/1000000</f>
        <v>#REF!</v>
      </c>
      <c r="AA75" s="13" t="e">
        <f>$P$59*#REF!/1000000</f>
        <v>#REF!</v>
      </c>
      <c r="AB75" s="13" t="e">
        <f>$P$59*#REF!/1000000</f>
        <v>#REF!</v>
      </c>
      <c r="AC75" s="13" t="e">
        <f>$P$59*#REF!/1000000</f>
        <v>#REF!</v>
      </c>
      <c r="AD75" s="13" t="e">
        <f>$P$59*#REF!/1000000</f>
        <v>#REF!</v>
      </c>
      <c r="AE75" s="13" t="e">
        <f>$P$59*#REF!/1000000</f>
        <v>#REF!</v>
      </c>
      <c r="AF75" s="13" t="e">
        <f>$P$59*#REF!/1000000</f>
        <v>#REF!</v>
      </c>
      <c r="AG75" s="13" t="e">
        <f>$P$59*#REF!/1000000</f>
        <v>#REF!</v>
      </c>
      <c r="AH75" s="13" t="e">
        <f>$P$59*#REF!/1000000</f>
        <v>#REF!</v>
      </c>
      <c r="AI75" s="13" t="e">
        <f>$P$59*#REF!/1000000</f>
        <v>#REF!</v>
      </c>
      <c r="AJ75" s="13" t="e">
        <f>$P$59*#REF!/1000000</f>
        <v>#REF!</v>
      </c>
      <c r="AK75" s="13" t="e">
        <f>$P$59*#REF!/1000000</f>
        <v>#REF!</v>
      </c>
      <c r="AL75" s="13" t="e">
        <f>$P$59*#REF!/1000000</f>
        <v>#REF!</v>
      </c>
      <c r="AM75" s="13" t="e">
        <f>$P$59*#REF!/1000000</f>
        <v>#REF!</v>
      </c>
    </row>
    <row r="76" spans="1:45" hidden="1" outlineLevel="1" x14ac:dyDescent="0.25">
      <c r="A76">
        <v>2028</v>
      </c>
      <c r="Q76" s="13" t="e">
        <f>$Q$59*#REF!/1000000</f>
        <v>#REF!</v>
      </c>
      <c r="R76" s="13" t="e">
        <f>$Q$59*#REF!/1000000</f>
        <v>#REF!</v>
      </c>
      <c r="S76" s="13" t="e">
        <f>$Q$59*#REF!/1000000</f>
        <v>#REF!</v>
      </c>
      <c r="T76" s="13" t="e">
        <f>$Q$59*#REF!/1000000</f>
        <v>#REF!</v>
      </c>
      <c r="U76" s="13" t="e">
        <f>$Q$59*#REF!/1000000</f>
        <v>#REF!</v>
      </c>
      <c r="V76" s="13" t="e">
        <f>$Q$59*#REF!/1000000</f>
        <v>#REF!</v>
      </c>
      <c r="W76" s="13" t="e">
        <f>$Q$59*#REF!/1000000</f>
        <v>#REF!</v>
      </c>
      <c r="X76" s="13" t="e">
        <f>$Q$59*#REF!/1000000</f>
        <v>#REF!</v>
      </c>
      <c r="Y76" s="13" t="e">
        <f>$Q$59*#REF!/1000000</f>
        <v>#REF!</v>
      </c>
      <c r="Z76" s="13" t="e">
        <f>$Q$59*#REF!/1000000</f>
        <v>#REF!</v>
      </c>
      <c r="AA76" s="13" t="e">
        <f>$Q$59*#REF!/1000000</f>
        <v>#REF!</v>
      </c>
      <c r="AB76" s="13" t="e">
        <f>$Q$59*#REF!/1000000</f>
        <v>#REF!</v>
      </c>
      <c r="AC76" s="13" t="e">
        <f>$Q$59*#REF!/1000000</f>
        <v>#REF!</v>
      </c>
      <c r="AD76" s="13" t="e">
        <f>$Q$59*#REF!/1000000</f>
        <v>#REF!</v>
      </c>
      <c r="AE76" s="13" t="e">
        <f>$Q$59*#REF!/1000000</f>
        <v>#REF!</v>
      </c>
      <c r="AF76" s="13" t="e">
        <f>$Q$59*#REF!/1000000</f>
        <v>#REF!</v>
      </c>
      <c r="AG76" s="13" t="e">
        <f>$Q$59*#REF!/1000000</f>
        <v>#REF!</v>
      </c>
      <c r="AH76" s="13" t="e">
        <f>$Q$59*#REF!/1000000</f>
        <v>#REF!</v>
      </c>
      <c r="AI76" s="13" t="e">
        <f>$Q$59*#REF!/1000000</f>
        <v>#REF!</v>
      </c>
      <c r="AJ76" s="13" t="e">
        <f>$Q$59*#REF!/1000000</f>
        <v>#REF!</v>
      </c>
      <c r="AK76" s="13" t="e">
        <f>$Q$59*#REF!/1000000</f>
        <v>#REF!</v>
      </c>
      <c r="AL76" s="13" t="e">
        <f>$Q$59*#REF!/1000000</f>
        <v>#REF!</v>
      </c>
      <c r="AM76" s="13" t="e">
        <f>$Q$59*#REF!/1000000</f>
        <v>#REF!</v>
      </c>
    </row>
    <row r="77" spans="1:45" hidden="1" outlineLevel="1" x14ac:dyDescent="0.25">
      <c r="A77">
        <v>2029</v>
      </c>
      <c r="R77" s="13" t="e">
        <f>$R$59*#REF!/1000000</f>
        <v>#REF!</v>
      </c>
      <c r="S77" s="13" t="e">
        <f>$R$59*#REF!/1000000</f>
        <v>#REF!</v>
      </c>
      <c r="T77" s="13" t="e">
        <f>$R$59*#REF!/1000000</f>
        <v>#REF!</v>
      </c>
      <c r="U77" s="13" t="e">
        <f>$R$59*#REF!/1000000</f>
        <v>#REF!</v>
      </c>
      <c r="V77" s="13" t="e">
        <f>$R$59*#REF!/1000000</f>
        <v>#REF!</v>
      </c>
      <c r="W77" s="13" t="e">
        <f>$R$59*#REF!/1000000</f>
        <v>#REF!</v>
      </c>
      <c r="X77" s="13" t="e">
        <f>$R$59*#REF!/1000000</f>
        <v>#REF!</v>
      </c>
      <c r="Y77" s="13" t="e">
        <f>$R$59*#REF!/1000000</f>
        <v>#REF!</v>
      </c>
      <c r="Z77" s="13" t="e">
        <f>$R$59*#REF!/1000000</f>
        <v>#REF!</v>
      </c>
      <c r="AA77" s="13" t="e">
        <f>$R$59*#REF!/1000000</f>
        <v>#REF!</v>
      </c>
      <c r="AB77" s="13" t="e">
        <f>$R$59*#REF!/1000000</f>
        <v>#REF!</v>
      </c>
      <c r="AC77" s="13" t="e">
        <f>$R$59*#REF!/1000000</f>
        <v>#REF!</v>
      </c>
      <c r="AD77" s="13" t="e">
        <f>$R$59*#REF!/1000000</f>
        <v>#REF!</v>
      </c>
      <c r="AE77" s="13" t="e">
        <f>$R$59*#REF!/1000000</f>
        <v>#REF!</v>
      </c>
      <c r="AF77" s="13" t="e">
        <f>$R$59*#REF!/1000000</f>
        <v>#REF!</v>
      </c>
      <c r="AG77" s="13" t="e">
        <f>$R$59*#REF!/1000000</f>
        <v>#REF!</v>
      </c>
      <c r="AH77" s="13" t="e">
        <f>$R$59*#REF!/1000000</f>
        <v>#REF!</v>
      </c>
      <c r="AI77" s="13" t="e">
        <f>$R$59*#REF!/1000000</f>
        <v>#REF!</v>
      </c>
      <c r="AJ77" s="13" t="e">
        <f>$R$59*#REF!/1000000</f>
        <v>#REF!</v>
      </c>
      <c r="AK77" s="13" t="e">
        <f>$R$59*#REF!/1000000</f>
        <v>#REF!</v>
      </c>
      <c r="AL77" s="13" t="e">
        <f>$R$59*#REF!/1000000</f>
        <v>#REF!</v>
      </c>
      <c r="AM77" s="13" t="e">
        <f>$R$59*#REF!/1000000</f>
        <v>#REF!</v>
      </c>
    </row>
    <row r="78" spans="1:45" hidden="1" outlineLevel="1" x14ac:dyDescent="0.25">
      <c r="A78">
        <v>2030</v>
      </c>
      <c r="S78" s="13" t="e">
        <f>$S$59*#REF!/1000000</f>
        <v>#REF!</v>
      </c>
      <c r="T78" s="13" t="e">
        <f>$S$59*#REF!/1000000</f>
        <v>#REF!</v>
      </c>
      <c r="U78" s="13" t="e">
        <f>$S$59*#REF!/1000000</f>
        <v>#REF!</v>
      </c>
      <c r="V78" s="13" t="e">
        <f>$S$59*#REF!/1000000</f>
        <v>#REF!</v>
      </c>
      <c r="W78" s="13" t="e">
        <f>$S$59*#REF!/1000000</f>
        <v>#REF!</v>
      </c>
      <c r="X78" s="13" t="e">
        <f>$S$59*#REF!/1000000</f>
        <v>#REF!</v>
      </c>
      <c r="Y78" s="13" t="e">
        <f>$S$59*#REF!/1000000</f>
        <v>#REF!</v>
      </c>
      <c r="Z78" s="13" t="e">
        <f>$S$59*#REF!/1000000</f>
        <v>#REF!</v>
      </c>
      <c r="AA78" s="13" t="e">
        <f>$S$59*#REF!/1000000</f>
        <v>#REF!</v>
      </c>
      <c r="AB78" s="13" t="e">
        <f>$S$59*#REF!/1000000</f>
        <v>#REF!</v>
      </c>
      <c r="AC78" s="13" t="e">
        <f>$S$59*#REF!/1000000</f>
        <v>#REF!</v>
      </c>
      <c r="AD78" s="13" t="e">
        <f>$S$59*#REF!/1000000</f>
        <v>#REF!</v>
      </c>
      <c r="AE78" s="13" t="e">
        <f>$S$59*#REF!/1000000</f>
        <v>#REF!</v>
      </c>
      <c r="AF78" s="13" t="e">
        <f>$S$59*#REF!/1000000</f>
        <v>#REF!</v>
      </c>
      <c r="AG78" s="13" t="e">
        <f>$S$59*#REF!/1000000</f>
        <v>#REF!</v>
      </c>
      <c r="AH78" s="13" t="e">
        <f>$S$59*#REF!/1000000</f>
        <v>#REF!</v>
      </c>
      <c r="AI78" s="13" t="e">
        <f>$S$59*#REF!/1000000</f>
        <v>#REF!</v>
      </c>
      <c r="AJ78" s="13" t="e">
        <f>$S$59*#REF!/1000000</f>
        <v>#REF!</v>
      </c>
      <c r="AK78" s="13" t="e">
        <f>$S$59*#REF!/1000000</f>
        <v>#REF!</v>
      </c>
      <c r="AL78" s="13" t="e">
        <f>$S$59*#REF!/1000000</f>
        <v>#REF!</v>
      </c>
      <c r="AM78" s="13" t="e">
        <f>$S$59*#REF!/1000000</f>
        <v>#REF!</v>
      </c>
    </row>
    <row r="79" spans="1:45" hidden="1" outlineLevel="1" x14ac:dyDescent="0.25">
      <c r="A79">
        <v>2031</v>
      </c>
      <c r="T79" s="13" t="e">
        <f>$T$59*#REF!/1000000</f>
        <v>#REF!</v>
      </c>
      <c r="U79" s="13" t="e">
        <f>$T$59*#REF!/1000000</f>
        <v>#REF!</v>
      </c>
      <c r="V79" s="13" t="e">
        <f>$T$59*#REF!/1000000</f>
        <v>#REF!</v>
      </c>
      <c r="W79" s="13" t="e">
        <f>$T$59*#REF!/1000000</f>
        <v>#REF!</v>
      </c>
      <c r="X79" s="13" t="e">
        <f>$T$59*#REF!/1000000</f>
        <v>#REF!</v>
      </c>
      <c r="Y79" s="13" t="e">
        <f>$T$59*#REF!/1000000</f>
        <v>#REF!</v>
      </c>
      <c r="Z79" s="13" t="e">
        <f>$T$59*#REF!/1000000</f>
        <v>#REF!</v>
      </c>
      <c r="AA79" s="13" t="e">
        <f>$T$59*#REF!/1000000</f>
        <v>#REF!</v>
      </c>
      <c r="AB79" s="13" t="e">
        <f>$T$59*#REF!/1000000</f>
        <v>#REF!</v>
      </c>
      <c r="AC79" s="13" t="e">
        <f>$T$59*#REF!/1000000</f>
        <v>#REF!</v>
      </c>
      <c r="AD79" s="13" t="e">
        <f>$T$59*#REF!/1000000</f>
        <v>#REF!</v>
      </c>
      <c r="AE79" s="13" t="e">
        <f>$T$59*#REF!/1000000</f>
        <v>#REF!</v>
      </c>
      <c r="AF79" s="13" t="e">
        <f>$T$59*#REF!/1000000</f>
        <v>#REF!</v>
      </c>
      <c r="AG79" s="13" t="e">
        <f>$T$59*#REF!/1000000</f>
        <v>#REF!</v>
      </c>
      <c r="AH79" s="13" t="e">
        <f>$T$59*#REF!/1000000</f>
        <v>#REF!</v>
      </c>
      <c r="AI79" s="13" t="e">
        <f>$T$59*#REF!/1000000</f>
        <v>#REF!</v>
      </c>
      <c r="AJ79" s="13" t="e">
        <f>$T$59*#REF!/1000000</f>
        <v>#REF!</v>
      </c>
      <c r="AK79" s="13" t="e">
        <f>$T$59*#REF!/1000000</f>
        <v>#REF!</v>
      </c>
      <c r="AL79" s="13" t="e">
        <f>$T$59*#REF!/1000000</f>
        <v>#REF!</v>
      </c>
      <c r="AM79" s="13" t="e">
        <f>$T$59*#REF!/1000000</f>
        <v>#REF!</v>
      </c>
    </row>
    <row r="80" spans="1:45" hidden="1" outlineLevel="1" x14ac:dyDescent="0.25">
      <c r="A80">
        <v>2032</v>
      </c>
      <c r="U80" s="13" t="e">
        <f>$U$59*#REF!/1000000</f>
        <v>#REF!</v>
      </c>
      <c r="V80" s="13" t="e">
        <f>$U$59*#REF!/1000000</f>
        <v>#REF!</v>
      </c>
      <c r="W80" s="13" t="e">
        <f>$U$59*#REF!/1000000</f>
        <v>#REF!</v>
      </c>
      <c r="X80" s="13" t="e">
        <f>$U$59*#REF!/1000000</f>
        <v>#REF!</v>
      </c>
      <c r="Y80" s="13" t="e">
        <f>$U$59*#REF!/1000000</f>
        <v>#REF!</v>
      </c>
      <c r="Z80" s="13" t="e">
        <f>$U$59*#REF!/1000000</f>
        <v>#REF!</v>
      </c>
      <c r="AA80" s="13" t="e">
        <f>$U$59*#REF!/1000000</f>
        <v>#REF!</v>
      </c>
      <c r="AB80" s="13" t="e">
        <f>$U$59*#REF!/1000000</f>
        <v>#REF!</v>
      </c>
      <c r="AC80" s="13" t="e">
        <f>$U$59*#REF!/1000000</f>
        <v>#REF!</v>
      </c>
      <c r="AD80" s="13" t="e">
        <f>$U$59*#REF!/1000000</f>
        <v>#REF!</v>
      </c>
      <c r="AE80" s="13" t="e">
        <f>$U$59*#REF!/1000000</f>
        <v>#REF!</v>
      </c>
      <c r="AF80" s="13" t="e">
        <f>$U$59*#REF!/1000000</f>
        <v>#REF!</v>
      </c>
      <c r="AG80" s="13" t="e">
        <f>$U$59*#REF!/1000000</f>
        <v>#REF!</v>
      </c>
      <c r="AH80" s="13" t="e">
        <f>$U$59*#REF!/1000000</f>
        <v>#REF!</v>
      </c>
      <c r="AI80" s="13" t="e">
        <f>$U$59*#REF!/1000000</f>
        <v>#REF!</v>
      </c>
      <c r="AJ80" s="13" t="e">
        <f>$U$59*#REF!/1000000</f>
        <v>#REF!</v>
      </c>
      <c r="AK80" s="13" t="e">
        <f>$U$59*#REF!/1000000</f>
        <v>#REF!</v>
      </c>
      <c r="AL80" s="13" t="e">
        <f>$U$59*#REF!/1000000</f>
        <v>#REF!</v>
      </c>
      <c r="AM80" s="13" t="e">
        <f>$U$59*#REF!/1000000</f>
        <v>#REF!</v>
      </c>
      <c r="AN80" s="13"/>
    </row>
    <row r="81" spans="1:56" hidden="1" outlineLevel="1" x14ac:dyDescent="0.25">
      <c r="A81">
        <v>2033</v>
      </c>
      <c r="V81" s="13" t="e">
        <f>$V$59*#REF!/1000000</f>
        <v>#REF!</v>
      </c>
      <c r="W81" s="13" t="e">
        <f>$V$59*#REF!/1000000</f>
        <v>#REF!</v>
      </c>
      <c r="X81" s="13" t="e">
        <f>$V$59*#REF!/1000000</f>
        <v>#REF!</v>
      </c>
      <c r="Y81" s="13" t="e">
        <f>$V$59*#REF!/1000000</f>
        <v>#REF!</v>
      </c>
      <c r="Z81" s="13" t="e">
        <f>$V$59*#REF!/1000000</f>
        <v>#REF!</v>
      </c>
      <c r="AA81" s="13" t="e">
        <f>$V$59*#REF!/1000000</f>
        <v>#REF!</v>
      </c>
      <c r="AB81" s="13" t="e">
        <f>$V$59*#REF!/1000000</f>
        <v>#REF!</v>
      </c>
      <c r="AC81" s="13" t="e">
        <f>$V$59*#REF!/1000000</f>
        <v>#REF!</v>
      </c>
      <c r="AD81" s="13" t="e">
        <f>$V$59*#REF!/1000000</f>
        <v>#REF!</v>
      </c>
      <c r="AE81" s="13" t="e">
        <f>$V$59*#REF!/1000000</f>
        <v>#REF!</v>
      </c>
      <c r="AF81" s="13" t="e">
        <f>$V$59*#REF!/1000000</f>
        <v>#REF!</v>
      </c>
      <c r="AG81" s="13" t="e">
        <f>$V$59*#REF!/1000000</f>
        <v>#REF!</v>
      </c>
      <c r="AH81" s="13" t="e">
        <f>$V$59*#REF!/1000000</f>
        <v>#REF!</v>
      </c>
      <c r="AI81" s="13" t="e">
        <f>$V$59*#REF!/1000000</f>
        <v>#REF!</v>
      </c>
      <c r="AJ81" s="13" t="e">
        <f>$V$59*#REF!/1000000</f>
        <v>#REF!</v>
      </c>
      <c r="AK81" s="13" t="e">
        <f>$V$59*#REF!/1000000</f>
        <v>#REF!</v>
      </c>
      <c r="AL81" s="13" t="e">
        <f>$V$59*#REF!/1000000</f>
        <v>#REF!</v>
      </c>
      <c r="AM81" s="13" t="e">
        <f>$V$59*#REF!/1000000</f>
        <v>#REF!</v>
      </c>
      <c r="AN81" s="13"/>
      <c r="AO81" s="13"/>
    </row>
    <row r="82" spans="1:56" hidden="1" outlineLevel="1" x14ac:dyDescent="0.25">
      <c r="A82">
        <v>2034</v>
      </c>
      <c r="W82" s="13" t="e">
        <f>$W$59*#REF!/1000000</f>
        <v>#REF!</v>
      </c>
      <c r="X82" s="13" t="e">
        <f>$W$59*#REF!/1000000</f>
        <v>#REF!</v>
      </c>
      <c r="Y82" s="13" t="e">
        <f>$W$59*#REF!/1000000</f>
        <v>#REF!</v>
      </c>
      <c r="Z82" s="13" t="e">
        <f>$W$59*#REF!/1000000</f>
        <v>#REF!</v>
      </c>
      <c r="AA82" s="13" t="e">
        <f>$W$59*#REF!/1000000</f>
        <v>#REF!</v>
      </c>
      <c r="AB82" s="13" t="e">
        <f>$W$59*#REF!/1000000</f>
        <v>#REF!</v>
      </c>
      <c r="AC82" s="13" t="e">
        <f>$W$59*#REF!/1000000</f>
        <v>#REF!</v>
      </c>
      <c r="AD82" s="13" t="e">
        <f>$W$59*#REF!/1000000</f>
        <v>#REF!</v>
      </c>
      <c r="AE82" s="13" t="e">
        <f>$W$59*#REF!/1000000</f>
        <v>#REF!</v>
      </c>
      <c r="AF82" s="13" t="e">
        <f>$W$59*#REF!/1000000</f>
        <v>#REF!</v>
      </c>
      <c r="AG82" s="13" t="e">
        <f>$W$59*#REF!/1000000</f>
        <v>#REF!</v>
      </c>
      <c r="AH82" s="13" t="e">
        <f>$W$59*#REF!/1000000</f>
        <v>#REF!</v>
      </c>
      <c r="AI82" s="13" t="e">
        <f>$W$59*#REF!/1000000</f>
        <v>#REF!</v>
      </c>
      <c r="AJ82" s="13" t="e">
        <f>$W$59*#REF!/1000000</f>
        <v>#REF!</v>
      </c>
      <c r="AK82" s="13" t="e">
        <f>$W$59*#REF!/1000000</f>
        <v>#REF!</v>
      </c>
      <c r="AL82" s="13" t="e">
        <f>$W$59*#REF!/1000000</f>
        <v>#REF!</v>
      </c>
      <c r="AM82" s="13" t="e">
        <f>$W$59*#REF!/1000000</f>
        <v>#REF!</v>
      </c>
      <c r="AN82" s="13"/>
      <c r="AO82" s="13"/>
      <c r="AP82" s="13"/>
    </row>
    <row r="83" spans="1:56" hidden="1" outlineLevel="1" x14ac:dyDescent="0.25">
      <c r="A83">
        <v>2035</v>
      </c>
      <c r="X83" s="13" t="e">
        <f>$X$59*#REF!/1000000</f>
        <v>#REF!</v>
      </c>
      <c r="Y83" s="13" t="e">
        <f>$X$59*#REF!/1000000</f>
        <v>#REF!</v>
      </c>
      <c r="Z83" s="13" t="e">
        <f>$X$59*#REF!/1000000</f>
        <v>#REF!</v>
      </c>
      <c r="AA83" s="13" t="e">
        <f>$X$59*#REF!/1000000</f>
        <v>#REF!</v>
      </c>
      <c r="AB83" s="13" t="e">
        <f>$X$59*#REF!/1000000</f>
        <v>#REF!</v>
      </c>
      <c r="AC83" s="13" t="e">
        <f>$X$59*#REF!/1000000</f>
        <v>#REF!</v>
      </c>
      <c r="AD83" s="13" t="e">
        <f>$X$59*#REF!/1000000</f>
        <v>#REF!</v>
      </c>
      <c r="AE83" s="13" t="e">
        <f>$X$59*#REF!/1000000</f>
        <v>#REF!</v>
      </c>
      <c r="AF83" s="13" t="e">
        <f>$X$59*#REF!/1000000</f>
        <v>#REF!</v>
      </c>
      <c r="AG83" s="13" t="e">
        <f>$X$59*#REF!/1000000</f>
        <v>#REF!</v>
      </c>
      <c r="AH83" s="13" t="e">
        <f>$X$59*#REF!/1000000</f>
        <v>#REF!</v>
      </c>
      <c r="AI83" s="13" t="e">
        <f>$X$59*#REF!/1000000</f>
        <v>#REF!</v>
      </c>
      <c r="AJ83" s="13" t="e">
        <f>$X$59*#REF!/1000000</f>
        <v>#REF!</v>
      </c>
      <c r="AK83" s="13" t="e">
        <f>$X$59*#REF!/1000000</f>
        <v>#REF!</v>
      </c>
      <c r="AL83" s="13" t="e">
        <f>$X$59*#REF!/1000000</f>
        <v>#REF!</v>
      </c>
      <c r="AM83" s="13" t="e">
        <f>$X$59*#REF!/1000000</f>
        <v>#REF!</v>
      </c>
      <c r="AN83" s="13"/>
      <c r="AO83" s="13"/>
      <c r="AP83" s="13"/>
      <c r="AQ83" s="13"/>
    </row>
    <row r="84" spans="1:56" hidden="1" outlineLevel="1" x14ac:dyDescent="0.25">
      <c r="A84">
        <v>2036</v>
      </c>
      <c r="Y84" s="13" t="e">
        <f>$Y$59*#REF!/1000000</f>
        <v>#REF!</v>
      </c>
      <c r="Z84" s="13" t="e">
        <f>$Y$59*#REF!/1000000</f>
        <v>#REF!</v>
      </c>
      <c r="AA84" s="13" t="e">
        <f>$Y$59*#REF!/1000000</f>
        <v>#REF!</v>
      </c>
      <c r="AB84" s="13" t="e">
        <f>$Y$59*#REF!/1000000</f>
        <v>#REF!</v>
      </c>
      <c r="AC84" s="13" t="e">
        <f>$Y$59*#REF!/1000000</f>
        <v>#REF!</v>
      </c>
      <c r="AD84" s="13" t="e">
        <f>$Y$59*#REF!/1000000</f>
        <v>#REF!</v>
      </c>
      <c r="AE84" s="13" t="e">
        <f>$Y$59*#REF!/1000000</f>
        <v>#REF!</v>
      </c>
      <c r="AF84" s="13" t="e">
        <f>$Y$59*#REF!/1000000</f>
        <v>#REF!</v>
      </c>
      <c r="AG84" s="13" t="e">
        <f>$Y$59*#REF!/1000000</f>
        <v>#REF!</v>
      </c>
      <c r="AH84" s="13" t="e">
        <f>$Y$59*#REF!/1000000</f>
        <v>#REF!</v>
      </c>
      <c r="AI84" s="13" t="e">
        <f>$Y$59*#REF!/1000000</f>
        <v>#REF!</v>
      </c>
      <c r="AJ84" s="13" t="e">
        <f>$Y$59*#REF!/1000000</f>
        <v>#REF!</v>
      </c>
      <c r="AK84" s="13" t="e">
        <f>$Y$59*#REF!/1000000</f>
        <v>#REF!</v>
      </c>
      <c r="AL84" s="13" t="e">
        <f>$Y$59*#REF!/1000000</f>
        <v>#REF!</v>
      </c>
      <c r="AM84" s="13" t="e">
        <f>$Y$59*#REF!/1000000</f>
        <v>#REF!</v>
      </c>
      <c r="AN84" s="13"/>
      <c r="AO84" s="13"/>
      <c r="AP84" s="13"/>
      <c r="AQ84" s="13"/>
      <c r="AR84" s="13"/>
    </row>
    <row r="85" spans="1:56" hidden="1" outlineLevel="1" x14ac:dyDescent="0.25">
      <c r="A85">
        <v>2037</v>
      </c>
      <c r="Z85" s="13" t="e">
        <f>$Z$59*#REF!/1000000</f>
        <v>#REF!</v>
      </c>
      <c r="AA85" s="13" t="e">
        <f>$Z$59*#REF!/1000000</f>
        <v>#REF!</v>
      </c>
      <c r="AB85" s="13" t="e">
        <f>$Z$59*#REF!/1000000</f>
        <v>#REF!</v>
      </c>
      <c r="AC85" s="13" t="e">
        <f>$Z$59*#REF!/1000000</f>
        <v>#REF!</v>
      </c>
      <c r="AD85" s="13" t="e">
        <f>$Z$59*#REF!/1000000</f>
        <v>#REF!</v>
      </c>
      <c r="AE85" s="13" t="e">
        <f>$Z$59*#REF!/1000000</f>
        <v>#REF!</v>
      </c>
      <c r="AF85" s="13" t="e">
        <f>$Z$59*#REF!/1000000</f>
        <v>#REF!</v>
      </c>
      <c r="AG85" s="13" t="e">
        <f>$Z$59*#REF!/1000000</f>
        <v>#REF!</v>
      </c>
      <c r="AH85" s="13" t="e">
        <f>$Z$59*#REF!/1000000</f>
        <v>#REF!</v>
      </c>
      <c r="AI85" s="13" t="e">
        <f>$Z$59*#REF!/1000000</f>
        <v>#REF!</v>
      </c>
      <c r="AJ85" s="13" t="e">
        <f>$Z$59*#REF!/1000000</f>
        <v>#REF!</v>
      </c>
      <c r="AK85" s="13" t="e">
        <f>$Z$59*#REF!/1000000</f>
        <v>#REF!</v>
      </c>
      <c r="AL85" s="13" t="e">
        <f>$Z$59*#REF!/1000000</f>
        <v>#REF!</v>
      </c>
      <c r="AM85" s="13" t="e">
        <f>$Z$59*#REF!/1000000</f>
        <v>#REF!</v>
      </c>
      <c r="AN85" s="13"/>
      <c r="AO85" s="13"/>
      <c r="AP85" s="13"/>
      <c r="AQ85" s="13"/>
      <c r="AR85" s="13"/>
      <c r="AS85" s="13"/>
    </row>
    <row r="86" spans="1:56" hidden="1" outlineLevel="1" x14ac:dyDescent="0.25">
      <c r="A86">
        <v>2038</v>
      </c>
      <c r="AA86" s="13" t="e">
        <f>$AA$59*#REF!/1000000</f>
        <v>#REF!</v>
      </c>
      <c r="AB86" s="13" t="e">
        <f>$AA$59*#REF!/1000000</f>
        <v>#REF!</v>
      </c>
      <c r="AC86" s="13" t="e">
        <f>$AA$59*#REF!/1000000</f>
        <v>#REF!</v>
      </c>
      <c r="AD86" s="13" t="e">
        <f>$AA$59*#REF!/1000000</f>
        <v>#REF!</v>
      </c>
      <c r="AE86" s="13" t="e">
        <f>$AA$59*#REF!/1000000</f>
        <v>#REF!</v>
      </c>
      <c r="AF86" s="13" t="e">
        <f>$AA$59*#REF!/1000000</f>
        <v>#REF!</v>
      </c>
      <c r="AG86" s="13" t="e">
        <f>$AA$59*#REF!/1000000</f>
        <v>#REF!</v>
      </c>
      <c r="AH86" s="13" t="e">
        <f>$AA$59*#REF!/1000000</f>
        <v>#REF!</v>
      </c>
      <c r="AI86" s="13" t="e">
        <f>$AA$59*#REF!/1000000</f>
        <v>#REF!</v>
      </c>
      <c r="AJ86" s="13" t="e">
        <f>$AA$59*#REF!/1000000</f>
        <v>#REF!</v>
      </c>
      <c r="AK86" s="13" t="e">
        <f>$AA$59*#REF!/1000000</f>
        <v>#REF!</v>
      </c>
      <c r="AL86" s="13" t="e">
        <f>$AA$59*#REF!/1000000</f>
        <v>#REF!</v>
      </c>
      <c r="AM86" s="13" t="e">
        <f>$AA$59*#REF!/1000000</f>
        <v>#REF!</v>
      </c>
      <c r="AN86" s="13"/>
      <c r="AO86" s="13"/>
      <c r="AP86" s="13"/>
      <c r="AQ86" s="13"/>
      <c r="AR86" s="13"/>
      <c r="AS86" s="13"/>
      <c r="AT86" s="13"/>
    </row>
    <row r="87" spans="1:56" hidden="1" outlineLevel="1" x14ac:dyDescent="0.25">
      <c r="A87">
        <v>2039</v>
      </c>
      <c r="AB87" s="13" t="e">
        <f>$AB$59*#REF!/1000000</f>
        <v>#REF!</v>
      </c>
      <c r="AC87" s="13" t="e">
        <f>$AB$59*#REF!/1000000</f>
        <v>#REF!</v>
      </c>
      <c r="AD87" s="13" t="e">
        <f>$AB$59*#REF!/1000000</f>
        <v>#REF!</v>
      </c>
      <c r="AE87" s="13" t="e">
        <f>$AB$59*#REF!/1000000</f>
        <v>#REF!</v>
      </c>
      <c r="AF87" s="13" t="e">
        <f>$AB$59*#REF!/1000000</f>
        <v>#REF!</v>
      </c>
      <c r="AG87" s="13" t="e">
        <f>$AB$59*#REF!/1000000</f>
        <v>#REF!</v>
      </c>
      <c r="AH87" s="13" t="e">
        <f>$AB$59*#REF!/1000000</f>
        <v>#REF!</v>
      </c>
      <c r="AI87" s="13" t="e">
        <f>$AB$59*#REF!/1000000</f>
        <v>#REF!</v>
      </c>
      <c r="AJ87" s="13" t="e">
        <f>$AB$59*#REF!/1000000</f>
        <v>#REF!</v>
      </c>
      <c r="AK87" s="13" t="e">
        <f>$AB$59*#REF!/1000000</f>
        <v>#REF!</v>
      </c>
      <c r="AL87" s="13" t="e">
        <f>$AB$59*#REF!/1000000</f>
        <v>#REF!</v>
      </c>
      <c r="AM87" s="13" t="e">
        <f>$AB$59*#REF!/1000000</f>
        <v>#REF!</v>
      </c>
      <c r="AN87" s="13"/>
      <c r="AO87" s="13"/>
      <c r="AP87" s="13"/>
      <c r="AQ87" s="13"/>
      <c r="AR87" s="13"/>
      <c r="AS87" s="13"/>
      <c r="AT87" s="13"/>
      <c r="AU87" s="13"/>
    </row>
    <row r="88" spans="1:56" hidden="1" outlineLevel="1" x14ac:dyDescent="0.25">
      <c r="A88">
        <v>2040</v>
      </c>
      <c r="AC88" s="13" t="e">
        <f>$AC$59*#REF!/1000000</f>
        <v>#REF!</v>
      </c>
      <c r="AD88" s="13" t="e">
        <f>$AC$59*#REF!/1000000</f>
        <v>#REF!</v>
      </c>
      <c r="AE88" s="13" t="e">
        <f>$AC$59*#REF!/1000000</f>
        <v>#REF!</v>
      </c>
      <c r="AF88" s="13" t="e">
        <f>$AC$59*#REF!/1000000</f>
        <v>#REF!</v>
      </c>
      <c r="AG88" s="13" t="e">
        <f>$AC$59*#REF!/1000000</f>
        <v>#REF!</v>
      </c>
      <c r="AH88" s="13" t="e">
        <f>$AC$59*#REF!/1000000</f>
        <v>#REF!</v>
      </c>
      <c r="AI88" s="13" t="e">
        <f>$AC$59*#REF!/1000000</f>
        <v>#REF!</v>
      </c>
      <c r="AJ88" s="13" t="e">
        <f>$AC$59*#REF!/1000000</f>
        <v>#REF!</v>
      </c>
      <c r="AK88" s="13" t="e">
        <f>$AC$59*#REF!/1000000</f>
        <v>#REF!</v>
      </c>
      <c r="AL88" s="13" t="e">
        <f>$AC$59*#REF!/1000000</f>
        <v>#REF!</v>
      </c>
      <c r="AM88" s="13" t="e">
        <f>$AC$59*#REF!/1000000</f>
        <v>#REF!</v>
      </c>
      <c r="AN88" s="13"/>
      <c r="AO88" s="13"/>
      <c r="AP88" s="13"/>
      <c r="AQ88" s="13"/>
      <c r="AR88" s="13"/>
      <c r="AS88" s="13"/>
      <c r="AT88" s="13"/>
      <c r="AU88" s="13"/>
      <c r="AV88" s="13"/>
    </row>
    <row r="89" spans="1:56" hidden="1" outlineLevel="1" x14ac:dyDescent="0.25">
      <c r="A89">
        <v>2041</v>
      </c>
      <c r="AD89" s="13" t="e">
        <f>$AD$59*#REF!/1000000</f>
        <v>#REF!</v>
      </c>
      <c r="AE89" s="13" t="e">
        <f>$AD$59*#REF!/1000000</f>
        <v>#REF!</v>
      </c>
      <c r="AF89" s="13" t="e">
        <f>$AD$59*#REF!/1000000</f>
        <v>#REF!</v>
      </c>
      <c r="AG89" s="13" t="e">
        <f>$AD$59*#REF!/1000000</f>
        <v>#REF!</v>
      </c>
      <c r="AH89" s="13" t="e">
        <f>$AD$59*#REF!/1000000</f>
        <v>#REF!</v>
      </c>
      <c r="AI89" s="13" t="e">
        <f>$AD$59*#REF!/1000000</f>
        <v>#REF!</v>
      </c>
      <c r="AJ89" s="13" t="e">
        <f>$AD$59*#REF!/1000000</f>
        <v>#REF!</v>
      </c>
      <c r="AK89" s="13" t="e">
        <f>$AD$59*#REF!/1000000</f>
        <v>#REF!</v>
      </c>
      <c r="AL89" s="13" t="e">
        <f>$AD$59*#REF!/1000000</f>
        <v>#REF!</v>
      </c>
      <c r="AM89" s="13" t="e">
        <f>$AD$59*#REF!/1000000</f>
        <v>#REF!</v>
      </c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1:56" hidden="1" outlineLevel="1" x14ac:dyDescent="0.25">
      <c r="A90">
        <v>2042</v>
      </c>
      <c r="AE90" s="13" t="e">
        <f ca="1">$AE$59*#REF!/1000000</f>
        <v>#REF!</v>
      </c>
      <c r="AF90" s="13" t="e">
        <f ca="1">$AE$59*#REF!/1000000</f>
        <v>#REF!</v>
      </c>
      <c r="AG90" s="13" t="e">
        <f ca="1">$AE$59*#REF!/1000000</f>
        <v>#REF!</v>
      </c>
      <c r="AH90" s="13" t="e">
        <f ca="1">$AE$59*#REF!/1000000</f>
        <v>#REF!</v>
      </c>
      <c r="AI90" s="13" t="e">
        <f ca="1">$AE$59*#REF!/1000000</f>
        <v>#REF!</v>
      </c>
      <c r="AJ90" s="13" t="e">
        <f ca="1">$AE$59*#REF!/1000000</f>
        <v>#REF!</v>
      </c>
      <c r="AK90" s="13" t="e">
        <f ca="1">$AE$59*#REF!/1000000</f>
        <v>#REF!</v>
      </c>
      <c r="AL90" s="13" t="e">
        <f ca="1">$AE$59*#REF!/1000000</f>
        <v>#REF!</v>
      </c>
      <c r="AM90" s="13" t="e">
        <f ca="1">$AE$59*#REF!/1000000</f>
        <v>#REF!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spans="1:56" hidden="1" outlineLevel="1" x14ac:dyDescent="0.25">
      <c r="A91">
        <v>2043</v>
      </c>
      <c r="AF91" s="13" t="e">
        <f ca="1">$AF$59*#REF!/1000000</f>
        <v>#REF!</v>
      </c>
      <c r="AG91" s="13" t="e">
        <f ca="1">$AF$59*#REF!/1000000</f>
        <v>#REF!</v>
      </c>
      <c r="AH91" s="13" t="e">
        <f ca="1">$AF$59*#REF!/1000000</f>
        <v>#REF!</v>
      </c>
      <c r="AI91" s="13" t="e">
        <f ca="1">$AF$59*#REF!/1000000</f>
        <v>#REF!</v>
      </c>
      <c r="AJ91" s="13" t="e">
        <f ca="1">$AF$59*#REF!/1000000</f>
        <v>#REF!</v>
      </c>
      <c r="AK91" s="13" t="e">
        <f ca="1">$AF$59*#REF!/1000000</f>
        <v>#REF!</v>
      </c>
      <c r="AL91" s="13" t="e">
        <f ca="1">$AF$59*#REF!/1000000</f>
        <v>#REF!</v>
      </c>
      <c r="AM91" s="13" t="e">
        <f ca="1">$AF$59*#REF!/1000000</f>
        <v>#REF!</v>
      </c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:56" hidden="1" outlineLevel="1" x14ac:dyDescent="0.25">
      <c r="A92">
        <v>2044</v>
      </c>
      <c r="AG92" s="13" t="e">
        <f ca="1">$AG$59*#REF!/1000000</f>
        <v>#REF!</v>
      </c>
      <c r="AH92" s="13" t="e">
        <f ca="1">$AG$59*#REF!/1000000</f>
        <v>#REF!</v>
      </c>
      <c r="AI92" s="13" t="e">
        <f ca="1">$AG$59*#REF!/1000000</f>
        <v>#REF!</v>
      </c>
      <c r="AJ92" s="13" t="e">
        <f ca="1">$AG$59*#REF!/1000000</f>
        <v>#REF!</v>
      </c>
      <c r="AK92" s="13" t="e">
        <f ca="1">$AG$59*#REF!/1000000</f>
        <v>#REF!</v>
      </c>
      <c r="AL92" s="13" t="e">
        <f ca="1">$AG$59*#REF!/1000000</f>
        <v>#REF!</v>
      </c>
      <c r="AM92" s="13" t="e">
        <f ca="1">$AG$59*#REF!/1000000</f>
        <v>#REF!</v>
      </c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spans="1:56" hidden="1" outlineLevel="1" x14ac:dyDescent="0.25">
      <c r="A93">
        <v>2045</v>
      </c>
      <c r="AH93" s="13" t="e">
        <f ca="1">$AH$59*#REF!/1000000</f>
        <v>#REF!</v>
      </c>
      <c r="AI93" s="13" t="e">
        <f ca="1">$AH$59*#REF!/1000000</f>
        <v>#REF!</v>
      </c>
      <c r="AJ93" s="13" t="e">
        <f ca="1">$AH$59*#REF!/1000000</f>
        <v>#REF!</v>
      </c>
      <c r="AK93" s="13" t="e">
        <f ca="1">$AH$59*#REF!/1000000</f>
        <v>#REF!</v>
      </c>
      <c r="AL93" s="13" t="e">
        <f ca="1">$AH$59*#REF!/1000000</f>
        <v>#REF!</v>
      </c>
      <c r="AM93" s="13" t="e">
        <f ca="1">$AH$59*#REF!/1000000</f>
        <v>#REF!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1:56" hidden="1" outlineLevel="1" x14ac:dyDescent="0.25">
      <c r="A94">
        <v>2046</v>
      </c>
      <c r="AI94" s="13" t="e">
        <f ca="1">$AI$59*#REF!/1000000</f>
        <v>#REF!</v>
      </c>
      <c r="AJ94" s="13" t="e">
        <f ca="1">$AI$59*#REF!/1000000</f>
        <v>#REF!</v>
      </c>
      <c r="AK94" s="13" t="e">
        <f ca="1">$AI$59*#REF!/1000000</f>
        <v>#REF!</v>
      </c>
      <c r="AL94" s="13" t="e">
        <f ca="1">$AI$59*#REF!/1000000</f>
        <v>#REF!</v>
      </c>
      <c r="AM94" s="13" t="e">
        <f ca="1">$AI$59*#REF!/1000000</f>
        <v>#REF!</v>
      </c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6" hidden="1" outlineLevel="1" x14ac:dyDescent="0.25">
      <c r="A95">
        <v>2047</v>
      </c>
      <c r="AJ95" s="13" t="e">
        <f ca="1">$AJ$59*#REF!/1000000</f>
        <v>#REF!</v>
      </c>
      <c r="AK95" s="13" t="e">
        <f ca="1">$AJ$59*#REF!/1000000</f>
        <v>#REF!</v>
      </c>
      <c r="AL95" s="13" t="e">
        <f ca="1">$AJ$59*#REF!/1000000</f>
        <v>#REF!</v>
      </c>
      <c r="AM95" s="13" t="e">
        <f ca="1">$AJ$59*#REF!/1000000</f>
        <v>#REF!</v>
      </c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6" hidden="1" outlineLevel="1" x14ac:dyDescent="0.25">
      <c r="A96">
        <v>2048</v>
      </c>
      <c r="AK96" s="13" t="e">
        <f ca="1">$AK$59*#REF!/1000000</f>
        <v>#REF!</v>
      </c>
      <c r="AL96" s="13" t="e">
        <f ca="1">$AK$59*#REF!/1000000</f>
        <v>#REF!</v>
      </c>
      <c r="AM96" s="13" t="e">
        <f ca="1">$AK$59*#REF!/1000000</f>
        <v>#REF!</v>
      </c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1:58" hidden="1" outlineLevel="1" x14ac:dyDescent="0.25">
      <c r="A97">
        <v>2049</v>
      </c>
      <c r="AL97" s="13" t="e">
        <f ca="1">$AL$59*#REF!/1000000</f>
        <v>#REF!</v>
      </c>
      <c r="AM97" s="13" t="e">
        <f ca="1">$AL$59*#REF!/1000000</f>
        <v>#REF!</v>
      </c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spans="1:58" hidden="1" outlineLevel="1" x14ac:dyDescent="0.25">
      <c r="A98">
        <v>2050</v>
      </c>
      <c r="AM98" s="13" t="e">
        <f ca="1">$AM$59*#REF!/1000000</f>
        <v>#REF!</v>
      </c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spans="1:58" collapsed="1" x14ac:dyDescent="0.25"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58" x14ac:dyDescent="0.25"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58" x14ac:dyDescent="0.25"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spans="1:58" x14ac:dyDescent="0.25"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</row>
    <row r="103" spans="1:58" x14ac:dyDescent="0.25"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spans="1:58" x14ac:dyDescent="0.25"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</row>
    <row r="105" spans="1:58" x14ac:dyDescent="0.25"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spans="1:58" x14ac:dyDescent="0.25"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 spans="1:58" x14ac:dyDescent="0.25"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8" x14ac:dyDescent="0.25"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8" x14ac:dyDescent="0.25"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</row>
    <row r="110" spans="1:58" x14ac:dyDescent="0.25"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spans="1:58" x14ac:dyDescent="0.25"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</sheetData>
  <dataConsolidate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workbookViewId="0">
      <pane xSplit="4650" activePane="topRight"/>
      <selection activeCell="A34" sqref="A34"/>
      <selection pane="topRight" activeCell="B11" sqref="B11"/>
    </sheetView>
  </sheetViews>
  <sheetFormatPr baseColWidth="10" defaultColWidth="9.140625" defaultRowHeight="15" outlineLevelRow="1" x14ac:dyDescent="0.25"/>
  <cols>
    <col min="1" max="1" width="35.28515625" bestFit="1" customWidth="1"/>
    <col min="2" max="2" width="11.7109375" bestFit="1" customWidth="1"/>
    <col min="3" max="5" width="11.28515625" customWidth="1"/>
    <col min="6" max="6" width="12.7109375" bestFit="1" customWidth="1"/>
    <col min="7" max="38" width="11.28515625" customWidth="1"/>
    <col min="39" max="39" width="18.7109375" bestFit="1" customWidth="1"/>
    <col min="40" max="41" width="18.7109375" customWidth="1"/>
    <col min="42" max="42" width="18" bestFit="1" customWidth="1"/>
    <col min="43" max="43" width="12.28515625" bestFit="1" customWidth="1"/>
    <col min="44" max="44" width="21" bestFit="1" customWidth="1"/>
    <col min="45" max="45" width="24" bestFit="1" customWidth="1"/>
    <col min="46" max="46" width="17.7109375" bestFit="1" customWidth="1"/>
    <col min="47" max="47" width="27.7109375" bestFit="1" customWidth="1"/>
  </cols>
  <sheetData>
    <row r="1" spans="1:47" x14ac:dyDescent="0.25">
      <c r="A1" s="5" t="s">
        <v>27</v>
      </c>
      <c r="B1" s="6">
        <v>2013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 t="s">
        <v>177</v>
      </c>
      <c r="AN1" s="6" t="s">
        <v>109</v>
      </c>
      <c r="AO1" s="6" t="s">
        <v>89</v>
      </c>
      <c r="AP1" s="6" t="s">
        <v>6</v>
      </c>
      <c r="AQ1" s="6" t="s">
        <v>30</v>
      </c>
      <c r="AR1" s="6" t="s">
        <v>31</v>
      </c>
      <c r="AS1" s="6" t="s">
        <v>7</v>
      </c>
      <c r="AT1" s="6" t="s">
        <v>20</v>
      </c>
      <c r="AU1" s="7" t="s">
        <v>23</v>
      </c>
    </row>
    <row r="2" spans="1:47" ht="15.75" thickBot="1" x14ac:dyDescent="0.3">
      <c r="A2" s="8" t="s">
        <v>180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11"/>
      <c r="AN2" s="11"/>
      <c r="AO2" s="11"/>
      <c r="AP2" s="11"/>
      <c r="AQ2" s="11"/>
      <c r="AR2" s="11"/>
      <c r="AS2" s="11"/>
      <c r="AT2" s="11"/>
      <c r="AU2" s="12"/>
    </row>
    <row r="3" spans="1:47" x14ac:dyDescent="0.25">
      <c r="A3" s="4" t="s">
        <v>19</v>
      </c>
      <c r="B3" s="75">
        <v>70</v>
      </c>
      <c r="C3" s="75">
        <v>70</v>
      </c>
      <c r="D3" s="75">
        <v>70</v>
      </c>
      <c r="E3" s="75">
        <v>70</v>
      </c>
      <c r="F3" s="75">
        <v>70</v>
      </c>
      <c r="G3" s="75">
        <v>70</v>
      </c>
      <c r="H3" s="75">
        <v>70</v>
      </c>
      <c r="I3" s="75">
        <v>70</v>
      </c>
      <c r="J3" s="75">
        <v>70</v>
      </c>
      <c r="K3" s="75">
        <v>70</v>
      </c>
      <c r="L3" s="75">
        <v>70</v>
      </c>
      <c r="M3" s="75">
        <v>70</v>
      </c>
      <c r="N3" s="75">
        <v>70</v>
      </c>
      <c r="O3" s="75">
        <v>70</v>
      </c>
      <c r="P3" s="75">
        <v>70</v>
      </c>
      <c r="Q3" s="75">
        <v>70</v>
      </c>
      <c r="R3" s="75">
        <v>70</v>
      </c>
      <c r="S3" s="75">
        <v>70</v>
      </c>
      <c r="T3" s="75">
        <v>70</v>
      </c>
      <c r="U3" s="75">
        <v>70</v>
      </c>
      <c r="V3" s="75">
        <v>70</v>
      </c>
      <c r="W3" s="75">
        <v>70</v>
      </c>
      <c r="X3" s="75">
        <v>70</v>
      </c>
      <c r="Y3" s="75">
        <v>70</v>
      </c>
      <c r="Z3" s="75">
        <v>70</v>
      </c>
      <c r="AA3" s="75">
        <v>70</v>
      </c>
      <c r="AB3" s="75">
        <v>70</v>
      </c>
      <c r="AC3" s="75">
        <v>70</v>
      </c>
      <c r="AD3" s="75">
        <v>70</v>
      </c>
      <c r="AE3" s="75">
        <v>70</v>
      </c>
      <c r="AF3" s="75">
        <v>70</v>
      </c>
      <c r="AG3" s="75">
        <v>70</v>
      </c>
      <c r="AH3" s="75">
        <v>70</v>
      </c>
      <c r="AI3" s="75">
        <v>70</v>
      </c>
      <c r="AJ3" s="75">
        <v>70</v>
      </c>
      <c r="AK3" s="75">
        <v>70</v>
      </c>
      <c r="AL3" s="75">
        <v>70</v>
      </c>
      <c r="AM3" s="88">
        <v>70</v>
      </c>
      <c r="AN3" s="59">
        <f>AO3</f>
        <v>3759</v>
      </c>
      <c r="AO3" s="59">
        <f>AP3</f>
        <v>3759</v>
      </c>
      <c r="AP3" s="59">
        <v>3759</v>
      </c>
      <c r="AQ3" s="9">
        <v>25</v>
      </c>
      <c r="AR3" s="59">
        <f>AP3/AQ3</f>
        <v>150.36000000000001</v>
      </c>
      <c r="AS3" s="59">
        <v>83</v>
      </c>
      <c r="AT3" s="9">
        <v>1.6</v>
      </c>
      <c r="AU3" s="10"/>
    </row>
    <row r="4" spans="1:47" x14ac:dyDescent="0.25">
      <c r="A4" s="4" t="s">
        <v>21</v>
      </c>
      <c r="B4" s="75">
        <v>60</v>
      </c>
      <c r="C4" s="75">
        <v>60</v>
      </c>
      <c r="D4" s="75">
        <v>60</v>
      </c>
      <c r="E4" s="75">
        <v>60</v>
      </c>
      <c r="F4" s="75">
        <v>60</v>
      </c>
      <c r="G4" s="75">
        <v>60</v>
      </c>
      <c r="H4" s="75">
        <v>60</v>
      </c>
      <c r="I4" s="75">
        <v>60</v>
      </c>
      <c r="J4" s="75">
        <v>60</v>
      </c>
      <c r="K4" s="75">
        <v>60</v>
      </c>
      <c r="L4" s="75">
        <v>60</v>
      </c>
      <c r="M4" s="75">
        <v>60</v>
      </c>
      <c r="N4" s="75">
        <v>60</v>
      </c>
      <c r="O4" s="75">
        <v>60</v>
      </c>
      <c r="P4" s="75">
        <v>60</v>
      </c>
      <c r="Q4" s="75">
        <v>60</v>
      </c>
      <c r="R4" s="75">
        <v>60</v>
      </c>
      <c r="S4" s="75">
        <v>60</v>
      </c>
      <c r="T4" s="75">
        <v>60</v>
      </c>
      <c r="U4" s="75">
        <v>60</v>
      </c>
      <c r="V4" s="75">
        <v>60</v>
      </c>
      <c r="W4" s="75">
        <v>60</v>
      </c>
      <c r="X4" s="75">
        <v>60</v>
      </c>
      <c r="Y4" s="75">
        <v>60</v>
      </c>
      <c r="Z4" s="75">
        <v>60</v>
      </c>
      <c r="AA4" s="75">
        <v>60</v>
      </c>
      <c r="AB4" s="75">
        <v>60</v>
      </c>
      <c r="AC4" s="75">
        <v>60</v>
      </c>
      <c r="AD4" s="75">
        <v>60</v>
      </c>
      <c r="AE4" s="75">
        <v>60</v>
      </c>
      <c r="AF4" s="75">
        <v>60</v>
      </c>
      <c r="AG4" s="75">
        <v>60</v>
      </c>
      <c r="AH4" s="75">
        <v>60</v>
      </c>
      <c r="AI4" s="75">
        <v>60</v>
      </c>
      <c r="AJ4" s="75">
        <v>60</v>
      </c>
      <c r="AK4" s="75">
        <v>60</v>
      </c>
      <c r="AL4" s="75">
        <v>60</v>
      </c>
      <c r="AM4" s="88">
        <v>60</v>
      </c>
      <c r="AN4" s="59">
        <f>AO4</f>
        <v>6538</v>
      </c>
      <c r="AO4" s="59">
        <f>AP4</f>
        <v>6538</v>
      </c>
      <c r="AP4" s="59">
        <v>6538</v>
      </c>
      <c r="AQ4" s="9">
        <v>25</v>
      </c>
      <c r="AR4" s="59">
        <f>AP4/AQ4</f>
        <v>261.52</v>
      </c>
      <c r="AS4" s="59">
        <v>98</v>
      </c>
      <c r="AT4" s="9"/>
      <c r="AU4" s="10"/>
    </row>
    <row r="5" spans="1:47" x14ac:dyDescent="0.25">
      <c r="A5" s="4" t="s">
        <v>22</v>
      </c>
      <c r="B5" s="87">
        <v>150</v>
      </c>
      <c r="C5" s="89">
        <f t="shared" ref="C5:Q22" ca="1" si="0">(B5+D5)/2</f>
        <v>147.05882352941165</v>
      </c>
      <c r="D5" s="89">
        <f t="shared" ca="1" si="0"/>
        <v>144.11764705882334</v>
      </c>
      <c r="E5" s="89">
        <f t="shared" ca="1" si="0"/>
        <v>141.17647058823502</v>
      </c>
      <c r="F5" s="89">
        <f t="shared" ca="1" si="0"/>
        <v>138.23529411764673</v>
      </c>
      <c r="G5" s="89">
        <f t="shared" ca="1" si="0"/>
        <v>135.29411764705844</v>
      </c>
      <c r="H5" s="89">
        <f t="shared" ca="1" si="0"/>
        <v>132.35294117647018</v>
      </c>
      <c r="I5" s="89">
        <f t="shared" ca="1" si="0"/>
        <v>129.41176470588192</v>
      </c>
      <c r="J5" s="89">
        <f t="shared" ca="1" si="0"/>
        <v>126.47058823529369</v>
      </c>
      <c r="K5" s="89">
        <f t="shared" ca="1" si="0"/>
        <v>123.52941176470547</v>
      </c>
      <c r="L5" s="89">
        <f t="shared" ca="1" si="0"/>
        <v>120.58823529411725</v>
      </c>
      <c r="M5" s="89">
        <f t="shared" ca="1" si="0"/>
        <v>117.64705882352905</v>
      </c>
      <c r="N5" s="89">
        <f t="shared" ca="1" si="0"/>
        <v>114.70588235294086</v>
      </c>
      <c r="O5" s="89">
        <f t="shared" ca="1" si="0"/>
        <v>111.76470588235267</v>
      </c>
      <c r="P5" s="89">
        <f t="shared" ca="1" si="0"/>
        <v>108.8235294117645</v>
      </c>
      <c r="Q5" s="89">
        <f t="shared" ca="1" si="0"/>
        <v>105.88235294117632</v>
      </c>
      <c r="R5" s="89">
        <f t="shared" ref="R5:R18" ca="1" si="1">(Q5+S5)/2</f>
        <v>102.94117647058816</v>
      </c>
      <c r="S5" s="87">
        <v>100</v>
      </c>
      <c r="T5" s="89">
        <f t="shared" ref="T5:AK22" ca="1" si="2">(S5+U5)/2</f>
        <v>97.499999999999915</v>
      </c>
      <c r="U5" s="89">
        <f t="shared" ca="1" si="2"/>
        <v>94.999999999999844</v>
      </c>
      <c r="V5" s="89">
        <f t="shared" ca="1" si="2"/>
        <v>92.499999999999773</v>
      </c>
      <c r="W5" s="89">
        <f t="shared" ca="1" si="2"/>
        <v>89.999999999999716</v>
      </c>
      <c r="X5" s="89">
        <f t="shared" ca="1" si="2"/>
        <v>87.499999999999673</v>
      </c>
      <c r="Y5" s="89">
        <f t="shared" ca="1" si="2"/>
        <v>84.999999999999631</v>
      </c>
      <c r="Z5" s="89">
        <f t="shared" ca="1" si="2"/>
        <v>82.499999999999602</v>
      </c>
      <c r="AA5" s="89">
        <f t="shared" ca="1" si="2"/>
        <v>79.999999999999588</v>
      </c>
      <c r="AB5" s="89">
        <f t="shared" ca="1" si="2"/>
        <v>77.499999999999574</v>
      </c>
      <c r="AC5" s="89">
        <f t="shared" ca="1" si="2"/>
        <v>74.999999999999574</v>
      </c>
      <c r="AD5" s="89">
        <f t="shared" ca="1" si="2"/>
        <v>72.499999999999588</v>
      </c>
      <c r="AE5" s="89">
        <f t="shared" ca="1" si="2"/>
        <v>69.999999999999602</v>
      </c>
      <c r="AF5" s="89">
        <f t="shared" ca="1" si="2"/>
        <v>67.499999999999631</v>
      </c>
      <c r="AG5" s="89">
        <f t="shared" ca="1" si="2"/>
        <v>64.999999999999673</v>
      </c>
      <c r="AH5" s="89">
        <f t="shared" ca="1" si="2"/>
        <v>62.499999999999716</v>
      </c>
      <c r="AI5" s="89">
        <f t="shared" ca="1" si="2"/>
        <v>59.999999999999766</v>
      </c>
      <c r="AJ5" s="89">
        <f t="shared" ca="1" si="2"/>
        <v>57.499999999999815</v>
      </c>
      <c r="AK5" s="89">
        <f t="shared" ca="1" si="2"/>
        <v>54.999999999999872</v>
      </c>
      <c r="AL5" s="89">
        <f t="shared" ref="AL5:AL18" ca="1" si="3">(AK5+AM5)/2</f>
        <v>52.499999999999936</v>
      </c>
      <c r="AM5" s="88">
        <v>50</v>
      </c>
      <c r="AN5" s="59">
        <f>AP5*15/AM5</f>
        <v>863.7</v>
      </c>
      <c r="AO5" s="59">
        <f>AP5*10/AM5</f>
        <v>575.79999999999995</v>
      </c>
      <c r="AP5" s="59">
        <v>2879</v>
      </c>
      <c r="AQ5" s="9">
        <v>20</v>
      </c>
      <c r="AR5" s="59">
        <f>AP5/AQ5</f>
        <v>143.94999999999999</v>
      </c>
      <c r="AS5" s="59">
        <v>181</v>
      </c>
      <c r="AT5" s="9"/>
      <c r="AU5" s="10"/>
    </row>
    <row r="6" spans="1:47" hidden="1" outlineLevel="1" x14ac:dyDescent="0.25">
      <c r="A6" s="4" t="s">
        <v>8</v>
      </c>
      <c r="B6" s="87">
        <v>80</v>
      </c>
      <c r="C6" s="89">
        <f t="shared" ca="1" si="0"/>
        <v>79.411764705882291</v>
      </c>
      <c r="D6" s="89">
        <f t="shared" ca="1" si="0"/>
        <v>78.823529411764582</v>
      </c>
      <c r="E6" s="89">
        <f t="shared" ca="1" si="0"/>
        <v>78.235294117646887</v>
      </c>
      <c r="F6" s="89">
        <f t="shared" ca="1" si="0"/>
        <v>77.647058823529193</v>
      </c>
      <c r="G6" s="89">
        <f t="shared" ca="1" si="0"/>
        <v>77.058823529411512</v>
      </c>
      <c r="H6" s="89">
        <f t="shared" ca="1" si="0"/>
        <v>76.470588235293846</v>
      </c>
      <c r="I6" s="89">
        <f t="shared" ca="1" si="0"/>
        <v>75.88235294117618</v>
      </c>
      <c r="J6" s="89">
        <f t="shared" ca="1" si="0"/>
        <v>75.294117647058528</v>
      </c>
      <c r="K6" s="89">
        <f t="shared" ca="1" si="0"/>
        <v>74.705882352940876</v>
      </c>
      <c r="L6" s="89">
        <f t="shared" ca="1" si="0"/>
        <v>74.117647058823238</v>
      </c>
      <c r="M6" s="89">
        <f t="shared" ca="1" si="0"/>
        <v>73.5294117647056</v>
      </c>
      <c r="N6" s="89">
        <f t="shared" ca="1" si="0"/>
        <v>72.941176470587976</v>
      </c>
      <c r="O6" s="89">
        <f t="shared" ca="1" si="0"/>
        <v>72.352941176470367</v>
      </c>
      <c r="P6" s="89">
        <f t="shared" ca="1" si="0"/>
        <v>71.764705882352757</v>
      </c>
      <c r="Q6" s="89">
        <f t="shared" ca="1" si="0"/>
        <v>71.176470588235162</v>
      </c>
      <c r="R6" s="89">
        <f t="shared" ca="1" si="1"/>
        <v>70.588235294117581</v>
      </c>
      <c r="S6" s="87">
        <v>70</v>
      </c>
      <c r="T6" s="89">
        <f t="shared" ca="1" si="2"/>
        <v>69.749999999999915</v>
      </c>
      <c r="U6" s="89">
        <f t="shared" ca="1" si="2"/>
        <v>69.499999999999844</v>
      </c>
      <c r="V6" s="89">
        <f t="shared" ca="1" si="2"/>
        <v>69.249999999999773</v>
      </c>
      <c r="W6" s="89">
        <f t="shared" ca="1" si="2"/>
        <v>68.999999999999716</v>
      </c>
      <c r="X6" s="89">
        <f t="shared" ca="1" si="2"/>
        <v>68.749999999999673</v>
      </c>
      <c r="Y6" s="89">
        <f t="shared" ca="1" si="2"/>
        <v>68.499999999999631</v>
      </c>
      <c r="Z6" s="89">
        <f t="shared" ca="1" si="2"/>
        <v>68.249999999999602</v>
      </c>
      <c r="AA6" s="89">
        <f t="shared" ca="1" si="2"/>
        <v>67.999999999999588</v>
      </c>
      <c r="AB6" s="89">
        <f t="shared" ca="1" si="2"/>
        <v>67.749999999999574</v>
      </c>
      <c r="AC6" s="89">
        <f t="shared" ca="1" si="2"/>
        <v>67.499999999999574</v>
      </c>
      <c r="AD6" s="89">
        <f t="shared" ca="1" si="2"/>
        <v>67.249999999999574</v>
      </c>
      <c r="AE6" s="89">
        <f t="shared" ca="1" si="2"/>
        <v>66.999999999999588</v>
      </c>
      <c r="AF6" s="89">
        <f t="shared" ca="1" si="2"/>
        <v>66.749999999999602</v>
      </c>
      <c r="AG6" s="89">
        <f t="shared" ca="1" si="2"/>
        <v>66.499999999999631</v>
      </c>
      <c r="AH6" s="89">
        <f t="shared" ca="1" si="2"/>
        <v>66.249999999999673</v>
      </c>
      <c r="AI6" s="89">
        <f t="shared" ca="1" si="2"/>
        <v>65.999999999999716</v>
      </c>
      <c r="AJ6" s="89">
        <f t="shared" ca="1" si="2"/>
        <v>65.749999999999773</v>
      </c>
      <c r="AK6" s="89">
        <f t="shared" ca="1" si="2"/>
        <v>65.499999999999844</v>
      </c>
      <c r="AL6" s="89">
        <f t="shared" ca="1" si="3"/>
        <v>65.249999999999915</v>
      </c>
      <c r="AM6" s="88">
        <v>65</v>
      </c>
      <c r="AN6" s="59">
        <f>AP6*8/6.5</f>
        <v>1457.2307692307693</v>
      </c>
      <c r="AO6" s="59">
        <f>AP6*7/6.5</f>
        <v>1275.0769230769231</v>
      </c>
      <c r="AP6" s="59">
        <v>1184</v>
      </c>
      <c r="AQ6" s="9">
        <v>20</v>
      </c>
      <c r="AR6" s="59">
        <f>AP6/AQ6</f>
        <v>59.2</v>
      </c>
      <c r="AS6" s="59">
        <v>47</v>
      </c>
      <c r="AT6" s="9"/>
      <c r="AU6" s="10">
        <v>208292640.72203231</v>
      </c>
    </row>
    <row r="7" spans="1:47" hidden="1" outlineLevel="1" x14ac:dyDescent="0.25">
      <c r="A7" s="4" t="s">
        <v>9</v>
      </c>
      <c r="B7" s="87">
        <v>80</v>
      </c>
      <c r="C7" s="89">
        <f t="shared" ca="1" si="0"/>
        <v>79.411764705882291</v>
      </c>
      <c r="D7" s="89">
        <f t="shared" ca="1" si="0"/>
        <v>78.823529411764582</v>
      </c>
      <c r="E7" s="89">
        <f t="shared" ca="1" si="0"/>
        <v>78.235294117646887</v>
      </c>
      <c r="F7" s="89">
        <f t="shared" ca="1" si="0"/>
        <v>77.647058823529193</v>
      </c>
      <c r="G7" s="89">
        <f t="shared" ca="1" si="0"/>
        <v>77.058823529411512</v>
      </c>
      <c r="H7" s="89">
        <f t="shared" ca="1" si="0"/>
        <v>76.470588235293846</v>
      </c>
      <c r="I7" s="89">
        <f t="shared" ca="1" si="0"/>
        <v>75.88235294117618</v>
      </c>
      <c r="J7" s="89">
        <f t="shared" ca="1" si="0"/>
        <v>75.294117647058528</v>
      </c>
      <c r="K7" s="89">
        <f t="shared" ca="1" si="0"/>
        <v>74.705882352940876</v>
      </c>
      <c r="L7" s="89">
        <f t="shared" ca="1" si="0"/>
        <v>74.117647058823238</v>
      </c>
      <c r="M7" s="89">
        <f t="shared" ca="1" si="0"/>
        <v>73.5294117647056</v>
      </c>
      <c r="N7" s="89">
        <f t="shared" ca="1" si="0"/>
        <v>72.941176470587976</v>
      </c>
      <c r="O7" s="89">
        <f t="shared" ca="1" si="0"/>
        <v>72.352941176470367</v>
      </c>
      <c r="P7" s="89">
        <f t="shared" ca="1" si="0"/>
        <v>71.764705882352757</v>
      </c>
      <c r="Q7" s="89">
        <f t="shared" ca="1" si="0"/>
        <v>71.176470588235162</v>
      </c>
      <c r="R7" s="89">
        <f t="shared" ca="1" si="1"/>
        <v>70.588235294117581</v>
      </c>
      <c r="S7" s="87">
        <v>70</v>
      </c>
      <c r="T7" s="89">
        <f t="shared" ca="1" si="2"/>
        <v>69.749999999999915</v>
      </c>
      <c r="U7" s="89">
        <f t="shared" ca="1" si="2"/>
        <v>69.499999999999844</v>
      </c>
      <c r="V7" s="89">
        <f t="shared" ca="1" si="2"/>
        <v>69.249999999999773</v>
      </c>
      <c r="W7" s="89">
        <f t="shared" ca="1" si="2"/>
        <v>68.999999999999716</v>
      </c>
      <c r="X7" s="89">
        <f t="shared" ca="1" si="2"/>
        <v>68.749999999999673</v>
      </c>
      <c r="Y7" s="89">
        <f t="shared" ca="1" si="2"/>
        <v>68.499999999999631</v>
      </c>
      <c r="Z7" s="89">
        <f t="shared" ca="1" si="2"/>
        <v>68.249999999999602</v>
      </c>
      <c r="AA7" s="89">
        <f t="shared" ca="1" si="2"/>
        <v>67.999999999999588</v>
      </c>
      <c r="AB7" s="89">
        <f t="shared" ca="1" si="2"/>
        <v>67.749999999999574</v>
      </c>
      <c r="AC7" s="89">
        <f t="shared" ca="1" si="2"/>
        <v>67.499999999999574</v>
      </c>
      <c r="AD7" s="89">
        <f t="shared" ca="1" si="2"/>
        <v>67.249999999999574</v>
      </c>
      <c r="AE7" s="89">
        <f t="shared" ca="1" si="2"/>
        <v>66.999999999999588</v>
      </c>
      <c r="AF7" s="89">
        <f t="shared" ca="1" si="2"/>
        <v>66.749999999999602</v>
      </c>
      <c r="AG7" s="89">
        <f t="shared" ca="1" si="2"/>
        <v>66.499999999999631</v>
      </c>
      <c r="AH7" s="89">
        <f t="shared" ca="1" si="2"/>
        <v>66.249999999999673</v>
      </c>
      <c r="AI7" s="89">
        <f t="shared" ca="1" si="2"/>
        <v>65.999999999999716</v>
      </c>
      <c r="AJ7" s="89">
        <f t="shared" ca="1" si="2"/>
        <v>65.749999999999773</v>
      </c>
      <c r="AK7" s="89">
        <f t="shared" ca="1" si="2"/>
        <v>65.499999999999844</v>
      </c>
      <c r="AL7" s="89">
        <f t="shared" ca="1" si="3"/>
        <v>65.249999999999915</v>
      </c>
      <c r="AM7" s="88">
        <v>65</v>
      </c>
      <c r="AN7" s="59">
        <f>AP7*8/6.5</f>
        <v>1879.3846153846155</v>
      </c>
      <c r="AO7" s="59">
        <f>AP7*7/6.5</f>
        <v>1644.4615384615386</v>
      </c>
      <c r="AP7" s="59">
        <v>1527</v>
      </c>
      <c r="AQ7" s="9">
        <v>20</v>
      </c>
      <c r="AR7" s="59">
        <f>AP7/AQ7</f>
        <v>76.349999999999994</v>
      </c>
      <c r="AS7" s="59">
        <v>61.1</v>
      </c>
      <c r="AT7" s="9"/>
      <c r="AU7" s="10">
        <v>52921510.708347961</v>
      </c>
    </row>
    <row r="8" spans="1:47" collapsed="1" x14ac:dyDescent="0.25">
      <c r="A8" s="4" t="s">
        <v>176</v>
      </c>
      <c r="B8" s="87">
        <f>S8*SUM(B6:B7)/SUM(S6:S7)</f>
        <v>80</v>
      </c>
      <c r="C8" s="89">
        <f t="shared" ca="1" si="0"/>
        <v>79.411764705882291</v>
      </c>
      <c r="D8" s="89">
        <f t="shared" ca="1" si="0"/>
        <v>78.823529411764582</v>
      </c>
      <c r="E8" s="89">
        <f t="shared" ca="1" si="0"/>
        <v>78.235294117646887</v>
      </c>
      <c r="F8" s="89">
        <f t="shared" ca="1" si="0"/>
        <v>77.647058823529193</v>
      </c>
      <c r="G8" s="89">
        <f t="shared" ca="1" si="0"/>
        <v>77.058823529411512</v>
      </c>
      <c r="H8" s="89">
        <f t="shared" ca="1" si="0"/>
        <v>76.470588235293846</v>
      </c>
      <c r="I8" s="89">
        <f t="shared" ca="1" si="0"/>
        <v>75.88235294117618</v>
      </c>
      <c r="J8" s="89">
        <f t="shared" ca="1" si="0"/>
        <v>75.294117647058528</v>
      </c>
      <c r="K8" s="89">
        <f t="shared" ca="1" si="0"/>
        <v>74.705882352940876</v>
      </c>
      <c r="L8" s="89">
        <f t="shared" ca="1" si="0"/>
        <v>74.117647058823238</v>
      </c>
      <c r="M8" s="89">
        <f t="shared" ca="1" si="0"/>
        <v>73.5294117647056</v>
      </c>
      <c r="N8" s="89">
        <f t="shared" ca="1" si="0"/>
        <v>72.941176470587976</v>
      </c>
      <c r="O8" s="89">
        <f t="shared" ca="1" si="0"/>
        <v>72.352941176470367</v>
      </c>
      <c r="P8" s="89">
        <f t="shared" ca="1" si="0"/>
        <v>71.764705882352757</v>
      </c>
      <c r="Q8" s="89">
        <f t="shared" ca="1" si="0"/>
        <v>71.176470588235162</v>
      </c>
      <c r="R8" s="89">
        <f t="shared" ca="1" si="1"/>
        <v>70.588235294117581</v>
      </c>
      <c r="S8" s="87">
        <f>AM8*SUM(S6:S7)/SUM(AM6:AM7)</f>
        <v>70</v>
      </c>
      <c r="T8" s="89">
        <f t="shared" ca="1" si="2"/>
        <v>69.749999999999915</v>
      </c>
      <c r="U8" s="89">
        <f t="shared" ca="1" si="2"/>
        <v>69.499999999999844</v>
      </c>
      <c r="V8" s="89">
        <f t="shared" ca="1" si="2"/>
        <v>69.249999999999773</v>
      </c>
      <c r="W8" s="89">
        <f t="shared" ref="W8:AK8" ca="1" si="4">(V8+X8)/2</f>
        <v>68.999999999999716</v>
      </c>
      <c r="X8" s="89">
        <f t="shared" ca="1" si="4"/>
        <v>68.749999999999673</v>
      </c>
      <c r="Y8" s="89">
        <f t="shared" ca="1" si="4"/>
        <v>68.499999999999631</v>
      </c>
      <c r="Z8" s="89">
        <f t="shared" ca="1" si="4"/>
        <v>68.249999999999602</v>
      </c>
      <c r="AA8" s="89">
        <f t="shared" ca="1" si="4"/>
        <v>67.999999999999588</v>
      </c>
      <c r="AB8" s="89">
        <f t="shared" ca="1" si="4"/>
        <v>67.749999999999574</v>
      </c>
      <c r="AC8" s="89">
        <f t="shared" ca="1" si="4"/>
        <v>67.499999999999574</v>
      </c>
      <c r="AD8" s="89">
        <f t="shared" ca="1" si="4"/>
        <v>67.249999999999574</v>
      </c>
      <c r="AE8" s="89">
        <f t="shared" ca="1" si="4"/>
        <v>66.999999999999588</v>
      </c>
      <c r="AF8" s="89">
        <f t="shared" ca="1" si="4"/>
        <v>66.749999999999602</v>
      </c>
      <c r="AG8" s="89">
        <f t="shared" ca="1" si="4"/>
        <v>66.499999999999631</v>
      </c>
      <c r="AH8" s="89">
        <f t="shared" ca="1" si="4"/>
        <v>66.249999999999673</v>
      </c>
      <c r="AI8" s="89">
        <f t="shared" ca="1" si="4"/>
        <v>65.999999999999716</v>
      </c>
      <c r="AJ8" s="89">
        <f t="shared" ca="1" si="4"/>
        <v>65.749999999999773</v>
      </c>
      <c r="AK8" s="89">
        <f t="shared" ca="1" si="4"/>
        <v>65.499999999999844</v>
      </c>
      <c r="AL8" s="89">
        <f t="shared" ca="1" si="3"/>
        <v>65.249999999999915</v>
      </c>
      <c r="AM8" s="88">
        <f>(Production!C9+Production!C10)/(Production!B9+Production!B10)*1000000</f>
        <v>65</v>
      </c>
      <c r="AN8" s="59"/>
      <c r="AO8" s="59"/>
      <c r="AP8" s="59"/>
      <c r="AQ8" s="9">
        <v>20</v>
      </c>
      <c r="AR8" s="59"/>
      <c r="AS8" s="59">
        <f>(AS6*1000*'Capacités installées'!B9+AS7*1000*'Capacités installées'!B10)/('Capacités installées'!B9*1000+'Capacités installées'!B10*1000)</f>
        <v>52.393080685713684</v>
      </c>
      <c r="AT8" s="9"/>
      <c r="AU8" s="10"/>
    </row>
    <row r="9" spans="1:47" outlineLevel="1" x14ac:dyDescent="0.25">
      <c r="A9" s="4" t="s">
        <v>10</v>
      </c>
      <c r="B9" s="87">
        <v>150</v>
      </c>
      <c r="C9" s="89">
        <f t="shared" ca="1" si="0"/>
        <v>146.76470588235284</v>
      </c>
      <c r="D9" s="89">
        <f t="shared" ca="1" si="0"/>
        <v>143.52941176470569</v>
      </c>
      <c r="E9" s="89">
        <f t="shared" ca="1" si="0"/>
        <v>140.29411764705856</v>
      </c>
      <c r="F9" s="89">
        <f t="shared" ca="1" si="0"/>
        <v>137.05882352941146</v>
      </c>
      <c r="G9" s="89">
        <f t="shared" ca="1" si="0"/>
        <v>133.82352941176435</v>
      </c>
      <c r="H9" s="89">
        <f t="shared" ca="1" si="0"/>
        <v>130.58823529411728</v>
      </c>
      <c r="I9" s="89">
        <f t="shared" ca="1" si="0"/>
        <v>127.35294117647021</v>
      </c>
      <c r="J9" s="89">
        <f t="shared" ca="1" si="0"/>
        <v>124.11764705882315</v>
      </c>
      <c r="K9" s="89">
        <f t="shared" ca="1" si="0"/>
        <v>120.88235294117609</v>
      </c>
      <c r="L9" s="89">
        <f t="shared" ca="1" si="0"/>
        <v>117.64705882352905</v>
      </c>
      <c r="M9" s="89">
        <f t="shared" ca="1" si="0"/>
        <v>114.41176470588202</v>
      </c>
      <c r="N9" s="89">
        <f t="shared" ca="1" si="0"/>
        <v>111.17647058823499</v>
      </c>
      <c r="O9" s="89">
        <f t="shared" ca="1" si="0"/>
        <v>107.94117647058798</v>
      </c>
      <c r="P9" s="89">
        <f t="shared" ca="1" si="0"/>
        <v>104.70588235294098</v>
      </c>
      <c r="Q9" s="89">
        <f t="shared" ca="1" si="0"/>
        <v>101.47058823529397</v>
      </c>
      <c r="R9" s="89">
        <f t="shared" ca="1" si="1"/>
        <v>98.235294117646987</v>
      </c>
      <c r="S9" s="87">
        <v>95</v>
      </c>
      <c r="T9" s="89">
        <f t="shared" ca="1" si="2"/>
        <v>94.249999999999915</v>
      </c>
      <c r="U9" s="89">
        <f t="shared" ca="1" si="2"/>
        <v>93.499999999999844</v>
      </c>
      <c r="V9" s="89">
        <f t="shared" ca="1" si="2"/>
        <v>92.749999999999773</v>
      </c>
      <c r="W9" s="89">
        <f t="shared" ca="1" si="2"/>
        <v>91.999999999999716</v>
      </c>
      <c r="X9" s="89">
        <f t="shared" ca="1" si="2"/>
        <v>91.249999999999673</v>
      </c>
      <c r="Y9" s="89">
        <f t="shared" ca="1" si="2"/>
        <v>90.499999999999631</v>
      </c>
      <c r="Z9" s="89">
        <f t="shared" ca="1" si="2"/>
        <v>89.749999999999602</v>
      </c>
      <c r="AA9" s="89">
        <f t="shared" ca="1" si="2"/>
        <v>88.999999999999588</v>
      </c>
      <c r="AB9" s="89">
        <f t="shared" ca="1" si="2"/>
        <v>88.249999999999574</v>
      </c>
      <c r="AC9" s="89">
        <f t="shared" ca="1" si="2"/>
        <v>87.499999999999574</v>
      </c>
      <c r="AD9" s="89">
        <f t="shared" ca="1" si="2"/>
        <v>86.749999999999574</v>
      </c>
      <c r="AE9" s="89">
        <f t="shared" ca="1" si="2"/>
        <v>85.999999999999588</v>
      </c>
      <c r="AF9" s="89">
        <f t="shared" ca="1" si="2"/>
        <v>85.249999999999602</v>
      </c>
      <c r="AG9" s="89">
        <f t="shared" ca="1" si="2"/>
        <v>84.499999999999631</v>
      </c>
      <c r="AH9" s="89">
        <f t="shared" ca="1" si="2"/>
        <v>83.749999999999673</v>
      </c>
      <c r="AI9" s="89">
        <f t="shared" ca="1" si="2"/>
        <v>82.999999999999716</v>
      </c>
      <c r="AJ9" s="89">
        <f t="shared" ca="1" si="2"/>
        <v>82.249999999999773</v>
      </c>
      <c r="AK9" s="89">
        <f t="shared" ca="1" si="2"/>
        <v>81.499999999999844</v>
      </c>
      <c r="AL9" s="89">
        <f t="shared" ca="1" si="3"/>
        <v>80.749999999999915</v>
      </c>
      <c r="AM9" s="88">
        <v>80</v>
      </c>
      <c r="AN9" s="59">
        <f>AP9*15/8</f>
        <v>4479.375</v>
      </c>
      <c r="AO9" s="59">
        <f>AP9*9.5/8</f>
        <v>2836.9375</v>
      </c>
      <c r="AP9" s="59">
        <v>2389</v>
      </c>
      <c r="AQ9" s="9">
        <v>20</v>
      </c>
      <c r="AR9" s="59">
        <f>AP9/AQ9</f>
        <v>119.45</v>
      </c>
      <c r="AS9" s="59">
        <v>143</v>
      </c>
      <c r="AT9" s="9"/>
      <c r="AU9" s="10">
        <v>41876556.038815998</v>
      </c>
    </row>
    <row r="10" spans="1:47" outlineLevel="1" x14ac:dyDescent="0.25">
      <c r="A10" s="4" t="s">
        <v>11</v>
      </c>
      <c r="B10" s="87">
        <v>450</v>
      </c>
      <c r="C10" s="89">
        <f t="shared" ca="1" si="0"/>
        <v>434.70588235294093</v>
      </c>
      <c r="D10" s="89">
        <f t="shared" ca="1" si="0"/>
        <v>419.41176470588186</v>
      </c>
      <c r="E10" s="89">
        <f t="shared" ca="1" si="0"/>
        <v>404.11764705882285</v>
      </c>
      <c r="F10" s="89">
        <f t="shared" ca="1" si="0"/>
        <v>388.8235294117639</v>
      </c>
      <c r="G10" s="89">
        <f t="shared" ca="1" si="0"/>
        <v>373.52941176470495</v>
      </c>
      <c r="H10" s="89">
        <f t="shared" ca="1" si="0"/>
        <v>358.23529411764605</v>
      </c>
      <c r="I10" s="89">
        <f t="shared" ca="1" si="0"/>
        <v>342.94117647058715</v>
      </c>
      <c r="J10" s="89">
        <f t="shared" ca="1" si="0"/>
        <v>327.64705882352831</v>
      </c>
      <c r="K10" s="89">
        <f t="shared" ca="1" si="0"/>
        <v>312.35294117646947</v>
      </c>
      <c r="L10" s="89">
        <f t="shared" ca="1" si="0"/>
        <v>297.05882352941069</v>
      </c>
      <c r="M10" s="89">
        <f t="shared" ca="1" si="0"/>
        <v>281.76470588235196</v>
      </c>
      <c r="N10" s="89">
        <f t="shared" ca="1" si="0"/>
        <v>266.47058823529323</v>
      </c>
      <c r="O10" s="89">
        <f t="shared" ca="1" si="0"/>
        <v>251.17647058823457</v>
      </c>
      <c r="P10" s="89">
        <f t="shared" ca="1" si="0"/>
        <v>235.8823529411759</v>
      </c>
      <c r="Q10" s="89">
        <f t="shared" ca="1" si="0"/>
        <v>220.58823529411725</v>
      </c>
      <c r="R10" s="89">
        <f t="shared" ca="1" si="1"/>
        <v>205.29411764705861</v>
      </c>
      <c r="S10" s="87">
        <v>190</v>
      </c>
      <c r="T10" s="89">
        <f t="shared" ca="1" si="2"/>
        <v>185.99999999999983</v>
      </c>
      <c r="U10" s="89">
        <f t="shared" ca="1" si="2"/>
        <v>181.99999999999969</v>
      </c>
      <c r="V10" s="89">
        <f t="shared" ca="1" si="2"/>
        <v>177.99999999999955</v>
      </c>
      <c r="W10" s="89">
        <f t="shared" ca="1" si="2"/>
        <v>173.99999999999943</v>
      </c>
      <c r="X10" s="89">
        <f t="shared" ca="1" si="2"/>
        <v>169.99999999999935</v>
      </c>
      <c r="Y10" s="89">
        <f t="shared" ca="1" si="2"/>
        <v>165.99999999999926</v>
      </c>
      <c r="Z10" s="89">
        <f t="shared" ca="1" si="2"/>
        <v>161.9999999999992</v>
      </c>
      <c r="AA10" s="89">
        <f t="shared" ca="1" si="2"/>
        <v>157.99999999999918</v>
      </c>
      <c r="AB10" s="89">
        <f t="shared" ca="1" si="2"/>
        <v>153.99999999999915</v>
      </c>
      <c r="AC10" s="89">
        <f t="shared" ca="1" si="2"/>
        <v>149.99999999999915</v>
      </c>
      <c r="AD10" s="89">
        <f t="shared" ca="1" si="2"/>
        <v>145.99999999999918</v>
      </c>
      <c r="AE10" s="89">
        <f t="shared" ca="1" si="2"/>
        <v>141.9999999999992</v>
      </c>
      <c r="AF10" s="89">
        <f t="shared" ca="1" si="2"/>
        <v>137.99999999999926</v>
      </c>
      <c r="AG10" s="89">
        <f t="shared" ca="1" si="2"/>
        <v>133.99999999999935</v>
      </c>
      <c r="AH10" s="89">
        <f t="shared" ca="1" si="2"/>
        <v>129.99999999999943</v>
      </c>
      <c r="AI10" s="89">
        <f t="shared" ca="1" si="2"/>
        <v>125.99999999999953</v>
      </c>
      <c r="AJ10" s="89">
        <f t="shared" ca="1" si="2"/>
        <v>121.99999999999963</v>
      </c>
      <c r="AK10" s="89">
        <f t="shared" ca="1" si="2"/>
        <v>117.99999999999974</v>
      </c>
      <c r="AL10" s="89">
        <f t="shared" ca="1" si="3"/>
        <v>113.99999999999987</v>
      </c>
      <c r="AM10" s="88">
        <v>110</v>
      </c>
      <c r="AN10" s="59">
        <f>AP10*45/AM10</f>
        <v>1111.090909090909</v>
      </c>
      <c r="AO10" s="59">
        <f>AP10*19/AM10</f>
        <v>469.12727272727273</v>
      </c>
      <c r="AP10" s="59">
        <v>2716</v>
      </c>
      <c r="AQ10" s="9">
        <v>20</v>
      </c>
      <c r="AR10" s="59">
        <f>AP10/AQ10</f>
        <v>135.80000000000001</v>
      </c>
      <c r="AS10" s="59">
        <v>272</v>
      </c>
      <c r="AT10" s="9"/>
      <c r="AU10" s="10">
        <v>0</v>
      </c>
    </row>
    <row r="11" spans="1:47" x14ac:dyDescent="0.25">
      <c r="A11" s="4" t="s">
        <v>178</v>
      </c>
      <c r="B11" s="87">
        <f>S11*(B9+B10*0)/(S9+S10*0)</f>
        <v>172.0735623748258</v>
      </c>
      <c r="C11" s="89">
        <f t="shared" ca="1" si="0"/>
        <v>168.36138194329601</v>
      </c>
      <c r="D11" s="89">
        <f t="shared" ca="1" si="0"/>
        <v>164.64925484996041</v>
      </c>
      <c r="E11" s="89">
        <f t="shared" ca="1" si="0"/>
        <v>160.93720416210675</v>
      </c>
      <c r="F11" s="89">
        <f t="shared" ca="1" si="0"/>
        <v>157.22524958843564</v>
      </c>
      <c r="G11" s="89">
        <f t="shared" ca="1" si="0"/>
        <v>153.51340692701712</v>
      </c>
      <c r="H11" s="89">
        <f t="shared" ca="1" si="0"/>
        <v>149.8016876639245</v>
      </c>
      <c r="I11" s="89">
        <f t="shared" ca="1" si="0"/>
        <v>146.09009873100979</v>
      </c>
      <c r="J11" s="89">
        <f t="shared" ca="1" si="0"/>
        <v>142.37864242562549</v>
      </c>
      <c r="K11" s="89">
        <f t="shared" ca="1" si="0"/>
        <v>138.66731648953584</v>
      </c>
      <c r="L11" s="89">
        <f t="shared" ca="1" si="0"/>
        <v>134.95611433897804</v>
      </c>
      <c r="M11" s="89">
        <f t="shared" ca="1" si="0"/>
        <v>131.24502543300216</v>
      </c>
      <c r="N11" s="89">
        <f t="shared" ca="1" si="0"/>
        <v>127.53403576298462</v>
      </c>
      <c r="O11" s="89">
        <f t="shared" ca="1" si="0"/>
        <v>123.82312844269588</v>
      </c>
      <c r="P11" s="89">
        <f t="shared" ca="1" si="0"/>
        <v>120.11228437560433</v>
      </c>
      <c r="Q11" s="89">
        <f t="shared" ca="1" si="0"/>
        <v>116.40148297427778</v>
      </c>
      <c r="R11" s="89">
        <f t="shared" ca="1" si="1"/>
        <v>112.69070290583373</v>
      </c>
      <c r="S11" s="87">
        <f>AM11*(S9+S10*0)/(AM9+AM10*0)</f>
        <v>108.97992283738968</v>
      </c>
      <c r="T11" s="89">
        <f t="shared" ref="T11:AK11" ca="1" si="5">(S11+U11)/2</f>
        <v>108.11393915022359</v>
      </c>
      <c r="U11" s="89">
        <f t="shared" ca="1" si="5"/>
        <v>107.24823032355718</v>
      </c>
      <c r="V11" s="89">
        <f t="shared" ca="1" si="5"/>
        <v>106.38292033501017</v>
      </c>
      <c r="W11" s="89">
        <f t="shared" ca="1" si="5"/>
        <v>105.5181203679906</v>
      </c>
      <c r="X11" s="89">
        <f t="shared" ca="1" si="5"/>
        <v>104.65392640393988</v>
      </c>
      <c r="Y11" s="89">
        <f t="shared" ca="1" si="5"/>
        <v>103.79041724551831</v>
      </c>
      <c r="Z11" s="89">
        <f t="shared" ca="1" si="5"/>
        <v>102.92765300856138</v>
      </c>
      <c r="AA11" s="89">
        <f t="shared" ca="1" si="5"/>
        <v>102.06567410823966</v>
      </c>
      <c r="AB11" s="89">
        <f t="shared" ca="1" si="5"/>
        <v>101.20450075213878</v>
      </c>
      <c r="AC11" s="89">
        <f t="shared" ca="1" si="5"/>
        <v>100.34413294025929</v>
      </c>
      <c r="AD11" s="89">
        <f t="shared" ca="1" si="5"/>
        <v>99.484550959531461</v>
      </c>
      <c r="AE11" s="89">
        <f t="shared" ca="1" si="5"/>
        <v>98.625716348641589</v>
      </c>
      <c r="AF11" s="89">
        <f t="shared" ca="1" si="5"/>
        <v>97.767573298049427</v>
      </c>
      <c r="AG11" s="89">
        <f t="shared" ca="1" si="5"/>
        <v>96.910050440286241</v>
      </c>
      <c r="AH11" s="89">
        <f t="shared" ca="1" si="5"/>
        <v>96.05306297717064</v>
      </c>
      <c r="AI11" s="89">
        <f t="shared" ca="1" si="5"/>
        <v>95.196515083640719</v>
      </c>
      <c r="AJ11" s="89">
        <f t="shared" ca="1" si="5"/>
        <v>94.34030252260726</v>
      </c>
      <c r="AK11" s="89">
        <f t="shared" ca="1" si="5"/>
        <v>93.484315401673854</v>
      </c>
      <c r="AL11" s="89">
        <f t="shared" ca="1" si="3"/>
        <v>92.628441000790474</v>
      </c>
      <c r="AM11" s="88">
        <f>(Production!C11+Production!C20)/(Production!B11+Production!B20)*1000000</f>
        <v>91.772566599907094</v>
      </c>
      <c r="AN11" s="59"/>
      <c r="AO11" s="59"/>
      <c r="AP11" s="59"/>
      <c r="AQ11" s="9">
        <v>20</v>
      </c>
      <c r="AR11" s="59"/>
      <c r="AS11" s="59">
        <f>(AS9*'Capacités installées'!B11+'Capacités installées'!B20*LCOE!AS10)/('Capacités installées'!B11+'Capacités installées'!B20)</f>
        <v>191.92861907072543</v>
      </c>
      <c r="AT11" s="9"/>
      <c r="AU11" s="10"/>
    </row>
    <row r="12" spans="1:47" ht="15" hidden="1" customHeight="1" outlineLevel="1" x14ac:dyDescent="0.25">
      <c r="A12" s="4" t="s">
        <v>12</v>
      </c>
      <c r="B12" s="87">
        <v>160</v>
      </c>
      <c r="C12" s="89">
        <f t="shared" ca="1" si="0"/>
        <v>156.470588235294</v>
      </c>
      <c r="D12" s="89">
        <f t="shared" ca="1" si="0"/>
        <v>152.941176470588</v>
      </c>
      <c r="E12" s="89">
        <f t="shared" ca="1" si="0"/>
        <v>149.41176470588204</v>
      </c>
      <c r="F12" s="89">
        <f t="shared" ca="1" si="0"/>
        <v>145.88235294117609</v>
      </c>
      <c r="G12" s="89">
        <f t="shared" ca="1" si="0"/>
        <v>142.35294117647015</v>
      </c>
      <c r="H12" s="89">
        <f t="shared" ca="1" si="0"/>
        <v>138.82352941176424</v>
      </c>
      <c r="I12" s="89">
        <f t="shared" ca="1" si="0"/>
        <v>135.29411764705836</v>
      </c>
      <c r="J12" s="89">
        <f t="shared" ca="1" si="0"/>
        <v>131.76470588235247</v>
      </c>
      <c r="K12" s="89">
        <f t="shared" ca="1" si="0"/>
        <v>128.23529411764662</v>
      </c>
      <c r="L12" s="89">
        <f t="shared" ca="1" si="0"/>
        <v>124.70588235294076</v>
      </c>
      <c r="M12" s="89">
        <f t="shared" ca="1" si="0"/>
        <v>121.17647058823492</v>
      </c>
      <c r="N12" s="89">
        <f t="shared" ca="1" si="0"/>
        <v>117.64705882352908</v>
      </c>
      <c r="O12" s="89">
        <f t="shared" ca="1" si="0"/>
        <v>114.11764705882325</v>
      </c>
      <c r="P12" s="89">
        <f t="shared" ca="1" si="0"/>
        <v>110.58823529411742</v>
      </c>
      <c r="Q12" s="89">
        <f t="shared" ca="1" si="0"/>
        <v>107.05882352941161</v>
      </c>
      <c r="R12" s="89">
        <f t="shared" ca="1" si="1"/>
        <v>103.5294117647058</v>
      </c>
      <c r="S12" s="87">
        <v>100</v>
      </c>
      <c r="T12" s="89">
        <f t="shared" ca="1" si="2"/>
        <v>97.999999999999915</v>
      </c>
      <c r="U12" s="89">
        <f t="shared" ca="1" si="2"/>
        <v>95.999999999999844</v>
      </c>
      <c r="V12" s="89">
        <f t="shared" ca="1" si="2"/>
        <v>93.999999999999773</v>
      </c>
      <c r="W12" s="89">
        <f t="shared" ca="1" si="2"/>
        <v>91.999999999999716</v>
      </c>
      <c r="X12" s="89">
        <f t="shared" ca="1" si="2"/>
        <v>89.999999999999673</v>
      </c>
      <c r="Y12" s="89">
        <f t="shared" ca="1" si="2"/>
        <v>87.999999999999631</v>
      </c>
      <c r="Z12" s="89">
        <f t="shared" ca="1" si="2"/>
        <v>85.999999999999602</v>
      </c>
      <c r="AA12" s="89">
        <f t="shared" ca="1" si="2"/>
        <v>83.999999999999588</v>
      </c>
      <c r="AB12" s="89">
        <f t="shared" ca="1" si="2"/>
        <v>81.999999999999574</v>
      </c>
      <c r="AC12" s="89">
        <f t="shared" ca="1" si="2"/>
        <v>79.999999999999574</v>
      </c>
      <c r="AD12" s="89">
        <f t="shared" ca="1" si="2"/>
        <v>77.999999999999574</v>
      </c>
      <c r="AE12" s="89">
        <f t="shared" ca="1" si="2"/>
        <v>75.999999999999588</v>
      </c>
      <c r="AF12" s="89">
        <f t="shared" ca="1" si="2"/>
        <v>73.999999999999602</v>
      </c>
      <c r="AG12" s="89">
        <f t="shared" ca="1" si="2"/>
        <v>71.999999999999631</v>
      </c>
      <c r="AH12" s="89">
        <f t="shared" ca="1" si="2"/>
        <v>69.999999999999673</v>
      </c>
      <c r="AI12" s="89">
        <f t="shared" ca="1" si="2"/>
        <v>67.999999999999716</v>
      </c>
      <c r="AJ12" s="89">
        <f t="shared" ca="1" si="2"/>
        <v>65.999999999999773</v>
      </c>
      <c r="AK12" s="89">
        <f t="shared" ca="1" si="2"/>
        <v>63.999999999999844</v>
      </c>
      <c r="AL12" s="89">
        <f t="shared" ca="1" si="3"/>
        <v>61.999999999999922</v>
      </c>
      <c r="AM12" s="88">
        <v>60</v>
      </c>
      <c r="AN12" s="59">
        <f>AP12*14/AM12</f>
        <v>238</v>
      </c>
      <c r="AO12" s="59">
        <f>AP12*10/AM12</f>
        <v>170</v>
      </c>
      <c r="AP12" s="59">
        <v>1020</v>
      </c>
      <c r="AQ12" s="9">
        <v>25</v>
      </c>
      <c r="AR12" s="59">
        <f>AP12/AQ12</f>
        <v>40.799999999999997</v>
      </c>
      <c r="AS12" s="59">
        <v>24</v>
      </c>
      <c r="AT12" s="9"/>
      <c r="AU12" s="10">
        <v>51437469.83673761</v>
      </c>
    </row>
    <row r="13" spans="1:47" ht="15" hidden="1" customHeight="1" outlineLevel="1" x14ac:dyDescent="0.25">
      <c r="A13" s="4" t="s">
        <v>13</v>
      </c>
      <c r="B13" s="87">
        <v>220</v>
      </c>
      <c r="C13" s="89">
        <f t="shared" ca="1" si="0"/>
        <v>215.58823529411751</v>
      </c>
      <c r="D13" s="89">
        <f t="shared" ca="1" si="0"/>
        <v>211.17647058823505</v>
      </c>
      <c r="E13" s="89">
        <f t="shared" ca="1" si="0"/>
        <v>206.76470588235259</v>
      </c>
      <c r="F13" s="89">
        <f t="shared" ca="1" si="0"/>
        <v>202.35294117647015</v>
      </c>
      <c r="G13" s="89">
        <f t="shared" ca="1" si="0"/>
        <v>197.94117647058772</v>
      </c>
      <c r="H13" s="89">
        <f t="shared" ca="1" si="0"/>
        <v>193.52941176470532</v>
      </c>
      <c r="I13" s="89">
        <f t="shared" ca="1" si="0"/>
        <v>189.11764705882291</v>
      </c>
      <c r="J13" s="89">
        <f t="shared" ca="1" si="0"/>
        <v>184.70588235294053</v>
      </c>
      <c r="K13" s="89">
        <f t="shared" ca="1" si="0"/>
        <v>180.29411764705819</v>
      </c>
      <c r="L13" s="89">
        <f t="shared" ca="1" si="0"/>
        <v>175.88235294117584</v>
      </c>
      <c r="M13" s="89">
        <f t="shared" ca="1" si="0"/>
        <v>171.47058823529352</v>
      </c>
      <c r="N13" s="89">
        <f t="shared" ca="1" si="0"/>
        <v>167.05882352941123</v>
      </c>
      <c r="O13" s="89">
        <f t="shared" ca="1" si="0"/>
        <v>162.64705882352894</v>
      </c>
      <c r="P13" s="89">
        <f t="shared" ca="1" si="0"/>
        <v>158.23529411764667</v>
      </c>
      <c r="Q13" s="89">
        <f t="shared" ca="1" si="0"/>
        <v>153.82352941176444</v>
      </c>
      <c r="R13" s="89">
        <f t="shared" ca="1" si="1"/>
        <v>149.41176470588221</v>
      </c>
      <c r="S13" s="87">
        <v>145</v>
      </c>
      <c r="T13" s="89">
        <f t="shared" ca="1" si="2"/>
        <v>141.99999999999989</v>
      </c>
      <c r="U13" s="89">
        <f t="shared" ca="1" si="2"/>
        <v>138.99999999999977</v>
      </c>
      <c r="V13" s="89">
        <f t="shared" ca="1" si="2"/>
        <v>135.99999999999969</v>
      </c>
      <c r="W13" s="89">
        <f t="shared" ca="1" si="2"/>
        <v>132.9999999999996</v>
      </c>
      <c r="X13" s="89">
        <f t="shared" ca="1" si="2"/>
        <v>129.99999999999955</v>
      </c>
      <c r="Y13" s="89">
        <f t="shared" ca="1" si="2"/>
        <v>126.99999999999952</v>
      </c>
      <c r="Z13" s="89">
        <f t="shared" ca="1" si="2"/>
        <v>123.9999999999995</v>
      </c>
      <c r="AA13" s="89">
        <f t="shared" ca="1" si="2"/>
        <v>120.99999999999949</v>
      </c>
      <c r="AB13" s="89">
        <f t="shared" ca="1" si="2"/>
        <v>117.99999999999949</v>
      </c>
      <c r="AC13" s="89">
        <f t="shared" ca="1" si="2"/>
        <v>114.99999999999949</v>
      </c>
      <c r="AD13" s="89">
        <f t="shared" ca="1" si="2"/>
        <v>111.9999999999995</v>
      </c>
      <c r="AE13" s="89">
        <f t="shared" ca="1" si="2"/>
        <v>108.99999999999952</v>
      </c>
      <c r="AF13" s="89">
        <f t="shared" ca="1" si="2"/>
        <v>105.99999999999955</v>
      </c>
      <c r="AG13" s="89">
        <f t="shared" ca="1" si="2"/>
        <v>102.99999999999959</v>
      </c>
      <c r="AH13" s="89">
        <f t="shared" ca="1" si="2"/>
        <v>99.999999999999631</v>
      </c>
      <c r="AI13" s="89">
        <f t="shared" ca="1" si="2"/>
        <v>96.999999999999687</v>
      </c>
      <c r="AJ13" s="89">
        <f t="shared" ca="1" si="2"/>
        <v>93.999999999999758</v>
      </c>
      <c r="AK13" s="89">
        <f t="shared" ca="1" si="2"/>
        <v>90.999999999999829</v>
      </c>
      <c r="AL13" s="89">
        <f t="shared" ca="1" si="3"/>
        <v>87.999999999999915</v>
      </c>
      <c r="AM13" s="88">
        <v>85</v>
      </c>
      <c r="AN13" s="59">
        <f>AP13*18/AM13</f>
        <v>257.08235294117645</v>
      </c>
      <c r="AO13" s="59">
        <f>AP13*14/AM13</f>
        <v>199.95294117647057</v>
      </c>
      <c r="AP13" s="59">
        <v>1214</v>
      </c>
      <c r="AQ13" s="9">
        <v>25</v>
      </c>
      <c r="AR13" s="59">
        <f>AP13/AQ13</f>
        <v>48.56</v>
      </c>
      <c r="AS13" s="59">
        <v>12</v>
      </c>
      <c r="AT13" s="9"/>
      <c r="AU13" s="10">
        <v>30150719.921033908</v>
      </c>
    </row>
    <row r="14" spans="1:47" ht="15" hidden="1" customHeight="1" outlineLevel="1" x14ac:dyDescent="0.25">
      <c r="A14" s="4" t="s">
        <v>14</v>
      </c>
      <c r="B14" s="87">
        <v>500</v>
      </c>
      <c r="C14" s="89">
        <f t="shared" ca="1" si="0"/>
        <v>491.17647058823502</v>
      </c>
      <c r="D14" s="89">
        <f t="shared" ca="1" si="0"/>
        <v>482.3529411764701</v>
      </c>
      <c r="E14" s="89">
        <f t="shared" ca="1" si="0"/>
        <v>473.52941176470517</v>
      </c>
      <c r="F14" s="89">
        <f t="shared" ca="1" si="0"/>
        <v>464.70588235294031</v>
      </c>
      <c r="G14" s="89">
        <f t="shared" ca="1" si="0"/>
        <v>455.88235294117544</v>
      </c>
      <c r="H14" s="89">
        <f t="shared" ca="1" si="0"/>
        <v>447.05882352941063</v>
      </c>
      <c r="I14" s="89">
        <f t="shared" ca="1" si="0"/>
        <v>438.23529411764582</v>
      </c>
      <c r="J14" s="89">
        <f t="shared" ca="1" si="0"/>
        <v>429.41176470588107</v>
      </c>
      <c r="K14" s="89">
        <f t="shared" ca="1" si="0"/>
        <v>420.58823529411637</v>
      </c>
      <c r="L14" s="89">
        <f t="shared" ca="1" si="0"/>
        <v>411.76470588235168</v>
      </c>
      <c r="M14" s="89">
        <f t="shared" ca="1" si="0"/>
        <v>402.94117647058704</v>
      </c>
      <c r="N14" s="89">
        <f t="shared" ca="1" si="0"/>
        <v>394.11764705882246</v>
      </c>
      <c r="O14" s="89">
        <f t="shared" ca="1" si="0"/>
        <v>385.29411764705787</v>
      </c>
      <c r="P14" s="89">
        <f t="shared" ca="1" si="0"/>
        <v>376.47058823529335</v>
      </c>
      <c r="Q14" s="89">
        <f t="shared" ca="1" si="0"/>
        <v>367.64705882352888</v>
      </c>
      <c r="R14" s="89">
        <f t="shared" ca="1" si="1"/>
        <v>358.82352941176441</v>
      </c>
      <c r="S14" s="87">
        <v>350</v>
      </c>
      <c r="T14" s="89">
        <f t="shared" ca="1" si="2"/>
        <v>347.49999999999966</v>
      </c>
      <c r="U14" s="89">
        <f t="shared" ca="1" si="2"/>
        <v>344.99999999999937</v>
      </c>
      <c r="V14" s="89">
        <f t="shared" ca="1" si="2"/>
        <v>342.49999999999909</v>
      </c>
      <c r="W14" s="89">
        <f t="shared" ca="1" si="2"/>
        <v>339.99999999999886</v>
      </c>
      <c r="X14" s="89">
        <f t="shared" ca="1" si="2"/>
        <v>337.49999999999869</v>
      </c>
      <c r="Y14" s="89">
        <f t="shared" ca="1" si="2"/>
        <v>334.99999999999852</v>
      </c>
      <c r="Z14" s="89">
        <f t="shared" ca="1" si="2"/>
        <v>332.49999999999841</v>
      </c>
      <c r="AA14" s="89">
        <f t="shared" ca="1" si="2"/>
        <v>329.99999999999835</v>
      </c>
      <c r="AB14" s="89">
        <f t="shared" ca="1" si="2"/>
        <v>327.49999999999829</v>
      </c>
      <c r="AC14" s="89">
        <f t="shared" ca="1" si="2"/>
        <v>324.99999999999829</v>
      </c>
      <c r="AD14" s="89">
        <f t="shared" ca="1" si="2"/>
        <v>322.49999999999829</v>
      </c>
      <c r="AE14" s="89">
        <f t="shared" ca="1" si="2"/>
        <v>319.99999999999835</v>
      </c>
      <c r="AF14" s="89">
        <f t="shared" ca="1" si="2"/>
        <v>317.49999999999841</v>
      </c>
      <c r="AG14" s="89">
        <f t="shared" ca="1" si="2"/>
        <v>314.99999999999852</v>
      </c>
      <c r="AH14" s="89">
        <f t="shared" ca="1" si="2"/>
        <v>312.49999999999869</v>
      </c>
      <c r="AI14" s="89">
        <f t="shared" ca="1" si="2"/>
        <v>309.99999999999886</v>
      </c>
      <c r="AJ14" s="89">
        <f t="shared" ca="1" si="2"/>
        <v>307.49999999999909</v>
      </c>
      <c r="AK14" s="89">
        <f t="shared" ca="1" si="2"/>
        <v>304.99999999999937</v>
      </c>
      <c r="AL14" s="89">
        <f t="shared" ca="1" si="3"/>
        <v>302.49999999999966</v>
      </c>
      <c r="AM14" s="88">
        <v>300</v>
      </c>
      <c r="AN14" s="59">
        <v>4800</v>
      </c>
      <c r="AO14" s="59">
        <v>3400</v>
      </c>
      <c r="AP14" s="59">
        <v>3131</v>
      </c>
      <c r="AQ14" s="9">
        <v>30</v>
      </c>
      <c r="AR14" s="59">
        <f>AP14/AQ14</f>
        <v>104.36666666666666</v>
      </c>
      <c r="AS14" s="59">
        <v>161</v>
      </c>
      <c r="AT14" s="9"/>
      <c r="AU14" s="10">
        <v>496821.65887754317</v>
      </c>
    </row>
    <row r="15" spans="1:47" collapsed="1" x14ac:dyDescent="0.25">
      <c r="A15" s="4" t="s">
        <v>24</v>
      </c>
      <c r="B15" s="90">
        <f>B12*C35+B13*C36</f>
        <v>179.46998377501353</v>
      </c>
      <c r="C15" s="89">
        <f t="shared" ca="1" si="0"/>
        <v>176.21624830472561</v>
      </c>
      <c r="D15" s="89">
        <f t="shared" ca="1" si="0"/>
        <v>172.96251283443769</v>
      </c>
      <c r="E15" s="89">
        <f t="shared" ca="1" si="0"/>
        <v>169.7087773641498</v>
      </c>
      <c r="F15" s="89">
        <f t="shared" ca="1" si="0"/>
        <v>166.4550418938619</v>
      </c>
      <c r="G15" s="89">
        <f t="shared" ca="1" si="0"/>
        <v>163.20130642357404</v>
      </c>
      <c r="H15" s="89">
        <f t="shared" ca="1" si="0"/>
        <v>159.94757095328617</v>
      </c>
      <c r="I15" s="89">
        <f t="shared" ca="1" si="0"/>
        <v>156.69383548299834</v>
      </c>
      <c r="J15" s="89">
        <f t="shared" ca="1" si="0"/>
        <v>153.44010001271053</v>
      </c>
      <c r="K15" s="89">
        <f t="shared" ca="1" si="0"/>
        <v>150.18636454242272</v>
      </c>
      <c r="L15" s="89">
        <f t="shared" ca="1" si="0"/>
        <v>146.93262907213494</v>
      </c>
      <c r="M15" s="89">
        <f t="shared" ca="1" si="0"/>
        <v>143.67889360184719</v>
      </c>
      <c r="N15" s="89">
        <f t="shared" ca="1" si="0"/>
        <v>140.42515813155944</v>
      </c>
      <c r="O15" s="89">
        <f t="shared" ca="1" si="0"/>
        <v>137.17142266127172</v>
      </c>
      <c r="P15" s="89">
        <f t="shared" ca="1" si="0"/>
        <v>133.91768719098403</v>
      </c>
      <c r="Q15" s="89">
        <f t="shared" ca="1" si="0"/>
        <v>130.66395172069633</v>
      </c>
      <c r="R15" s="89">
        <f t="shared" ca="1" si="1"/>
        <v>127.41021625040865</v>
      </c>
      <c r="S15" s="90">
        <f>S14*E37+S13*E36+S12*E35</f>
        <v>124.15648078012097</v>
      </c>
      <c r="T15" s="89">
        <f t="shared" ca="1" si="2"/>
        <v>121.90584978838126</v>
      </c>
      <c r="U15" s="89">
        <f t="shared" ca="1" si="2"/>
        <v>119.65521879664156</v>
      </c>
      <c r="V15" s="89">
        <f t="shared" ca="1" si="2"/>
        <v>117.40458780490187</v>
      </c>
      <c r="W15" s="89">
        <f t="shared" ca="1" si="2"/>
        <v>115.15395681316218</v>
      </c>
      <c r="X15" s="89">
        <f t="shared" ca="1" si="2"/>
        <v>112.90332582142251</v>
      </c>
      <c r="Y15" s="89">
        <f t="shared" ca="1" si="2"/>
        <v>110.65269482968284</v>
      </c>
      <c r="Z15" s="89">
        <f t="shared" ca="1" si="2"/>
        <v>108.40206383794319</v>
      </c>
      <c r="AA15" s="89">
        <f t="shared" ca="1" si="2"/>
        <v>106.15143284620353</v>
      </c>
      <c r="AB15" s="89">
        <f t="shared" ca="1" si="2"/>
        <v>103.90080185446389</v>
      </c>
      <c r="AC15" s="89">
        <f t="shared" ca="1" si="2"/>
        <v>101.65017086272425</v>
      </c>
      <c r="AD15" s="89">
        <f t="shared" ca="1" si="2"/>
        <v>99.399539870984626</v>
      </c>
      <c r="AE15" s="89">
        <f t="shared" ca="1" si="2"/>
        <v>97.148908879245013</v>
      </c>
      <c r="AF15" s="89">
        <f t="shared" ca="1" si="2"/>
        <v>94.898277887505401</v>
      </c>
      <c r="AG15" s="89">
        <f t="shared" ca="1" si="2"/>
        <v>92.647646895765803</v>
      </c>
      <c r="AH15" s="89">
        <f t="shared" ca="1" si="2"/>
        <v>90.397015904026219</v>
      </c>
      <c r="AI15" s="89">
        <f t="shared" ca="1" si="2"/>
        <v>88.146384912286635</v>
      </c>
      <c r="AJ15" s="89">
        <f t="shared" ca="1" si="2"/>
        <v>85.895753920547065</v>
      </c>
      <c r="AK15" s="89">
        <f t="shared" ca="1" si="2"/>
        <v>83.64512292880751</v>
      </c>
      <c r="AL15" s="89">
        <f t="shared" ca="1" si="3"/>
        <v>81.394491937067954</v>
      </c>
      <c r="AM15" s="88">
        <f>SUM(Production!C7:C8,Production!C21)/SUM(Production!B7:B8,Production!B21)*1000000</f>
        <v>79.143860945328399</v>
      </c>
      <c r="AN15" s="59"/>
      <c r="AO15" s="59"/>
      <c r="AP15" s="59"/>
      <c r="AQ15" s="9">
        <v>25</v>
      </c>
      <c r="AR15" s="59"/>
      <c r="AS15" s="59">
        <f>AS12*G35+G36*AS13+AS14*G37</f>
        <v>15.848120594000953</v>
      </c>
      <c r="AT15" s="9"/>
      <c r="AU15" s="10">
        <f>SUM(AU12:AU14)</f>
        <v>82085011.416649058</v>
      </c>
    </row>
    <row r="16" spans="1:47" x14ac:dyDescent="0.25">
      <c r="A16" s="4" t="s">
        <v>15</v>
      </c>
      <c r="B16" s="90">
        <f>160*4038/3211</f>
        <v>201.20834630956088</v>
      </c>
      <c r="C16" s="89">
        <f t="shared" ca="1" si="0"/>
        <v>198.78432593841012</v>
      </c>
      <c r="D16" s="89">
        <f t="shared" ca="1" si="0"/>
        <v>196.36030556725936</v>
      </c>
      <c r="E16" s="89">
        <f t="shared" ca="1" si="0"/>
        <v>193.9362851961086</v>
      </c>
      <c r="F16" s="89">
        <f t="shared" ca="1" si="0"/>
        <v>191.51226482495787</v>
      </c>
      <c r="G16" s="89">
        <f t="shared" ca="1" si="0"/>
        <v>189.08824445380716</v>
      </c>
      <c r="H16" s="89">
        <f t="shared" ca="1" si="0"/>
        <v>186.66422408265646</v>
      </c>
      <c r="I16" s="89">
        <f t="shared" ca="1" si="0"/>
        <v>184.24020371150579</v>
      </c>
      <c r="J16" s="89">
        <f t="shared" ca="1" si="0"/>
        <v>181.81618334035514</v>
      </c>
      <c r="K16" s="89">
        <f t="shared" ca="1" si="0"/>
        <v>179.39216296920449</v>
      </c>
      <c r="L16" s="89">
        <f t="shared" ca="1" si="0"/>
        <v>176.96814259805387</v>
      </c>
      <c r="M16" s="89">
        <f t="shared" ca="1" si="0"/>
        <v>174.54412222690328</v>
      </c>
      <c r="N16" s="89">
        <f t="shared" ca="1" si="0"/>
        <v>172.12010185575269</v>
      </c>
      <c r="O16" s="89">
        <f t="shared" ca="1" si="0"/>
        <v>169.69608148460213</v>
      </c>
      <c r="P16" s="89">
        <f t="shared" ca="1" si="0"/>
        <v>167.27206111345157</v>
      </c>
      <c r="Q16" s="89">
        <f t="shared" ca="1" si="0"/>
        <v>164.84804074230104</v>
      </c>
      <c r="R16" s="89">
        <f t="shared" ca="1" si="1"/>
        <v>162.4240203711505</v>
      </c>
      <c r="S16" s="87">
        <v>160</v>
      </c>
      <c r="T16" s="89">
        <f t="shared" ca="1" si="2"/>
        <v>159.99999999999983</v>
      </c>
      <c r="U16" s="89">
        <f t="shared" ca="1" si="2"/>
        <v>159.99999999999969</v>
      </c>
      <c r="V16" s="89">
        <f t="shared" ca="1" si="2"/>
        <v>159.99999999999955</v>
      </c>
      <c r="W16" s="89">
        <f t="shared" ca="1" si="2"/>
        <v>159.99999999999943</v>
      </c>
      <c r="X16" s="89">
        <f t="shared" ca="1" si="2"/>
        <v>159.99999999999935</v>
      </c>
      <c r="Y16" s="89">
        <f t="shared" ca="1" si="2"/>
        <v>159.99999999999926</v>
      </c>
      <c r="Z16" s="89">
        <f t="shared" ca="1" si="2"/>
        <v>159.9999999999992</v>
      </c>
      <c r="AA16" s="89">
        <f t="shared" ca="1" si="2"/>
        <v>159.99999999999918</v>
      </c>
      <c r="AB16" s="89">
        <f t="shared" ca="1" si="2"/>
        <v>159.99999999999915</v>
      </c>
      <c r="AC16" s="89">
        <f t="shared" ca="1" si="2"/>
        <v>159.99999999999915</v>
      </c>
      <c r="AD16" s="89">
        <f t="shared" ca="1" si="2"/>
        <v>159.99999999999915</v>
      </c>
      <c r="AE16" s="89">
        <f t="shared" ca="1" si="2"/>
        <v>159.99999999999918</v>
      </c>
      <c r="AF16" s="89">
        <f t="shared" ca="1" si="2"/>
        <v>159.9999999999992</v>
      </c>
      <c r="AG16" s="89">
        <f t="shared" ca="1" si="2"/>
        <v>159.99999999999926</v>
      </c>
      <c r="AH16" s="89">
        <f t="shared" ca="1" si="2"/>
        <v>159.99999999999935</v>
      </c>
      <c r="AI16" s="89">
        <f t="shared" ca="1" si="2"/>
        <v>159.99999999999943</v>
      </c>
      <c r="AJ16" s="89">
        <f t="shared" ca="1" si="2"/>
        <v>159.99999999999955</v>
      </c>
      <c r="AK16" s="89">
        <f t="shared" ca="1" si="2"/>
        <v>159.99999999999969</v>
      </c>
      <c r="AL16" s="89">
        <f t="shared" ca="1" si="3"/>
        <v>159.99999999999983</v>
      </c>
      <c r="AM16" s="88">
        <v>160</v>
      </c>
      <c r="AN16" s="59">
        <v>4238</v>
      </c>
      <c r="AO16" s="59">
        <f>AP16*16/AM16</f>
        <v>343.1</v>
      </c>
      <c r="AP16" s="59">
        <v>3431</v>
      </c>
      <c r="AQ16" s="9">
        <v>30</v>
      </c>
      <c r="AR16" s="59">
        <f>AP16/AQ16</f>
        <v>114.36666666666666</v>
      </c>
      <c r="AS16" s="59">
        <v>130</v>
      </c>
      <c r="AT16" s="9"/>
      <c r="AU16" s="10">
        <v>483899.25542237441</v>
      </c>
    </row>
    <row r="17" spans="1:47" s="2" customFormat="1" x14ac:dyDescent="0.25">
      <c r="A17" s="4" t="s">
        <v>18</v>
      </c>
      <c r="B17" s="87">
        <v>58</v>
      </c>
      <c r="C17" s="89">
        <f t="shared" ca="1" si="0"/>
        <v>57.999999999999964</v>
      </c>
      <c r="D17" s="89">
        <f t="shared" ca="1" si="0"/>
        <v>57.999999999999929</v>
      </c>
      <c r="E17" s="89">
        <f t="shared" ca="1" si="0"/>
        <v>57.999999999999901</v>
      </c>
      <c r="F17" s="89">
        <f t="shared" ca="1" si="0"/>
        <v>57.999999999999879</v>
      </c>
      <c r="G17" s="89">
        <f t="shared" ca="1" si="0"/>
        <v>57.999999999999858</v>
      </c>
      <c r="H17" s="89">
        <f t="shared" ca="1" si="0"/>
        <v>57.999999999999844</v>
      </c>
      <c r="I17" s="89">
        <f t="shared" ca="1" si="0"/>
        <v>57.999999999999837</v>
      </c>
      <c r="J17" s="89">
        <f t="shared" ca="1" si="0"/>
        <v>57.999999999999829</v>
      </c>
      <c r="K17" s="89">
        <f t="shared" ca="1" si="0"/>
        <v>57.999999999999829</v>
      </c>
      <c r="L17" s="89">
        <f t="shared" ca="1" si="0"/>
        <v>57.999999999999837</v>
      </c>
      <c r="M17" s="89">
        <f t="shared" ca="1" si="0"/>
        <v>57.999999999999844</v>
      </c>
      <c r="N17" s="89">
        <f t="shared" ca="1" si="0"/>
        <v>57.999999999999858</v>
      </c>
      <c r="O17" s="89">
        <f t="shared" ca="1" si="0"/>
        <v>57.999999999999879</v>
      </c>
      <c r="P17" s="89">
        <f t="shared" ca="1" si="0"/>
        <v>57.999999999999901</v>
      </c>
      <c r="Q17" s="89">
        <f t="shared" ca="1" si="0"/>
        <v>57.999999999999929</v>
      </c>
      <c r="R17" s="89">
        <f t="shared" ca="1" si="1"/>
        <v>57.999999999999964</v>
      </c>
      <c r="S17" s="87">
        <v>58</v>
      </c>
      <c r="T17" s="89">
        <f t="shared" ca="1" si="2"/>
        <v>57.999999999999957</v>
      </c>
      <c r="U17" s="89">
        <f t="shared" ca="1" si="2"/>
        <v>57.999999999999922</v>
      </c>
      <c r="V17" s="89">
        <f t="shared" ca="1" si="2"/>
        <v>57.999999999999886</v>
      </c>
      <c r="W17" s="89">
        <f t="shared" ca="1" si="2"/>
        <v>57.999999999999858</v>
      </c>
      <c r="X17" s="89">
        <f t="shared" ca="1" si="2"/>
        <v>57.999999999999837</v>
      </c>
      <c r="Y17" s="89">
        <f t="shared" ca="1" si="2"/>
        <v>57.999999999999815</v>
      </c>
      <c r="Z17" s="89">
        <f t="shared" ca="1" si="2"/>
        <v>57.999999999999801</v>
      </c>
      <c r="AA17" s="89">
        <f t="shared" ca="1" si="2"/>
        <v>57.999999999999794</v>
      </c>
      <c r="AB17" s="89">
        <f t="shared" ca="1" si="2"/>
        <v>57.999999999999787</v>
      </c>
      <c r="AC17" s="89">
        <f t="shared" ca="1" si="2"/>
        <v>57.999999999999787</v>
      </c>
      <c r="AD17" s="89">
        <f t="shared" ca="1" si="2"/>
        <v>57.999999999999787</v>
      </c>
      <c r="AE17" s="89">
        <f t="shared" ca="1" si="2"/>
        <v>57.999999999999794</v>
      </c>
      <c r="AF17" s="89">
        <f t="shared" ca="1" si="2"/>
        <v>57.999999999999801</v>
      </c>
      <c r="AG17" s="89">
        <f t="shared" ca="1" si="2"/>
        <v>57.999999999999815</v>
      </c>
      <c r="AH17" s="89">
        <f t="shared" ca="1" si="2"/>
        <v>57.999999999999837</v>
      </c>
      <c r="AI17" s="89">
        <f t="shared" ca="1" si="2"/>
        <v>57.999999999999858</v>
      </c>
      <c r="AJ17" s="89">
        <f t="shared" ca="1" si="2"/>
        <v>57.999999999999886</v>
      </c>
      <c r="AK17" s="89">
        <f t="shared" ca="1" si="2"/>
        <v>57.999999999999922</v>
      </c>
      <c r="AL17" s="89">
        <f t="shared" ca="1" si="3"/>
        <v>57.999999999999957</v>
      </c>
      <c r="AM17" s="88">
        <v>58</v>
      </c>
      <c r="AN17" s="59">
        <f>AO17</f>
        <v>3550</v>
      </c>
      <c r="AO17" s="59">
        <f>AP17</f>
        <v>3550</v>
      </c>
      <c r="AP17" s="59">
        <v>3550</v>
      </c>
      <c r="AQ17" s="9">
        <v>20</v>
      </c>
      <c r="AR17" s="59">
        <f>AP17/AQ17</f>
        <v>177.5</v>
      </c>
      <c r="AS17" s="59">
        <v>124</v>
      </c>
      <c r="AT17" s="9"/>
      <c r="AU17" s="10"/>
    </row>
    <row r="18" spans="1:47" x14ac:dyDescent="0.25">
      <c r="A18" s="4" t="s">
        <v>156</v>
      </c>
      <c r="B18" s="91">
        <f>S18*3177/2869</f>
        <v>75.410840013942135</v>
      </c>
      <c r="C18" s="89">
        <f t="shared" ref="C18:Q18" ca="1" si="6">(B18+D18)/2</f>
        <v>74.980790601357228</v>
      </c>
      <c r="D18" s="89">
        <f t="shared" ca="1" si="6"/>
        <v>74.550741188772335</v>
      </c>
      <c r="E18" s="89">
        <f t="shared" ca="1" si="6"/>
        <v>74.120691776187442</v>
      </c>
      <c r="F18" s="89">
        <f t="shared" ca="1" si="6"/>
        <v>73.690642363602564</v>
      </c>
      <c r="G18" s="89">
        <f t="shared" ca="1" si="6"/>
        <v>73.260592951017699</v>
      </c>
      <c r="H18" s="89">
        <f t="shared" ca="1" si="6"/>
        <v>72.830543538432835</v>
      </c>
      <c r="I18" s="89">
        <f t="shared" ca="1" si="6"/>
        <v>72.400494125847985</v>
      </c>
      <c r="J18" s="89">
        <f t="shared" ca="1" si="6"/>
        <v>71.970444713263149</v>
      </c>
      <c r="K18" s="89">
        <f t="shared" ca="1" si="6"/>
        <v>71.540395300678313</v>
      </c>
      <c r="L18" s="89">
        <f t="shared" ca="1" si="6"/>
        <v>71.110345888093491</v>
      </c>
      <c r="M18" s="89">
        <f t="shared" ca="1" si="6"/>
        <v>70.680296475508683</v>
      </c>
      <c r="N18" s="89">
        <f t="shared" ca="1" si="6"/>
        <v>70.250247062923876</v>
      </c>
      <c r="O18" s="89">
        <f t="shared" ca="1" si="6"/>
        <v>69.820197650339082</v>
      </c>
      <c r="P18" s="89">
        <f t="shared" ca="1" si="6"/>
        <v>69.390148237754303</v>
      </c>
      <c r="Q18" s="89">
        <f t="shared" ca="1" si="6"/>
        <v>68.960098825169524</v>
      </c>
      <c r="R18" s="89">
        <f t="shared" ca="1" si="1"/>
        <v>68.530049412584759</v>
      </c>
      <c r="S18" s="88">
        <f>AM18</f>
        <v>68.099999999999994</v>
      </c>
      <c r="T18" s="89">
        <f t="shared" ref="T18:AK18" ca="1" si="7">(S18+U18)/2</f>
        <v>68.099999999999909</v>
      </c>
      <c r="U18" s="89">
        <f t="shared" ca="1" si="7"/>
        <v>68.099999999999838</v>
      </c>
      <c r="V18" s="89">
        <f t="shared" ca="1" si="7"/>
        <v>68.099999999999767</v>
      </c>
      <c r="W18" s="89">
        <f t="shared" ca="1" si="7"/>
        <v>68.09999999999971</v>
      </c>
      <c r="X18" s="89">
        <f t="shared" ca="1" si="7"/>
        <v>68.099999999999667</v>
      </c>
      <c r="Y18" s="89">
        <f t="shared" ca="1" si="7"/>
        <v>68.099999999999625</v>
      </c>
      <c r="Z18" s="89">
        <f t="shared" ca="1" si="7"/>
        <v>68.099999999999596</v>
      </c>
      <c r="AA18" s="89">
        <f t="shared" ca="1" si="7"/>
        <v>68.099999999999582</v>
      </c>
      <c r="AB18" s="89">
        <f t="shared" ca="1" si="7"/>
        <v>68.099999999999568</v>
      </c>
      <c r="AC18" s="89">
        <f t="shared" ca="1" si="7"/>
        <v>68.099999999999568</v>
      </c>
      <c r="AD18" s="89">
        <f t="shared" ca="1" si="7"/>
        <v>68.099999999999568</v>
      </c>
      <c r="AE18" s="89">
        <f t="shared" ca="1" si="7"/>
        <v>68.099999999999582</v>
      </c>
      <c r="AF18" s="89">
        <f t="shared" ca="1" si="7"/>
        <v>68.099999999999596</v>
      </c>
      <c r="AG18" s="89">
        <f t="shared" ca="1" si="7"/>
        <v>68.099999999999625</v>
      </c>
      <c r="AH18" s="89">
        <f t="shared" ca="1" si="7"/>
        <v>68.099999999999667</v>
      </c>
      <c r="AI18" s="89">
        <f t="shared" ca="1" si="7"/>
        <v>68.09999999999971</v>
      </c>
      <c r="AJ18" s="89">
        <f t="shared" ca="1" si="7"/>
        <v>68.099999999999767</v>
      </c>
      <c r="AK18" s="89">
        <f t="shared" ca="1" si="7"/>
        <v>68.099999999999838</v>
      </c>
      <c r="AL18" s="89">
        <f t="shared" ca="1" si="3"/>
        <v>68.099999999999909</v>
      </c>
      <c r="AM18" s="88">
        <v>68.099999999999994</v>
      </c>
      <c r="AN18" s="59">
        <v>3177</v>
      </c>
      <c r="AO18" s="59">
        <v>2869</v>
      </c>
      <c r="AP18" s="59">
        <v>2869</v>
      </c>
      <c r="AQ18" s="9">
        <v>30</v>
      </c>
      <c r="AR18" s="59">
        <f t="shared" ref="AR18" si="8">AP18/AQ18</f>
        <v>95.63333333333334</v>
      </c>
      <c r="AS18" s="59">
        <f>AP18*0.015</f>
        <v>43.034999999999997</v>
      </c>
      <c r="AT18" s="9"/>
      <c r="AU18" s="10"/>
    </row>
    <row r="19" spans="1:47" x14ac:dyDescent="0.25">
      <c r="A19" s="4"/>
      <c r="B19" s="91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8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8"/>
      <c r="AN19" s="59"/>
      <c r="AO19" s="59"/>
      <c r="AP19" s="59"/>
      <c r="AQ19" s="9"/>
      <c r="AR19" s="59"/>
      <c r="AS19" s="59"/>
      <c r="AT19" s="9"/>
      <c r="AU19" s="10"/>
    </row>
    <row r="20" spans="1:47" ht="15.75" thickBot="1" x14ac:dyDescent="0.3">
      <c r="A20" s="8" t="s">
        <v>179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11"/>
      <c r="AN20" s="11"/>
      <c r="AO20" s="11"/>
      <c r="AP20" s="11"/>
      <c r="AQ20" s="11"/>
      <c r="AR20" s="11"/>
      <c r="AS20" s="11"/>
      <c r="AT20" s="11"/>
      <c r="AU20" s="12"/>
    </row>
    <row r="21" spans="1:47" x14ac:dyDescent="0.25">
      <c r="A21" s="4" t="s">
        <v>75</v>
      </c>
      <c r="B21" s="90">
        <f>120*850/700</f>
        <v>145.71428571428572</v>
      </c>
      <c r="C21" s="89">
        <f t="shared" ca="1" si="0"/>
        <v>144.20168067226879</v>
      </c>
      <c r="D21" s="89">
        <f t="shared" ca="1" si="0"/>
        <v>142.68907563025186</v>
      </c>
      <c r="E21" s="89">
        <f t="shared" ca="1" si="0"/>
        <v>141.17647058823496</v>
      </c>
      <c r="F21" s="89">
        <f t="shared" ca="1" si="0"/>
        <v>139.66386554621809</v>
      </c>
      <c r="G21" s="89">
        <f t="shared" ca="1" si="0"/>
        <v>138.15126050420122</v>
      </c>
      <c r="H21" s="89">
        <f t="shared" ca="1" si="0"/>
        <v>136.63865546218437</v>
      </c>
      <c r="I21" s="89">
        <f t="shared" ca="1" si="0"/>
        <v>135.12605042016753</v>
      </c>
      <c r="J21" s="89">
        <f t="shared" ca="1" si="0"/>
        <v>133.61344537815071</v>
      </c>
      <c r="K21" s="89">
        <f t="shared" ca="1" si="0"/>
        <v>132.1008403361339</v>
      </c>
      <c r="L21" s="89">
        <f t="shared" ca="1" si="0"/>
        <v>130.58823529411711</v>
      </c>
      <c r="M21" s="89">
        <f t="shared" ca="1" si="0"/>
        <v>129.07563025210035</v>
      </c>
      <c r="N21" s="89">
        <f t="shared" ca="1" si="0"/>
        <v>127.56302521008361</v>
      </c>
      <c r="O21" s="89">
        <f t="shared" ca="1" si="0"/>
        <v>126.05042016806686</v>
      </c>
      <c r="P21" s="89">
        <f t="shared" ca="1" si="0"/>
        <v>124.53781512605013</v>
      </c>
      <c r="Q21" s="89">
        <f t="shared" ca="1" si="0"/>
        <v>123.02521008403342</v>
      </c>
      <c r="R21" s="89">
        <f ca="1">(Q21+S21)/2</f>
        <v>121.5126050420167</v>
      </c>
      <c r="S21" s="87">
        <v>120</v>
      </c>
      <c r="T21" s="89">
        <f t="shared" ca="1" si="2"/>
        <v>119.99999999999991</v>
      </c>
      <c r="U21" s="89">
        <f t="shared" ca="1" si="2"/>
        <v>119.99999999999984</v>
      </c>
      <c r="V21" s="89">
        <f t="shared" ca="1" si="2"/>
        <v>119.99999999999977</v>
      </c>
      <c r="W21" s="89">
        <f t="shared" ca="1" si="2"/>
        <v>119.99999999999972</v>
      </c>
      <c r="X21" s="89">
        <f t="shared" ca="1" si="2"/>
        <v>119.99999999999967</v>
      </c>
      <c r="Y21" s="89">
        <f t="shared" ca="1" si="2"/>
        <v>119.99999999999963</v>
      </c>
      <c r="Z21" s="89">
        <f t="shared" ca="1" si="2"/>
        <v>119.9999999999996</v>
      </c>
      <c r="AA21" s="89">
        <f t="shared" ca="1" si="2"/>
        <v>119.99999999999959</v>
      </c>
      <c r="AB21" s="89">
        <f t="shared" ca="1" si="2"/>
        <v>119.99999999999957</v>
      </c>
      <c r="AC21" s="89">
        <f t="shared" ca="1" si="2"/>
        <v>119.99999999999957</v>
      </c>
      <c r="AD21" s="89">
        <f t="shared" ca="1" si="2"/>
        <v>119.99999999999957</v>
      </c>
      <c r="AE21" s="89">
        <f t="shared" ca="1" si="2"/>
        <v>119.99999999999959</v>
      </c>
      <c r="AF21" s="89">
        <f t="shared" ca="1" si="2"/>
        <v>119.9999999999996</v>
      </c>
      <c r="AG21" s="89">
        <f t="shared" ca="1" si="2"/>
        <v>119.99999999999963</v>
      </c>
      <c r="AH21" s="89">
        <f t="shared" ca="1" si="2"/>
        <v>119.99999999999967</v>
      </c>
      <c r="AI21" s="89">
        <f t="shared" ca="1" si="2"/>
        <v>119.99999999999972</v>
      </c>
      <c r="AJ21" s="89">
        <f t="shared" ca="1" si="2"/>
        <v>119.99999999999977</v>
      </c>
      <c r="AK21" s="89">
        <f t="shared" ca="1" si="2"/>
        <v>119.99999999999984</v>
      </c>
      <c r="AL21" s="89">
        <f ca="1">(AK21+AM21)/2</f>
        <v>119.99999999999991</v>
      </c>
      <c r="AM21" s="88">
        <v>120</v>
      </c>
      <c r="AN21" s="59"/>
      <c r="AO21" s="59"/>
      <c r="AP21" s="59">
        <v>692</v>
      </c>
      <c r="AQ21" s="9">
        <v>30</v>
      </c>
      <c r="AR21" s="59">
        <f>AP21/AQ21</f>
        <v>23.066666666666666</v>
      </c>
      <c r="AS21" s="59">
        <v>24</v>
      </c>
      <c r="AT21" s="9">
        <v>10</v>
      </c>
      <c r="AU21" s="10"/>
    </row>
    <row r="22" spans="1:47" x14ac:dyDescent="0.25">
      <c r="A22" s="4" t="s">
        <v>71</v>
      </c>
      <c r="B22" s="90">
        <f>180*700/610</f>
        <v>206.55737704918033</v>
      </c>
      <c r="C22" s="89">
        <f t="shared" ca="1" si="0"/>
        <v>204.99517839922842</v>
      </c>
      <c r="D22" s="89">
        <f t="shared" ca="1" si="0"/>
        <v>203.43297974927651</v>
      </c>
      <c r="E22" s="89">
        <f t="shared" ca="1" si="0"/>
        <v>201.87078109932463</v>
      </c>
      <c r="F22" s="89">
        <f t="shared" ca="1" si="0"/>
        <v>200.30858244937275</v>
      </c>
      <c r="G22" s="89">
        <f t="shared" ca="1" si="0"/>
        <v>198.7463837994209</v>
      </c>
      <c r="H22" s="89">
        <f t="shared" ca="1" si="0"/>
        <v>197.18418514946904</v>
      </c>
      <c r="I22" s="89">
        <f t="shared" ca="1" si="0"/>
        <v>195.62198649951722</v>
      </c>
      <c r="J22" s="89">
        <f t="shared" ca="1" si="0"/>
        <v>194.05978784956542</v>
      </c>
      <c r="K22" s="89">
        <f t="shared" ca="1" si="0"/>
        <v>192.49758919961363</v>
      </c>
      <c r="L22" s="89">
        <f t="shared" ca="1" si="0"/>
        <v>190.93539054966186</v>
      </c>
      <c r="M22" s="89">
        <f t="shared" ca="1" si="0"/>
        <v>189.37319189971012</v>
      </c>
      <c r="N22" s="89">
        <f t="shared" ca="1" si="0"/>
        <v>187.81099324975838</v>
      </c>
      <c r="O22" s="89">
        <f t="shared" ca="1" si="0"/>
        <v>186.24879459980667</v>
      </c>
      <c r="P22" s="89">
        <f t="shared" ca="1" si="0"/>
        <v>184.68659594985499</v>
      </c>
      <c r="Q22" s="89">
        <f t="shared" ca="1" si="0"/>
        <v>183.12439729990331</v>
      </c>
      <c r="R22" s="89">
        <f ca="1">(Q22+S22)/2</f>
        <v>181.56219864995165</v>
      </c>
      <c r="S22" s="87">
        <v>180</v>
      </c>
      <c r="T22" s="89">
        <f t="shared" ca="1" si="2"/>
        <v>179.99999999999983</v>
      </c>
      <c r="U22" s="89">
        <f t="shared" ca="1" si="2"/>
        <v>179.99999999999969</v>
      </c>
      <c r="V22" s="89">
        <f t="shared" ca="1" si="2"/>
        <v>179.99999999999955</v>
      </c>
      <c r="W22" s="89">
        <f t="shared" ca="1" si="2"/>
        <v>179.99999999999943</v>
      </c>
      <c r="X22" s="89">
        <f t="shared" ca="1" si="2"/>
        <v>179.99999999999935</v>
      </c>
      <c r="Y22" s="89">
        <f t="shared" ca="1" si="2"/>
        <v>179.99999999999926</v>
      </c>
      <c r="Z22" s="89">
        <f t="shared" ca="1" si="2"/>
        <v>179.9999999999992</v>
      </c>
      <c r="AA22" s="89">
        <f t="shared" ca="1" si="2"/>
        <v>179.99999999999918</v>
      </c>
      <c r="AB22" s="89">
        <f t="shared" ca="1" si="2"/>
        <v>179.99999999999915</v>
      </c>
      <c r="AC22" s="89">
        <f t="shared" ca="1" si="2"/>
        <v>179.99999999999915</v>
      </c>
      <c r="AD22" s="89">
        <f t="shared" ca="1" si="2"/>
        <v>179.99999999999915</v>
      </c>
      <c r="AE22" s="89">
        <f t="shared" ca="1" si="2"/>
        <v>179.99999999999918</v>
      </c>
      <c r="AF22" s="89">
        <f t="shared" ca="1" si="2"/>
        <v>179.9999999999992</v>
      </c>
      <c r="AG22" s="89">
        <f t="shared" ca="1" si="2"/>
        <v>179.99999999999926</v>
      </c>
      <c r="AH22" s="89">
        <f t="shared" ca="1" si="2"/>
        <v>179.99999999999935</v>
      </c>
      <c r="AI22" s="89">
        <f t="shared" ca="1" si="2"/>
        <v>179.99999999999943</v>
      </c>
      <c r="AJ22" s="89">
        <f t="shared" ca="1" si="2"/>
        <v>179.99999999999955</v>
      </c>
      <c r="AK22" s="89">
        <f t="shared" ca="1" si="2"/>
        <v>179.99999999999969</v>
      </c>
      <c r="AL22" s="89">
        <f ca="1">(AK22+AM22)/2</f>
        <v>179.99999999999983</v>
      </c>
      <c r="AM22" s="88">
        <v>180</v>
      </c>
      <c r="AN22" s="59"/>
      <c r="AO22" s="59"/>
      <c r="AP22" s="59">
        <v>615</v>
      </c>
      <c r="AQ22" s="9">
        <v>30</v>
      </c>
      <c r="AR22" s="59">
        <f>AP22/AQ22</f>
        <v>20.5</v>
      </c>
      <c r="AS22" s="59">
        <v>22</v>
      </c>
      <c r="AT22" s="9">
        <v>15</v>
      </c>
      <c r="AU22" s="10"/>
    </row>
    <row r="23" spans="1:47" x14ac:dyDescent="0.25">
      <c r="A23" s="4"/>
      <c r="B23" s="90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7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8"/>
      <c r="AN23" s="59"/>
      <c r="AO23" s="59"/>
      <c r="AP23" s="59"/>
      <c r="AQ23" s="9"/>
      <c r="AR23" s="59"/>
      <c r="AS23" s="59"/>
      <c r="AT23" s="9"/>
      <c r="AU23" s="10"/>
    </row>
    <row r="24" spans="1:47" ht="15.75" thickBot="1" x14ac:dyDescent="0.3">
      <c r="A24" s="8" t="s">
        <v>126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11"/>
      <c r="AN24" s="11"/>
      <c r="AO24" s="11"/>
      <c r="AP24" s="11"/>
      <c r="AQ24" s="11"/>
      <c r="AR24" s="11"/>
      <c r="AS24" s="11"/>
      <c r="AT24" s="11"/>
      <c r="AU24" s="12"/>
    </row>
    <row r="25" spans="1:47" x14ac:dyDescent="0.25">
      <c r="A25" s="4" t="s">
        <v>16</v>
      </c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7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8"/>
      <c r="AN25" s="59">
        <f>3077-((3077-2769)/10*3)</f>
        <v>2984.6</v>
      </c>
      <c r="AO25" s="59">
        <f>AP25</f>
        <v>1140</v>
      </c>
      <c r="AP25" s="59">
        <v>1140</v>
      </c>
      <c r="AQ25" s="9">
        <v>40</v>
      </c>
      <c r="AR25" s="59">
        <f>AP25/AQ25</f>
        <v>28.5</v>
      </c>
      <c r="AS25" s="59">
        <v>14.8</v>
      </c>
      <c r="AT25" s="9"/>
      <c r="AU25" s="10"/>
    </row>
    <row r="26" spans="1:47" x14ac:dyDescent="0.25">
      <c r="A26" s="4" t="s">
        <v>17</v>
      </c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7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8"/>
      <c r="AN26" s="59"/>
      <c r="AO26" s="59">
        <f>AP26</f>
        <v>2080</v>
      </c>
      <c r="AP26" s="59">
        <v>2080</v>
      </c>
      <c r="AQ26" s="9">
        <v>40</v>
      </c>
      <c r="AR26" s="59">
        <f>AP26/AQ26</f>
        <v>52</v>
      </c>
      <c r="AS26" s="59">
        <v>14.8</v>
      </c>
      <c r="AT26" s="9"/>
      <c r="AU26" s="10"/>
    </row>
    <row r="27" spans="1:47" x14ac:dyDescent="0.25">
      <c r="A27" s="4" t="s">
        <v>28</v>
      </c>
      <c r="B27" s="87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7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8"/>
      <c r="AN27" s="59">
        <v>900</v>
      </c>
      <c r="AO27" s="59">
        <v>805</v>
      </c>
      <c r="AP27" s="59">
        <v>753</v>
      </c>
      <c r="AQ27" s="9">
        <v>20</v>
      </c>
      <c r="AR27" s="59">
        <v>48</v>
      </c>
      <c r="AS27" s="59">
        <v>14</v>
      </c>
      <c r="AT27" s="9"/>
      <c r="AU27" s="10"/>
    </row>
    <row r="28" spans="1:47" x14ac:dyDescent="0.25">
      <c r="A28" s="4" t="s">
        <v>29</v>
      </c>
      <c r="B28" s="87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7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8"/>
      <c r="AN28" s="59">
        <f>AN27*AO28/AO27</f>
        <v>836.65338645418331</v>
      </c>
      <c r="AO28" s="59">
        <f>AO27*AP28/AP27</f>
        <v>748.33997343957503</v>
      </c>
      <c r="AP28" s="59">
        <v>700</v>
      </c>
      <c r="AQ28" s="9">
        <v>35</v>
      </c>
      <c r="AR28" s="59">
        <v>42</v>
      </c>
      <c r="AS28" s="59">
        <v>52</v>
      </c>
      <c r="AT28" s="9"/>
      <c r="AU28" s="10"/>
    </row>
    <row r="29" spans="1:47" ht="15.75" thickBot="1" x14ac:dyDescent="0.3">
      <c r="A29" s="8" t="s">
        <v>154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11"/>
      <c r="AN29" s="11"/>
      <c r="AO29" s="11"/>
      <c r="AP29" s="11"/>
      <c r="AQ29" s="11"/>
      <c r="AR29" s="11"/>
      <c r="AS29" s="11"/>
      <c r="AT29" s="11"/>
      <c r="AU29" s="12"/>
    </row>
    <row r="30" spans="1:47" x14ac:dyDescent="0.25">
      <c r="A30" s="4" t="s">
        <v>147</v>
      </c>
      <c r="B30" s="87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7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8"/>
      <c r="AN30" s="59"/>
      <c r="AO30" s="59"/>
      <c r="AP30" s="59">
        <v>1336</v>
      </c>
      <c r="AQ30" s="9">
        <v>16</v>
      </c>
      <c r="AR30" s="59">
        <v>119</v>
      </c>
      <c r="AS30" s="59">
        <v>15</v>
      </c>
      <c r="AT30" s="9"/>
      <c r="AU30" s="10"/>
    </row>
    <row r="33" spans="1:7" x14ac:dyDescent="0.25">
      <c r="A33" t="s">
        <v>181</v>
      </c>
      <c r="B33" s="121">
        <v>2013</v>
      </c>
      <c r="C33" s="121"/>
      <c r="D33" s="121">
        <v>2030</v>
      </c>
      <c r="E33" s="121"/>
      <c r="F33" s="121">
        <v>2050</v>
      </c>
      <c r="G33" s="121"/>
    </row>
    <row r="34" spans="1:7" x14ac:dyDescent="0.25">
      <c r="B34" s="74" t="s">
        <v>182</v>
      </c>
      <c r="C34" s="74" t="s">
        <v>183</v>
      </c>
      <c r="D34" s="74" t="s">
        <v>182</v>
      </c>
      <c r="E34" s="74" t="s">
        <v>183</v>
      </c>
      <c r="F34" s="74" t="s">
        <v>182</v>
      </c>
      <c r="G34" s="74" t="s">
        <v>183</v>
      </c>
    </row>
    <row r="35" spans="1:7" x14ac:dyDescent="0.25">
      <c r="A35" t="s">
        <v>62</v>
      </c>
      <c r="B35" s="68">
        <v>6245000</v>
      </c>
      <c r="C35" s="69">
        <f>B35/B$38</f>
        <v>0.67550027041644134</v>
      </c>
      <c r="D35" s="68"/>
      <c r="E35" s="69">
        <f>(C35+G35)/2</f>
        <v>0.47255668928088324</v>
      </c>
      <c r="F35" s="68">
        <f>Production!B8</f>
        <v>32567916.511</v>
      </c>
      <c r="G35" s="69">
        <f>F35/F$38</f>
        <v>0.26961310814532513</v>
      </c>
    </row>
    <row r="36" spans="1:7" x14ac:dyDescent="0.25">
      <c r="A36" t="s">
        <v>61</v>
      </c>
      <c r="B36" s="68">
        <v>3000000</v>
      </c>
      <c r="C36" s="69">
        <f>B36/B$38</f>
        <v>0.32449972958355866</v>
      </c>
      <c r="D36" s="68"/>
      <c r="E36" s="69">
        <f t="shared" ref="E36:E37" si="9">(C36+G36)/2</f>
        <v>0.52538705804711316</v>
      </c>
      <c r="F36" s="68">
        <f>Production!B7</f>
        <v>87730317.515599996</v>
      </c>
      <c r="G36" s="69">
        <f>F36/F$38</f>
        <v>0.72627438651066778</v>
      </c>
    </row>
    <row r="37" spans="1:7" x14ac:dyDescent="0.25">
      <c r="A37" t="s">
        <v>74</v>
      </c>
      <c r="B37" s="68">
        <v>0</v>
      </c>
      <c r="C37" s="69">
        <f>B37/B$38</f>
        <v>0</v>
      </c>
      <c r="D37" s="68"/>
      <c r="E37" s="69">
        <f t="shared" si="9"/>
        <v>2.0562526720035328E-3</v>
      </c>
      <c r="F37" s="68">
        <f>Production!B21</f>
        <v>496770.099999998</v>
      </c>
      <c r="G37" s="69">
        <f>F37/F$38</f>
        <v>4.1125053440070657E-3</v>
      </c>
    </row>
    <row r="38" spans="1:7" x14ac:dyDescent="0.25">
      <c r="A38" t="s">
        <v>184</v>
      </c>
      <c r="B38" s="68">
        <f>SUM(B35:B37)</f>
        <v>9245000</v>
      </c>
      <c r="D38" s="68">
        <f>SUM(D35:D37)</f>
        <v>0</v>
      </c>
      <c r="F38" s="68">
        <f>SUM(F35:F37)</f>
        <v>120795004.1266</v>
      </c>
    </row>
  </sheetData>
  <mergeCells count="3">
    <mergeCell ref="B33:C33"/>
    <mergeCell ref="D33:E33"/>
    <mergeCell ref="F33:G33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2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58" bestFit="1" customWidth="1"/>
    <col min="2" max="2" width="15.85546875" bestFit="1" customWidth="1"/>
    <col min="3" max="3" width="18.5703125" bestFit="1" customWidth="1"/>
    <col min="4" max="4" width="17.140625" customWidth="1"/>
    <col min="5" max="5" width="18.5703125" bestFit="1" customWidth="1"/>
    <col min="6" max="6" width="17.140625" customWidth="1"/>
    <col min="7" max="7" width="18.5703125" bestFit="1" customWidth="1"/>
    <col min="8" max="8" width="17.140625" customWidth="1"/>
    <col min="9" max="9" width="18.5703125" bestFit="1" customWidth="1"/>
  </cols>
  <sheetData>
    <row r="1" spans="1:8" x14ac:dyDescent="0.25">
      <c r="A1" t="s">
        <v>118</v>
      </c>
      <c r="B1" s="32" t="s">
        <v>207</v>
      </c>
      <c r="C1" s="32" t="s">
        <v>145</v>
      </c>
      <c r="F1" t="s">
        <v>192</v>
      </c>
      <c r="G1" t="s">
        <v>193</v>
      </c>
      <c r="H1" t="s">
        <v>194</v>
      </c>
    </row>
    <row r="2" spans="1:8" x14ac:dyDescent="0.25">
      <c r="A2" s="63" t="s">
        <v>57</v>
      </c>
      <c r="B2" s="110">
        <v>3000</v>
      </c>
      <c r="C2" s="73">
        <f>B2*(LCOE!$AR$3+LCOE!$AS$3)/1000000</f>
        <v>0.70008000000000004</v>
      </c>
      <c r="D2" s="76">
        <f>C2*1000</f>
        <v>700.08</v>
      </c>
      <c r="F2" s="110">
        <v>3000</v>
      </c>
      <c r="G2" s="110">
        <v>3000</v>
      </c>
      <c r="H2" s="110">
        <v>3000</v>
      </c>
    </row>
    <row r="3" spans="1:8" x14ac:dyDescent="0.25">
      <c r="A3" s="63" t="s">
        <v>58</v>
      </c>
      <c r="B3" s="110">
        <v>13444.6642529905</v>
      </c>
      <c r="C3" s="73">
        <f>B3*(LCOE!$AR$22+LCOE!$AS$22)/1000000</f>
        <v>0.57139823075209628</v>
      </c>
      <c r="D3" s="76">
        <f t="shared" ref="D3:D25" si="0">C3*1000</f>
        <v>571.39823075209631</v>
      </c>
      <c r="F3" s="110">
        <v>8849.2313018426594</v>
      </c>
      <c r="G3" s="110">
        <v>1.0081246999999599E-3</v>
      </c>
      <c r="H3" s="110">
        <v>1.5049210999999901E-3</v>
      </c>
    </row>
    <row r="4" spans="1:8" x14ac:dyDescent="0.25">
      <c r="A4" s="63" t="s">
        <v>21</v>
      </c>
      <c r="B4" s="110">
        <v>429</v>
      </c>
      <c r="C4" s="73">
        <f>B4*(LCOE!$AR$4+LCOE!$AS$4)/1000000</f>
        <v>0.15423408</v>
      </c>
      <c r="D4" s="76">
        <f t="shared" si="0"/>
        <v>154.23408000000001</v>
      </c>
      <c r="F4" s="110">
        <v>429</v>
      </c>
      <c r="G4" s="110">
        <v>429</v>
      </c>
      <c r="H4" s="110">
        <v>429</v>
      </c>
    </row>
    <row r="5" spans="1:8" x14ac:dyDescent="0.25">
      <c r="A5" s="63" t="s">
        <v>59</v>
      </c>
      <c r="B5" s="110">
        <v>7000</v>
      </c>
      <c r="C5" s="73">
        <f>7000*(LCOE!$AR$25+LCOE!$AS$25)/1000000+('Capacités installées'!B5-7000)*(LCOE!$AR$26+LCOE!$AS$26)/1000000</f>
        <v>0.30309999999999998</v>
      </c>
      <c r="D5" s="76">
        <f t="shared" si="0"/>
        <v>303.09999999999997</v>
      </c>
      <c r="F5" s="110">
        <v>7000.0001000000002</v>
      </c>
      <c r="G5" s="110">
        <v>7000</v>
      </c>
      <c r="H5" s="110">
        <v>7000</v>
      </c>
    </row>
    <row r="6" spans="1:8" x14ac:dyDescent="0.25">
      <c r="A6" s="63" t="s">
        <v>60</v>
      </c>
      <c r="B6" s="110">
        <v>3.19840730000007E-4</v>
      </c>
      <c r="C6" s="73">
        <f>B6*(LCOE!$AR$30+LCOE!$AS$30)/1000000</f>
        <v>4.2858657820000936E-8</v>
      </c>
      <c r="D6" s="76">
        <f t="shared" si="0"/>
        <v>4.2858657820000933E-5</v>
      </c>
      <c r="F6" s="110">
        <v>122.764120162702</v>
      </c>
      <c r="G6" s="110">
        <v>82.643518525497498</v>
      </c>
      <c r="H6" s="110">
        <v>204.95725567660099</v>
      </c>
    </row>
    <row r="7" spans="1:8" x14ac:dyDescent="0.25">
      <c r="A7" s="63" t="s">
        <v>61</v>
      </c>
      <c r="B7" s="110">
        <v>68309.5</v>
      </c>
      <c r="C7" s="73">
        <f>B7*(LCOE!$AR$13+LCOE!$AS$13)/1000000</f>
        <v>4.1368233200000004</v>
      </c>
      <c r="D7" s="76">
        <f t="shared" si="0"/>
        <v>4136.8233200000004</v>
      </c>
      <c r="F7" s="110">
        <v>22438.450000000401</v>
      </c>
      <c r="G7" s="110">
        <v>18688.449999999699</v>
      </c>
      <c r="H7" s="110">
        <v>18215</v>
      </c>
    </row>
    <row r="8" spans="1:8" x14ac:dyDescent="0.25">
      <c r="A8" s="63" t="s">
        <v>62</v>
      </c>
      <c r="B8" s="110">
        <v>24350.5</v>
      </c>
      <c r="C8" s="73">
        <f>B8*(LCOE!$AR$12+LCOE!$AS$12)/1000000</f>
        <v>1.5779124</v>
      </c>
      <c r="D8" s="76">
        <f t="shared" si="0"/>
        <v>1577.9123999999999</v>
      </c>
      <c r="F8" s="110">
        <v>35235.947999999597</v>
      </c>
      <c r="G8" s="110">
        <v>22552.5449999999</v>
      </c>
      <c r="H8" s="110">
        <v>2360</v>
      </c>
    </row>
    <row r="9" spans="1:8" x14ac:dyDescent="0.25">
      <c r="A9" s="63" t="s">
        <v>63</v>
      </c>
      <c r="B9" s="110">
        <v>29477.000700174602</v>
      </c>
      <c r="C9" s="73">
        <f>B9*(LCOE!$AR$6+LCOE!$AS$6)/1000000</f>
        <v>3.1304574743585429</v>
      </c>
      <c r="D9" s="76">
        <f t="shared" si="0"/>
        <v>3130.4574743585431</v>
      </c>
      <c r="F9" s="110">
        <v>63553.297000903403</v>
      </c>
      <c r="G9" s="110">
        <v>45685.655000177401</v>
      </c>
      <c r="H9" s="110">
        <v>7250.5380003357805</v>
      </c>
    </row>
    <row r="10" spans="1:8" x14ac:dyDescent="0.25">
      <c r="A10" s="63" t="s">
        <v>64</v>
      </c>
      <c r="B10" s="110">
        <v>18258.104550026001</v>
      </c>
      <c r="C10" s="73">
        <f>B10*(LCOE!$AR$7+LCOE!$AS$7)/1000000</f>
        <v>2.5095764704010737</v>
      </c>
      <c r="D10" s="76">
        <f t="shared" si="0"/>
        <v>2509.5764704010735</v>
      </c>
      <c r="F10" s="110">
        <v>21028.3553165823</v>
      </c>
      <c r="G10" s="110">
        <v>21000.000010841399</v>
      </c>
      <c r="H10" s="110">
        <v>7167.73000844135</v>
      </c>
    </row>
    <row r="11" spans="1:8" x14ac:dyDescent="0.25">
      <c r="A11" s="63" t="s">
        <v>65</v>
      </c>
      <c r="B11" s="110">
        <v>15355.3030004908</v>
      </c>
      <c r="C11" s="73">
        <f>B11*(LCOE!$AR$9+LCOE!$AS$9)/1000000</f>
        <v>4.0299992724788103</v>
      </c>
      <c r="D11" s="76">
        <f t="shared" si="0"/>
        <v>4029.9992724788103</v>
      </c>
      <c r="F11" s="110">
        <v>7841.8650031098396</v>
      </c>
      <c r="G11" s="110">
        <v>3720.0000001032799</v>
      </c>
      <c r="H11" s="110">
        <v>2820.0000001314402</v>
      </c>
    </row>
    <row r="12" spans="1:8" x14ac:dyDescent="0.25">
      <c r="A12" s="63" t="s">
        <v>15</v>
      </c>
      <c r="B12" s="110">
        <v>240</v>
      </c>
      <c r="C12" s="73">
        <f>B12*(LCOE!$AR$16+LCOE!$AS$16)/1000000</f>
        <v>5.8647999999999999E-2</v>
      </c>
      <c r="D12" s="76">
        <f t="shared" si="0"/>
        <v>58.647999999999996</v>
      </c>
      <c r="F12" s="110">
        <v>240</v>
      </c>
      <c r="G12" s="110">
        <v>240</v>
      </c>
      <c r="H12" s="110">
        <v>240</v>
      </c>
    </row>
    <row r="13" spans="1:8" x14ac:dyDescent="0.25">
      <c r="A13" s="63" t="s">
        <v>66</v>
      </c>
      <c r="B13" s="110">
        <v>5114.8500006739496</v>
      </c>
      <c r="C13" s="73" t="e">
        <f>B13*(LCOE!#REF!+LCOE!#REF!)/1000000</f>
        <v>#REF!</v>
      </c>
      <c r="D13" s="76" t="e">
        <f t="shared" si="0"/>
        <v>#REF!</v>
      </c>
      <c r="F13" s="110">
        <v>7.8711799999994702E-6</v>
      </c>
      <c r="G13" s="110">
        <v>1.79947499999999E-7</v>
      </c>
      <c r="H13" s="110">
        <v>1.5565920000000099E-7</v>
      </c>
    </row>
    <row r="14" spans="1:8" x14ac:dyDescent="0.25">
      <c r="A14" s="23" t="s">
        <v>67</v>
      </c>
      <c r="B14" s="110">
        <v>0</v>
      </c>
      <c r="C14" s="73"/>
      <c r="D14" s="76">
        <f t="shared" si="0"/>
        <v>0</v>
      </c>
      <c r="F14" s="110">
        <v>1.91153499999999E-3</v>
      </c>
      <c r="G14" s="110">
        <v>7144.7567738158796</v>
      </c>
      <c r="H14" s="110">
        <v>36499.420382710297</v>
      </c>
    </row>
    <row r="15" spans="1:8" x14ac:dyDescent="0.25">
      <c r="A15" s="63" t="s">
        <v>68</v>
      </c>
      <c r="B15" s="110">
        <v>249.71000034865699</v>
      </c>
      <c r="C15" s="73" t="e">
        <f>B15*(LCOE!#REF!+LCOE!#REF!)/1000000</f>
        <v>#REF!</v>
      </c>
      <c r="D15" s="76" t="e">
        <f t="shared" si="0"/>
        <v>#REF!</v>
      </c>
      <c r="F15" s="110">
        <v>2.2880199999999802E-6</v>
      </c>
      <c r="G15" s="110">
        <v>5.1735999999995997E-8</v>
      </c>
      <c r="H15" s="110">
        <v>2.4674659999997301E-7</v>
      </c>
    </row>
    <row r="16" spans="1:8" x14ac:dyDescent="0.25">
      <c r="A16" t="s">
        <v>69</v>
      </c>
      <c r="B16" s="110">
        <v>13208</v>
      </c>
      <c r="C16" s="73">
        <f>B16*(LCOE!$AR$18+LCOE!$AS$18)/1000000</f>
        <v>1.8315313466666669</v>
      </c>
      <c r="D16" s="76">
        <f t="shared" si="0"/>
        <v>1831.5313466666669</v>
      </c>
      <c r="F16" s="110">
        <v>13208</v>
      </c>
      <c r="G16" s="110">
        <v>13208</v>
      </c>
      <c r="H16" s="110">
        <v>13208</v>
      </c>
    </row>
    <row r="17" spans="1:8" x14ac:dyDescent="0.25">
      <c r="A17" t="s">
        <v>70</v>
      </c>
      <c r="B17" s="110">
        <v>7628</v>
      </c>
      <c r="C17" s="73" t="e">
        <f>B17*(LCOE!#REF!+LCOE!#REF!)/1000000</f>
        <v>#REF!</v>
      </c>
      <c r="D17" s="76" t="e">
        <f t="shared" si="0"/>
        <v>#REF!</v>
      </c>
      <c r="F17" s="110">
        <v>7628</v>
      </c>
      <c r="G17" s="110">
        <v>7628</v>
      </c>
      <c r="H17" s="110">
        <v>7628</v>
      </c>
    </row>
    <row r="18" spans="1:8" x14ac:dyDescent="0.25">
      <c r="A18" s="63" t="s">
        <v>18</v>
      </c>
      <c r="B18" s="110">
        <v>135</v>
      </c>
      <c r="C18" s="73">
        <f>B18*(LCOE!$AR$17+LCOE!$AS$17)/1000000</f>
        <v>4.0702500000000003E-2</v>
      </c>
      <c r="D18" s="76">
        <f t="shared" si="0"/>
        <v>40.702500000000001</v>
      </c>
      <c r="F18" s="110">
        <v>135</v>
      </c>
      <c r="G18" s="110">
        <v>135</v>
      </c>
      <c r="H18" s="110">
        <v>135</v>
      </c>
    </row>
    <row r="19" spans="1:8" x14ac:dyDescent="0.25">
      <c r="A19" s="63" t="s">
        <v>71</v>
      </c>
      <c r="B19" s="110">
        <v>0</v>
      </c>
      <c r="C19" s="73">
        <f>B19*(LCOE!$AR$22+LCOE!$AS$22)/1000000</f>
        <v>0</v>
      </c>
      <c r="D19" s="76">
        <f t="shared" si="0"/>
        <v>0</v>
      </c>
      <c r="F19" s="110">
        <v>6.5839890000001997E-3</v>
      </c>
      <c r="G19" s="110">
        <v>7.9098850000001596E-4</v>
      </c>
      <c r="H19" s="110">
        <v>1869.8842267923801</v>
      </c>
    </row>
    <row r="20" spans="1:8" x14ac:dyDescent="0.25">
      <c r="A20" s="63" t="s">
        <v>72</v>
      </c>
      <c r="B20" s="110">
        <v>9383.0500049724706</v>
      </c>
      <c r="C20" s="73">
        <f>B20*(LCOE!$AR$10+LCOE!$AS$10)/1000000</f>
        <v>3.8264077920277737</v>
      </c>
      <c r="D20" s="76">
        <f t="shared" si="0"/>
        <v>3826.4077920277737</v>
      </c>
      <c r="F20" s="110">
        <v>3.7756164779997897E-5</v>
      </c>
      <c r="G20" s="110">
        <v>5.5992889999997495E-7</v>
      </c>
      <c r="H20" s="110">
        <v>1.1873422999999301E-6</v>
      </c>
    </row>
    <row r="21" spans="1:8" x14ac:dyDescent="0.25">
      <c r="A21" s="63" t="s">
        <v>73</v>
      </c>
      <c r="B21" s="110">
        <v>13586.524149755</v>
      </c>
      <c r="C21" s="73">
        <f>B21*(LCOE!$AR$28+LCOE!$AS$28)/1000000</f>
        <v>1.27713327007697</v>
      </c>
      <c r="D21" s="76">
        <f t="shared" si="0"/>
        <v>1277.1332700769699</v>
      </c>
      <c r="F21" s="110">
        <v>7952.0178018598199</v>
      </c>
      <c r="G21" s="110">
        <v>112.005783547704</v>
      </c>
      <c r="H21" s="110">
        <v>6.19590200000014E-4</v>
      </c>
    </row>
    <row r="22" spans="1:8" x14ac:dyDescent="0.25">
      <c r="A22" s="63" t="s">
        <v>74</v>
      </c>
      <c r="B22" s="110">
        <v>416</v>
      </c>
      <c r="C22" s="73">
        <f>B22*(LCOE!$AR$14+LCOE!$AS$14)/1000000</f>
        <v>0.11039253333333333</v>
      </c>
      <c r="D22" s="76">
        <f t="shared" si="0"/>
        <v>110.39253333333333</v>
      </c>
      <c r="F22" s="110">
        <v>416</v>
      </c>
      <c r="G22" s="110">
        <v>416</v>
      </c>
      <c r="H22" s="110">
        <v>416</v>
      </c>
    </row>
    <row r="23" spans="1:8" x14ac:dyDescent="0.25">
      <c r="A23" t="s">
        <v>75</v>
      </c>
      <c r="B23" s="110">
        <v>0</v>
      </c>
      <c r="C23" s="73">
        <f>B23*(LCOE!$AR$21+LCOE!$AS$21)/1000000</f>
        <v>0</v>
      </c>
      <c r="D23" s="76">
        <f t="shared" si="0"/>
        <v>0</v>
      </c>
      <c r="F23" s="110">
        <v>12761.054787695801</v>
      </c>
      <c r="G23" s="110">
        <v>23318.956555237699</v>
      </c>
      <c r="H23" s="110">
        <v>14039.1991799311</v>
      </c>
    </row>
    <row r="24" spans="1:8" x14ac:dyDescent="0.25">
      <c r="A24" s="63" t="s">
        <v>76</v>
      </c>
      <c r="B24" s="110">
        <v>20452.4046197881</v>
      </c>
      <c r="C24" s="73">
        <f>B24*(LCOE!$AR$27+LCOE!$AS$27)/1000000</f>
        <v>1.2680490864268623</v>
      </c>
      <c r="D24" s="76">
        <f t="shared" si="0"/>
        <v>1268.0490864268622</v>
      </c>
      <c r="F24" s="110">
        <v>10877.2256773109</v>
      </c>
      <c r="G24" s="110">
        <v>8001.2754479640398</v>
      </c>
      <c r="H24" s="110">
        <v>2166.7207457263298</v>
      </c>
    </row>
    <row r="25" spans="1:8" x14ac:dyDescent="0.25">
      <c r="A25" s="63" t="s">
        <v>77</v>
      </c>
      <c r="B25" s="110">
        <v>916.64470000001802</v>
      </c>
      <c r="C25" s="73">
        <f>B25*(LCOE!$AR$5+LCOE!$AS$5)/1000000</f>
        <v>0.29786369526500589</v>
      </c>
      <c r="D25" s="76">
        <f t="shared" si="0"/>
        <v>297.8636952650059</v>
      </c>
      <c r="F25" s="110">
        <v>916.64480000000799</v>
      </c>
      <c r="G25" s="110">
        <v>916.64470000001802</v>
      </c>
      <c r="H25" s="110">
        <v>916.64470000001802</v>
      </c>
    </row>
    <row r="27" spans="1:8" x14ac:dyDescent="0.25">
      <c r="B27" s="72" t="s">
        <v>56</v>
      </c>
      <c r="C27" s="72" t="s">
        <v>153</v>
      </c>
    </row>
    <row r="28" spans="1:8" x14ac:dyDescent="0.25">
      <c r="A28" s="77" t="s">
        <v>132</v>
      </c>
      <c r="B28" s="78">
        <v>32292.045552836724</v>
      </c>
      <c r="C28" s="42" t="e">
        <f>(C2+C4+C7+C8+C9+C10+C11+C12+C13+C15+C16+C17+C18+C20+C21+C23+C25)*1000</f>
        <v>#REF!</v>
      </c>
    </row>
    <row r="29" spans="1:8" x14ac:dyDescent="0.25">
      <c r="A29" s="79" t="s">
        <v>133</v>
      </c>
      <c r="B29" s="80">
        <v>360.68590377119841</v>
      </c>
      <c r="C29" s="76">
        <f>'Coûts annuel génération élec'!AP26</f>
        <v>372.85539501920005</v>
      </c>
    </row>
    <row r="30" spans="1:8" x14ac:dyDescent="0.25">
      <c r="A30" s="77" t="s">
        <v>134</v>
      </c>
      <c r="B30" s="80">
        <v>28.099482605991597</v>
      </c>
      <c r="C30" s="76">
        <f>D6</f>
        <v>4.2858657820000933E-5</v>
      </c>
    </row>
    <row r="31" spans="1:8" x14ac:dyDescent="0.25">
      <c r="A31" s="77" t="s">
        <v>148</v>
      </c>
      <c r="B31" s="78">
        <v>53.312821728000003</v>
      </c>
    </row>
    <row r="32" spans="1:8" x14ac:dyDescent="0.25">
      <c r="A32" s="77" t="s">
        <v>135</v>
      </c>
      <c r="B32" s="80">
        <v>2241.2852778656193</v>
      </c>
      <c r="C32" s="76">
        <f>'Coûts annuels réseaux et stocka'!AP14</f>
        <v>2646.9168504344711</v>
      </c>
    </row>
    <row r="33" spans="1:3" x14ac:dyDescent="0.25">
      <c r="A33" s="77" t="s">
        <v>136</v>
      </c>
      <c r="B33" s="80">
        <v>11117.5</v>
      </c>
      <c r="C33" s="76">
        <f>'Coûts annuels réseaux et stocka'!AP9</f>
        <v>11117.5</v>
      </c>
    </row>
    <row r="34" spans="1:3" x14ac:dyDescent="0.25">
      <c r="A34" s="77" t="s">
        <v>137</v>
      </c>
      <c r="B34" s="78">
        <v>2645.4776418603101</v>
      </c>
      <c r="C34" s="76">
        <f>(C21+C3)*1000</f>
        <v>1848.5315008290661</v>
      </c>
    </row>
    <row r="35" spans="1:3" x14ac:dyDescent="0.25">
      <c r="A35" s="77" t="s">
        <v>138</v>
      </c>
      <c r="B35" s="78">
        <v>578.040751</v>
      </c>
      <c r="C35" s="76">
        <f>C5*1000</f>
        <v>303.09999999999997</v>
      </c>
    </row>
    <row r="36" spans="1:3" x14ac:dyDescent="0.25">
      <c r="A36" s="77" t="s">
        <v>139</v>
      </c>
      <c r="B36" s="78">
        <v>746.58371097599593</v>
      </c>
      <c r="C36" s="76">
        <f>C24*1000</f>
        <v>1268.0490864268622</v>
      </c>
    </row>
    <row r="37" spans="1:3" x14ac:dyDescent="0.25">
      <c r="A37" s="77" t="s">
        <v>140</v>
      </c>
      <c r="B37" s="78">
        <v>0</v>
      </c>
      <c r="C37" s="76">
        <f>(C14+C19+C23)*1000</f>
        <v>0</v>
      </c>
    </row>
    <row r="38" spans="1:3" x14ac:dyDescent="0.25">
      <c r="A38" s="77" t="s">
        <v>149</v>
      </c>
      <c r="B38" s="78">
        <v>0</v>
      </c>
      <c r="C38" s="76"/>
    </row>
    <row r="39" spans="1:3" x14ac:dyDescent="0.25">
      <c r="A39" s="77" t="s">
        <v>150</v>
      </c>
      <c r="B39" s="78">
        <v>0</v>
      </c>
      <c r="C39" s="76"/>
    </row>
    <row r="40" spans="1:3" x14ac:dyDescent="0.25">
      <c r="A40" s="77" t="s">
        <v>141</v>
      </c>
      <c r="B40" s="80">
        <v>450</v>
      </c>
      <c r="C40" s="76">
        <f>'Coûts annuels réseaux et stocka'!AP19</f>
        <v>453.5</v>
      </c>
    </row>
    <row r="41" spans="1:3" x14ac:dyDescent="0.25">
      <c r="A41" s="81" t="s">
        <v>151</v>
      </c>
      <c r="B41" s="82">
        <v>50406.405499187837</v>
      </c>
    </row>
    <row r="42" spans="1:3" x14ac:dyDescent="0.25">
      <c r="A42" s="79" t="s">
        <v>152</v>
      </c>
      <c r="B42" s="78" t="e">
        <f>B41/([1]Consommation!A27+[1]Consommation!A28+[1]Consommation!A29+[1]Consommation!A32)*1000000</f>
        <v>#DIV/0!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baseColWidth="10" defaultRowHeight="15" x14ac:dyDescent="0.25"/>
  <cols>
    <col min="1" max="1" width="26.7109375" bestFit="1" customWidth="1"/>
    <col min="2" max="2" width="16.42578125" bestFit="1" customWidth="1"/>
    <col min="3" max="3" width="21.5703125" customWidth="1"/>
  </cols>
  <sheetData>
    <row r="1" spans="1:3" x14ac:dyDescent="0.25">
      <c r="B1" s="121"/>
      <c r="C1" s="121"/>
    </row>
    <row r="2" spans="1:3" s="66" customFormat="1" ht="44.45" customHeight="1" x14ac:dyDescent="0.25">
      <c r="B2" s="67" t="s">
        <v>196</v>
      </c>
      <c r="C2" s="67" t="s">
        <v>157</v>
      </c>
    </row>
    <row r="3" spans="1:3" x14ac:dyDescent="0.25">
      <c r="A3" t="s">
        <v>57</v>
      </c>
      <c r="B3" s="92">
        <v>23303462.188700002</v>
      </c>
      <c r="C3" s="83">
        <f>(B3*LCOE!AM3/1000000)-'Capacités installées'!C29</f>
        <v>1258.3869581898002</v>
      </c>
    </row>
    <row r="4" spans="1:3" x14ac:dyDescent="0.25">
      <c r="A4" t="s">
        <v>58</v>
      </c>
      <c r="B4" s="92">
        <v>16118594.429300001</v>
      </c>
      <c r="C4" s="83"/>
    </row>
    <row r="5" spans="1:3" x14ac:dyDescent="0.25">
      <c r="A5" t="s">
        <v>21</v>
      </c>
      <c r="B5" s="92">
        <v>3758040</v>
      </c>
      <c r="C5" s="83">
        <f>B5*LCOE!AM4/1000000</f>
        <v>225.48240000000001</v>
      </c>
    </row>
    <row r="6" spans="1:3" x14ac:dyDescent="0.25">
      <c r="A6" t="s">
        <v>59</v>
      </c>
      <c r="B6" s="92">
        <v>12134739.4727</v>
      </c>
      <c r="C6" s="84"/>
    </row>
    <row r="7" spans="1:3" x14ac:dyDescent="0.25">
      <c r="A7" t="s">
        <v>61</v>
      </c>
      <c r="B7" s="92">
        <v>87730317.515599996</v>
      </c>
      <c r="C7" s="83">
        <f>B7*LCOE!AM13/1000000</f>
        <v>7457.0769888259993</v>
      </c>
    </row>
    <row r="8" spans="1:3" x14ac:dyDescent="0.25">
      <c r="A8" t="s">
        <v>62</v>
      </c>
      <c r="B8" s="92">
        <v>32567916.511</v>
      </c>
      <c r="C8" s="83">
        <f>B8*LCOE!AM12/1000000</f>
        <v>1954.0749906600001</v>
      </c>
    </row>
    <row r="9" spans="1:3" x14ac:dyDescent="0.25">
      <c r="A9" t="s">
        <v>63</v>
      </c>
      <c r="B9" s="92">
        <v>82481641.619299993</v>
      </c>
      <c r="C9" s="83">
        <f>B9*LCOE!AM6/1000000</f>
        <v>5361.3067052544993</v>
      </c>
    </row>
    <row r="10" spans="1:3" x14ac:dyDescent="0.25">
      <c r="A10" t="s">
        <v>64</v>
      </c>
      <c r="B10" s="92">
        <v>44441011.1824999</v>
      </c>
      <c r="C10" s="83">
        <f>B10*LCOE!AM7/1000000</f>
        <v>2888.6657268624936</v>
      </c>
    </row>
    <row r="11" spans="1:3" x14ac:dyDescent="0.25">
      <c r="A11" t="s">
        <v>65</v>
      </c>
      <c r="B11" s="92">
        <v>63505048.441100799</v>
      </c>
      <c r="C11" s="83">
        <f>B11*LCOE!AM9/1000000</f>
        <v>5080.4038752880642</v>
      </c>
    </row>
    <row r="12" spans="1:3" x14ac:dyDescent="0.25">
      <c r="A12" t="s">
        <v>15</v>
      </c>
      <c r="B12" s="92">
        <v>483876.24</v>
      </c>
      <c r="C12" s="83">
        <f>B12*LCOE!AM16/1000000</f>
        <v>77.420198400000004</v>
      </c>
    </row>
    <row r="13" spans="1:3" x14ac:dyDescent="0.25">
      <c r="A13" t="s">
        <v>66</v>
      </c>
      <c r="B13" s="92">
        <v>22581658.988799602</v>
      </c>
      <c r="C13" s="83"/>
    </row>
    <row r="14" spans="1:3" s="65" customFormat="1" x14ac:dyDescent="0.25">
      <c r="A14" t="s">
        <v>67</v>
      </c>
      <c r="B14" s="92">
        <v>0</v>
      </c>
      <c r="C14" s="83"/>
    </row>
    <row r="15" spans="1:3" x14ac:dyDescent="0.25">
      <c r="A15" t="s">
        <v>68</v>
      </c>
      <c r="B15" s="92">
        <v>1094161.3043</v>
      </c>
      <c r="C15" s="83"/>
    </row>
    <row r="16" spans="1:3" x14ac:dyDescent="0.25">
      <c r="A16" t="s">
        <v>69</v>
      </c>
      <c r="B16" s="92">
        <v>27388980.115400899</v>
      </c>
      <c r="C16" s="83"/>
    </row>
    <row r="17" spans="1:3" x14ac:dyDescent="0.25">
      <c r="A17" t="s">
        <v>70</v>
      </c>
      <c r="B17" s="92">
        <v>33875129.009800799</v>
      </c>
      <c r="C17" s="83"/>
    </row>
    <row r="18" spans="1:3" x14ac:dyDescent="0.25">
      <c r="A18" t="s">
        <v>18</v>
      </c>
      <c r="B18" s="92">
        <v>1182600</v>
      </c>
      <c r="C18" s="83">
        <f>B18*LCOE!AM17/1000000</f>
        <v>68.590800000000002</v>
      </c>
    </row>
    <row r="19" spans="1:3" s="65" customFormat="1" x14ac:dyDescent="0.25">
      <c r="A19" t="s">
        <v>71</v>
      </c>
      <c r="B19" s="92">
        <v>0</v>
      </c>
      <c r="C19" s="83"/>
    </row>
    <row r="20" spans="1:3" x14ac:dyDescent="0.25">
      <c r="A20" t="s">
        <v>72</v>
      </c>
      <c r="B20" s="92">
        <v>41016055.074400797</v>
      </c>
      <c r="C20" s="83">
        <f>B20*LCOE!AM10/1000000</f>
        <v>4511.7660581840873</v>
      </c>
    </row>
    <row r="21" spans="1:3" x14ac:dyDescent="0.25">
      <c r="A21" t="s">
        <v>74</v>
      </c>
      <c r="B21" s="92">
        <v>496770.099999998</v>
      </c>
      <c r="C21" s="83">
        <f>B21*LCOE!AM14/1000000</f>
        <v>149.03102999999939</v>
      </c>
    </row>
    <row r="22" spans="1:3" s="65" customFormat="1" x14ac:dyDescent="0.25">
      <c r="A22" t="s">
        <v>75</v>
      </c>
      <c r="B22" s="92"/>
      <c r="C22" s="83"/>
    </row>
    <row r="23" spans="1:3" x14ac:dyDescent="0.25">
      <c r="A23" t="s">
        <v>76</v>
      </c>
      <c r="B23" s="92">
        <v>24596331.0165</v>
      </c>
      <c r="C23" s="84"/>
    </row>
    <row r="24" spans="1:3" x14ac:dyDescent="0.25">
      <c r="A24" t="s">
        <v>77</v>
      </c>
      <c r="B24" s="92">
        <v>8029791.65550014</v>
      </c>
      <c r="C24" s="83">
        <f>B24*LCOE!AM5/1000000</f>
        <v>401.48958277500702</v>
      </c>
    </row>
    <row r="26" spans="1:3" s="70" customFormat="1" x14ac:dyDescent="0.25"/>
    <row r="27" spans="1:3" x14ac:dyDescent="0.25">
      <c r="A27" t="s">
        <v>155</v>
      </c>
      <c r="B27" s="71"/>
      <c r="C27" s="13">
        <f>32292-SUM(C3:C24)</f>
        <v>2858.3046855600514</v>
      </c>
    </row>
    <row r="28" spans="1:3" x14ac:dyDescent="0.25">
      <c r="B28" s="69"/>
      <c r="C28" s="69"/>
    </row>
    <row r="29" spans="1:3" x14ac:dyDescent="0.25">
      <c r="B29" s="69"/>
      <c r="C29" s="69"/>
    </row>
    <row r="31" spans="1:3" x14ac:dyDescent="0.25">
      <c r="B31" s="69"/>
      <c r="C31" s="69"/>
    </row>
    <row r="34" spans="2:3" x14ac:dyDescent="0.25">
      <c r="B34" s="69"/>
      <c r="C34" s="69"/>
    </row>
    <row r="35" spans="2:3" x14ac:dyDescent="0.25">
      <c r="B35" s="69"/>
      <c r="C35" s="6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19"/>
  <sheetViews>
    <sheetView topLeftCell="S1" workbookViewId="0">
      <selection activeCell="X24" sqref="X24"/>
    </sheetView>
  </sheetViews>
  <sheetFormatPr baseColWidth="10" defaultColWidth="9.140625" defaultRowHeight="15" x14ac:dyDescent="0.25"/>
  <cols>
    <col min="1" max="1" width="30.140625" bestFit="1" customWidth="1"/>
    <col min="35" max="35" width="12" bestFit="1" customWidth="1"/>
  </cols>
  <sheetData>
    <row r="1" spans="1:39" ht="15.75" thickBot="1" x14ac:dyDescent="0.3"/>
    <row r="2" spans="1:39" x14ac:dyDescent="0.25">
      <c r="B2" s="93">
        <v>2013</v>
      </c>
      <c r="C2" s="93">
        <v>2014</v>
      </c>
      <c r="D2" s="93">
        <v>2015</v>
      </c>
      <c r="E2" s="93">
        <v>2016</v>
      </c>
      <c r="F2" s="93">
        <v>2017</v>
      </c>
      <c r="G2" s="93">
        <v>2018</v>
      </c>
      <c r="H2" s="93">
        <v>2019</v>
      </c>
      <c r="I2" s="93">
        <v>2020</v>
      </c>
      <c r="J2" s="93">
        <v>2021</v>
      </c>
      <c r="K2" s="93">
        <v>2022</v>
      </c>
      <c r="L2" s="93">
        <v>2023</v>
      </c>
      <c r="M2" s="93">
        <v>2024</v>
      </c>
      <c r="N2" s="93">
        <v>2025</v>
      </c>
      <c r="O2" s="93">
        <v>2026</v>
      </c>
      <c r="P2" s="93">
        <v>2027</v>
      </c>
      <c r="Q2" s="93">
        <v>2028</v>
      </c>
      <c r="R2" s="93">
        <v>2029</v>
      </c>
      <c r="S2" s="93">
        <v>2030</v>
      </c>
      <c r="T2" s="93">
        <v>2031</v>
      </c>
      <c r="U2" s="93">
        <v>2032</v>
      </c>
      <c r="V2" s="93">
        <v>2033</v>
      </c>
      <c r="W2" s="93">
        <v>2034</v>
      </c>
      <c r="X2" s="93">
        <v>2035</v>
      </c>
      <c r="Y2" s="93">
        <v>2036</v>
      </c>
      <c r="Z2" s="93">
        <v>2037</v>
      </c>
      <c r="AA2" s="93">
        <v>2038</v>
      </c>
      <c r="AB2" s="93">
        <v>2039</v>
      </c>
      <c r="AC2" s="93">
        <v>2040</v>
      </c>
      <c r="AD2" s="93">
        <v>2041</v>
      </c>
      <c r="AE2" s="93">
        <v>2042</v>
      </c>
      <c r="AF2" s="93">
        <v>2043</v>
      </c>
      <c r="AG2" s="93">
        <v>2044</v>
      </c>
      <c r="AH2" s="93">
        <v>2045</v>
      </c>
      <c r="AI2" s="93">
        <v>2046</v>
      </c>
      <c r="AJ2" s="93">
        <v>2047</v>
      </c>
      <c r="AK2" s="93">
        <v>2048</v>
      </c>
      <c r="AL2" s="93">
        <v>2049</v>
      </c>
      <c r="AM2" s="93">
        <v>2050</v>
      </c>
    </row>
    <row r="3" spans="1:39" x14ac:dyDescent="0.25">
      <c r="A3" s="3" t="s">
        <v>158</v>
      </c>
      <c r="B3" s="94" t="s">
        <v>159</v>
      </c>
      <c r="AM3" s="95" t="s">
        <v>160</v>
      </c>
    </row>
    <row r="4" spans="1:39" x14ac:dyDescent="0.25">
      <c r="A4" t="s">
        <v>161</v>
      </c>
      <c r="B4" s="96">
        <v>15.9</v>
      </c>
      <c r="C4" s="100">
        <v>18.900801939033851</v>
      </c>
      <c r="D4" s="100">
        <v>21.901601149389393</v>
      </c>
      <c r="E4" s="100">
        <v>24.902396305977021</v>
      </c>
      <c r="F4" s="100">
        <v>27.903186122392118</v>
      </c>
      <c r="G4" s="100">
        <v>30.903969359888706</v>
      </c>
      <c r="H4" s="100">
        <v>33.904744835945806</v>
      </c>
      <c r="I4" s="100">
        <v>36.905511432367788</v>
      </c>
      <c r="J4" s="100">
        <v>39.906268102863891</v>
      </c>
      <c r="K4" s="100">
        <v>42.907013880056006</v>
      </c>
      <c r="L4" s="100">
        <v>45.907747881868595</v>
      </c>
      <c r="M4" s="100">
        <v>48.908469317259105</v>
      </c>
      <c r="N4" s="100">
        <v>51.90917749125245</v>
      </c>
      <c r="O4" s="100">
        <v>54.909871809248429</v>
      </c>
      <c r="P4" s="100">
        <v>57.910551780576156</v>
      </c>
      <c r="Q4" s="100">
        <v>60.911217021275576</v>
      </c>
      <c r="R4" s="100">
        <v>63.911867256091419</v>
      </c>
      <c r="S4" s="100">
        <v>66.912502319671049</v>
      </c>
      <c r="T4" s="100">
        <v>69.913122156963283</v>
      </c>
      <c r="U4" s="100">
        <v>72.913726822820962</v>
      </c>
      <c r="V4" s="100">
        <v>75.914316480816126</v>
      </c>
      <c r="W4" s="100">
        <v>78.914891401281579</v>
      </c>
      <c r="X4" s="100">
        <v>81.915451958598851</v>
      </c>
      <c r="Y4" s="100">
        <v>84.915998627757332</v>
      </c>
      <c r="Z4" s="100">
        <v>87.916531980214501</v>
      </c>
      <c r="AA4" s="100">
        <v>90.917052679092222</v>
      </c>
      <c r="AB4" s="100">
        <v>93.91756147374825</v>
      </c>
      <c r="AC4" s="100">
        <v>96.918059193766652</v>
      </c>
      <c r="AD4" s="100">
        <v>99.918546742414321</v>
      </c>
      <c r="AE4" s="100">
        <v>102.91902508961485</v>
      </c>
      <c r="AF4" s="100">
        <v>105.91949526449325</v>
      </c>
      <c r="AG4" s="100">
        <v>108.91995834754874</v>
      </c>
      <c r="AH4" s="100">
        <v>111.92041546251428</v>
      </c>
      <c r="AI4" s="100">
        <v>114.92086776796364</v>
      </c>
      <c r="AJ4" s="100">
        <v>117.92131644872833</v>
      </c>
      <c r="AK4" s="100">
        <v>120.9217627071874</v>
      </c>
      <c r="AL4" s="100">
        <v>123.92220775449366</v>
      </c>
      <c r="AM4" s="101">
        <v>126.9226528017999</v>
      </c>
    </row>
    <row r="5" spans="1:39" x14ac:dyDescent="0.25">
      <c r="A5" t="s">
        <v>162</v>
      </c>
      <c r="B5" s="96">
        <v>0</v>
      </c>
      <c r="C5" s="100">
        <v>2.8245956292411187</v>
      </c>
      <c r="D5" s="100">
        <v>5.6491955601933679</v>
      </c>
      <c r="E5" s="100">
        <v>8.4738018818361169</v>
      </c>
      <c r="F5" s="100">
        <v>11.298416622162563</v>
      </c>
      <c r="G5" s="100">
        <v>14.12304173403294</v>
      </c>
      <c r="H5" s="100">
        <v>16.947679081669815</v>
      </c>
      <c r="I5" s="100">
        <v>19.772330427887997</v>
      </c>
      <c r="J5" s="100">
        <v>22.596997422145634</v>
      </c>
      <c r="K5" s="100">
        <v>25.421681589496487</v>
      </c>
      <c r="L5" s="100">
        <v>28.246384320516416</v>
      </c>
      <c r="M5" s="100">
        <v>31.071106862269453</v>
      </c>
      <c r="N5" s="100">
        <v>33.895850310371003</v>
      </c>
      <c r="O5" s="100">
        <v>36.72061560219737</v>
      </c>
      <c r="P5" s="100">
        <v>39.545403511282146</v>
      </c>
      <c r="Q5" s="100">
        <v>42.370214642931316</v>
      </c>
      <c r="R5" s="100">
        <v>45.195049431079738</v>
      </c>
      <c r="S5" s="100">
        <v>48.01990813640279</v>
      </c>
      <c r="T5" s="100">
        <v>50.844790845687669</v>
      </c>
      <c r="U5" s="100">
        <v>53.669697472459838</v>
      </c>
      <c r="V5" s="100">
        <v>56.494627758851024</v>
      </c>
      <c r="W5" s="100">
        <v>59.319581278686542</v>
      </c>
      <c r="X5" s="100">
        <v>62.144557441760782</v>
      </c>
      <c r="Y5" s="100">
        <v>64.96955549926173</v>
      </c>
      <c r="Z5" s="100">
        <v>67.79457455029717</v>
      </c>
      <c r="AA5" s="100">
        <v>70.619613549467701</v>
      </c>
      <c r="AB5" s="100">
        <v>73.444671315424614</v>
      </c>
      <c r="AC5" s="100">
        <v>76.269746540343903</v>
      </c>
      <c r="AD5" s="100">
        <v>79.094837800241891</v>
      </c>
      <c r="AE5" s="100">
        <v>81.919943566051955</v>
      </c>
      <c r="AF5" s="100">
        <v>84.74506221537743</v>
      </c>
      <c r="AG5" s="100">
        <v>87.57019204483116</v>
      </c>
      <c r="AH5" s="100">
        <v>90.395331282868852</v>
      </c>
      <c r="AI5" s="100">
        <v>93.220478103020284</v>
      </c>
      <c r="AJ5" s="100">
        <v>96.045630637420373</v>
      </c>
      <c r="AK5" s="100">
        <v>98.870786990540708</v>
      </c>
      <c r="AL5" s="100">
        <v>101.69594525302115</v>
      </c>
      <c r="AM5" s="101">
        <v>104.52110351550159</v>
      </c>
    </row>
    <row r="6" spans="1:39" x14ac:dyDescent="0.25">
      <c r="A6" t="s">
        <v>163</v>
      </c>
      <c r="B6" s="96">
        <v>4.5999999999999996</v>
      </c>
      <c r="C6" s="100">
        <v>7.740181534904556</v>
      </c>
      <c r="D6" s="100">
        <v>10.880366291586721</v>
      </c>
      <c r="E6" s="100">
        <v>14.02055583459296</v>
      </c>
      <c r="F6" s="100">
        <v>17.160751682793993</v>
      </c>
      <c r="G6" s="100">
        <v>20.300955298789514</v>
      </c>
      <c r="H6" s="100">
        <v>23.441168078793801</v>
      </c>
      <c r="I6" s="100">
        <v>26.581391343071544</v>
      </c>
      <c r="J6" s="100">
        <v>29.721626326988655</v>
      </c>
      <c r="K6" s="100">
        <v>32.861874172738069</v>
      </c>
      <c r="L6" s="100">
        <v>36.002135921795158</v>
      </c>
      <c r="M6" s="100">
        <v>39.142412508151722</v>
      </c>
      <c r="N6" s="100">
        <v>42.28270475237175</v>
      </c>
      <c r="O6" s="100">
        <v>45.423013356505621</v>
      </c>
      <c r="P6" s="100">
        <v>48.563338899893317</v>
      </c>
      <c r="Q6" s="100">
        <v>51.703681835880303</v>
      </c>
      <c r="R6" s="100">
        <v>54.844042489463206</v>
      </c>
      <c r="S6" s="100">
        <v>57.984421055875529</v>
      </c>
      <c r="T6" s="100">
        <v>61.124817600116756</v>
      </c>
      <c r="U6" s="100">
        <v>64.265232057421571</v>
      </c>
      <c r="V6" s="100">
        <v>67.405664234658857</v>
      </c>
      <c r="W6" s="100">
        <v>70.546113812643995</v>
      </c>
      <c r="X6" s="100">
        <v>73.686580349340971</v>
      </c>
      <c r="Y6" s="100">
        <v>76.827063283925099</v>
      </c>
      <c r="Z6" s="100">
        <v>79.967561941670851</v>
      </c>
      <c r="AA6" s="100">
        <v>83.108075539623655</v>
      </c>
      <c r="AB6" s="100">
        <v>86.248603193009345</v>
      </c>
      <c r="AC6" s="100">
        <v>89.389143922329794</v>
      </c>
      <c r="AD6" s="100">
        <v>92.529696661088764</v>
      </c>
      <c r="AE6" s="100">
        <v>95.670260264087858</v>
      </c>
      <c r="AF6" s="100">
        <v>98.810833516228939</v>
      </c>
      <c r="AG6" s="100">
        <v>101.9514151417558</v>
      </c>
      <c r="AH6" s="100">
        <v>105.09200381386582</v>
      </c>
      <c r="AI6" s="100">
        <v>108.2325981646194</v>
      </c>
      <c r="AJ6" s="100">
        <v>111.37319679507422</v>
      </c>
      <c r="AK6" s="100">
        <v>114.51379828556937</v>
      </c>
      <c r="AL6" s="100">
        <v>117.65440120608469</v>
      </c>
      <c r="AM6" s="101">
        <v>120.79500412659999</v>
      </c>
    </row>
    <row r="7" spans="1:39" x14ac:dyDescent="0.25">
      <c r="A7" t="s">
        <v>22</v>
      </c>
      <c r="B7" s="96">
        <v>1.5</v>
      </c>
      <c r="C7" s="100">
        <v>1.6764808556027413</v>
      </c>
      <c r="D7" s="100">
        <v>1.8529617112047823</v>
      </c>
      <c r="E7" s="100">
        <v>2.0294425668057832</v>
      </c>
      <c r="F7" s="100">
        <v>2.2059234224054132</v>
      </c>
      <c r="G7" s="100">
        <v>2.3824042780033547</v>
      </c>
      <c r="H7" s="100">
        <v>2.5588851335993046</v>
      </c>
      <c r="I7" s="100">
        <v>2.7353659891929754</v>
      </c>
      <c r="J7" s="100">
        <v>2.9118468447840993</v>
      </c>
      <c r="K7" s="100">
        <v>3.0883277003724277</v>
      </c>
      <c r="L7" s="100">
        <v>3.264808555957734</v>
      </c>
      <c r="M7" s="100">
        <v>3.4412894115398149</v>
      </c>
      <c r="N7" s="100">
        <v>3.6177702671184928</v>
      </c>
      <c r="O7" s="100">
        <v>3.7942511226936149</v>
      </c>
      <c r="P7" s="100">
        <v>3.9707319782650554</v>
      </c>
      <c r="Q7" s="100">
        <v>4.1472128338327154</v>
      </c>
      <c r="R7" s="100">
        <v>4.3236936893965243</v>
      </c>
      <c r="S7" s="100">
        <v>4.5001745449564394</v>
      </c>
      <c r="T7" s="100">
        <v>4.6766554005124465</v>
      </c>
      <c r="U7" s="100">
        <v>4.8531362560645608</v>
      </c>
      <c r="V7" s="100">
        <v>5.0296171116128239</v>
      </c>
      <c r="W7" s="100">
        <v>5.2060979671573051</v>
      </c>
      <c r="X7" s="100">
        <v>5.3825788226981004</v>
      </c>
      <c r="Y7" s="100">
        <v>5.5590596782353314</v>
      </c>
      <c r="Z7" s="100">
        <v>5.7355405337691447</v>
      </c>
      <c r="AA7" s="100">
        <v>5.9120213892997109</v>
      </c>
      <c r="AB7" s="100">
        <v>6.0885022448272217</v>
      </c>
      <c r="AC7" s="100">
        <v>6.2649831003518912</v>
      </c>
      <c r="AD7" s="100">
        <v>6.4414639558739495</v>
      </c>
      <c r="AE7" s="100">
        <v>6.617944811393647</v>
      </c>
      <c r="AF7" s="100">
        <v>6.7944256669112466</v>
      </c>
      <c r="AG7" s="100">
        <v>6.9709065224270272</v>
      </c>
      <c r="AH7" s="100">
        <v>7.1473873779412758</v>
      </c>
      <c r="AI7" s="100">
        <v>7.3238682334542897</v>
      </c>
      <c r="AJ7" s="100">
        <v>7.5003490889663738</v>
      </c>
      <c r="AK7" s="100">
        <v>7.676829944477837</v>
      </c>
      <c r="AL7" s="100">
        <v>7.8533107999889893</v>
      </c>
      <c r="AM7" s="101">
        <v>8.0297916555001407</v>
      </c>
    </row>
    <row r="8" spans="1:39" x14ac:dyDescent="0.25">
      <c r="A8" t="s">
        <v>21</v>
      </c>
      <c r="B8" s="96">
        <v>2.1363670350000006</v>
      </c>
      <c r="C8" s="100">
        <v>2.1801960340540596</v>
      </c>
      <c r="D8" s="100">
        <v>2.2240250331081182</v>
      </c>
      <c r="E8" s="100">
        <v>2.2678540321621767</v>
      </c>
      <c r="F8" s="100">
        <v>2.3116830312162349</v>
      </c>
      <c r="G8" s="100">
        <v>2.355512030270293</v>
      </c>
      <c r="H8" s="100">
        <v>2.3993410293243507</v>
      </c>
      <c r="I8" s="100">
        <v>2.4431700283784079</v>
      </c>
      <c r="J8" s="100">
        <v>2.4869990274324651</v>
      </c>
      <c r="K8" s="100">
        <v>2.5308280264865219</v>
      </c>
      <c r="L8" s="100">
        <v>2.5746570255405783</v>
      </c>
      <c r="M8" s="100">
        <v>2.6184860245946346</v>
      </c>
      <c r="N8" s="100">
        <v>2.6623150236486905</v>
      </c>
      <c r="O8" s="100">
        <v>2.7061440227027465</v>
      </c>
      <c r="P8" s="100">
        <v>2.7499730217568019</v>
      </c>
      <c r="Q8" s="100">
        <v>2.7938020208108574</v>
      </c>
      <c r="R8" s="100">
        <v>2.8376310198649124</v>
      </c>
      <c r="S8" s="100">
        <v>2.881460018918967</v>
      </c>
      <c r="T8" s="100">
        <v>2.9252890179730215</v>
      </c>
      <c r="U8" s="100">
        <v>2.9691180170270757</v>
      </c>
      <c r="V8" s="100">
        <v>3.0129470160811294</v>
      </c>
      <c r="W8" s="100">
        <v>3.056776015135183</v>
      </c>
      <c r="X8" s="100">
        <v>3.1006050141892363</v>
      </c>
      <c r="Y8" s="100">
        <v>3.1444340132432891</v>
      </c>
      <c r="Z8" s="100">
        <v>3.1882630122973419</v>
      </c>
      <c r="AA8" s="100">
        <v>3.2320920113513942</v>
      </c>
      <c r="AB8" s="100">
        <v>3.2759210104054461</v>
      </c>
      <c r="AC8" s="100">
        <v>3.3197500094594981</v>
      </c>
      <c r="AD8" s="100">
        <v>3.3635790085135495</v>
      </c>
      <c r="AE8" s="100">
        <v>3.4074080075676005</v>
      </c>
      <c r="AF8" s="100">
        <v>3.4512370066216516</v>
      </c>
      <c r="AG8" s="100">
        <v>3.4950660056757021</v>
      </c>
      <c r="AH8" s="100">
        <v>3.5388950047297523</v>
      </c>
      <c r="AI8" s="100">
        <v>3.5827240037838024</v>
      </c>
      <c r="AJ8" s="100">
        <v>3.6265530028378521</v>
      </c>
      <c r="AK8" s="100">
        <v>3.6703820018919013</v>
      </c>
      <c r="AL8" s="100">
        <v>3.7142110009459506</v>
      </c>
      <c r="AM8" s="101">
        <v>3.7580399999999998</v>
      </c>
    </row>
    <row r="9" spans="1:39" x14ac:dyDescent="0.25">
      <c r="A9" t="s">
        <v>125</v>
      </c>
      <c r="B9" s="96">
        <v>1.7041322700000003</v>
      </c>
      <c r="C9" s="100">
        <v>2.2878947406766672</v>
      </c>
      <c r="D9" s="100">
        <v>2.8716572574227208</v>
      </c>
      <c r="E9" s="100">
        <v>3.4554198426101888</v>
      </c>
      <c r="F9" s="100">
        <v>4.039182517957963</v>
      </c>
      <c r="G9" s="100">
        <v>4.6229453043802975</v>
      </c>
      <c r="H9" s="100">
        <v>5.2067082218421756</v>
      </c>
      <c r="I9" s="100">
        <v>5.7904712892225483</v>
      </c>
      <c r="J9" s="100">
        <v>6.3742345241863694</v>
      </c>
      <c r="K9" s="100">
        <v>6.9579979430662764</v>
      </c>
      <c r="L9" s="100">
        <v>7.5417615607547113</v>
      </c>
      <c r="M9" s="100">
        <v>8.1255253906071676</v>
      </c>
      <c r="N9" s="100">
        <v>8.7092894443571911</v>
      </c>
      <c r="O9" s="100">
        <v>9.2930537320436599</v>
      </c>
      <c r="P9" s="100">
        <v>9.8768182619507705</v>
      </c>
      <c r="Q9" s="100">
        <v>10.460583040561076</v>
      </c>
      <c r="R9" s="100">
        <v>11.044348072521824</v>
      </c>
      <c r="S9" s="100">
        <v>11.628113360624731</v>
      </c>
      <c r="T9" s="100">
        <v>12.211878905799248</v>
      </c>
      <c r="U9" s="100">
        <v>12.795644707119271</v>
      </c>
      <c r="V9" s="100">
        <v>13.379410761823149</v>
      </c>
      <c r="W9" s="100">
        <v>13.96317706534674</v>
      </c>
      <c r="X9" s="100">
        <v>14.54694361136921</v>
      </c>
      <c r="Y9" s="100">
        <v>15.130710391871123</v>
      </c>
      <c r="Z9" s="100">
        <v>15.714477397204325</v>
      </c>
      <c r="AA9" s="100">
        <v>16.298244616173061</v>
      </c>
      <c r="AB9" s="100">
        <v>16.882012036125616</v>
      </c>
      <c r="AC9" s="100">
        <v>17.465779643055789</v>
      </c>
      <c r="AD9" s="100">
        <v>18.049547421713356</v>
      </c>
      <c r="AE9" s="100">
        <v>18.633315355722701</v>
      </c>
      <c r="AF9" s="100">
        <v>19.21708342770869</v>
      </c>
      <c r="AG9" s="100">
        <v>19.800851619428812</v>
      </c>
      <c r="AH9" s="100">
        <v>20.384619911910629</v>
      </c>
      <c r="AI9" s="100">
        <v>20.968388285593463</v>
      </c>
      <c r="AJ9" s="100">
        <v>21.552156720473327</v>
      </c>
      <c r="AK9" s="100">
        <v>22.135925196249961</v>
      </c>
      <c r="AL9" s="100">
        <v>22.719693692474983</v>
      </c>
      <c r="AM9" s="101">
        <v>23.303462188700003</v>
      </c>
    </row>
    <row r="10" spans="1:39" x14ac:dyDescent="0.25">
      <c r="A10" t="s">
        <v>164</v>
      </c>
      <c r="B10" s="96">
        <v>68.521000000000015</v>
      </c>
      <c r="C10" s="100">
        <v>68.324867814224035</v>
      </c>
      <c r="D10" s="100">
        <v>68.128735628447629</v>
      </c>
      <c r="E10" s="100">
        <v>67.932603442670597</v>
      </c>
      <c r="F10" s="100">
        <v>67.736471256892742</v>
      </c>
      <c r="G10" s="100">
        <v>67.540339071113863</v>
      </c>
      <c r="H10" s="100">
        <v>67.34420688533379</v>
      </c>
      <c r="I10" s="100">
        <v>67.148074699552339</v>
      </c>
      <c r="J10" s="100">
        <v>66.951942513769353</v>
      </c>
      <c r="K10" s="100">
        <v>66.755810327984676</v>
      </c>
      <c r="L10" s="100">
        <v>66.55967814219818</v>
      </c>
      <c r="M10" s="100">
        <v>66.363545956409723</v>
      </c>
      <c r="N10" s="100">
        <v>66.16741377061922</v>
      </c>
      <c r="O10" s="100">
        <v>65.971281584826571</v>
      </c>
      <c r="P10" s="100">
        <v>65.775149399031704</v>
      </c>
      <c r="Q10" s="100">
        <v>65.57901721323455</v>
      </c>
      <c r="R10" s="100">
        <v>65.38288502743508</v>
      </c>
      <c r="S10" s="100">
        <v>65.18675284163325</v>
      </c>
      <c r="T10" s="100">
        <v>64.990620655829076</v>
      </c>
      <c r="U10" s="100">
        <v>64.794488470022543</v>
      </c>
      <c r="V10" s="100">
        <v>64.598356284213693</v>
      </c>
      <c r="W10" s="100">
        <v>64.402224098402556</v>
      </c>
      <c r="X10" s="100">
        <v>64.206091912589187</v>
      </c>
      <c r="Y10" s="100">
        <v>64.009959726773673</v>
      </c>
      <c r="Z10" s="100">
        <v>63.813827540956098</v>
      </c>
      <c r="AA10" s="100">
        <v>63.617695355136561</v>
      </c>
      <c r="AB10" s="100">
        <v>63.421563169315178</v>
      </c>
      <c r="AC10" s="100">
        <v>63.225430983492075</v>
      </c>
      <c r="AD10" s="100">
        <v>63.029298797667401</v>
      </c>
      <c r="AE10" s="100">
        <v>62.833166611841307</v>
      </c>
      <c r="AF10" s="100">
        <v>62.63703442601394</v>
      </c>
      <c r="AG10" s="100">
        <v>62.44090224018548</v>
      </c>
      <c r="AH10" s="100">
        <v>62.244770054356096</v>
      </c>
      <c r="AI10" s="100">
        <v>62.048637868525965</v>
      </c>
      <c r="AJ10" s="100">
        <v>61.852505682695273</v>
      </c>
      <c r="AK10" s="100">
        <v>61.656373496864205</v>
      </c>
      <c r="AL10" s="100">
        <v>61.460241311032952</v>
      </c>
      <c r="AM10" s="101">
        <v>61.264109125201699</v>
      </c>
    </row>
    <row r="11" spans="1:39" x14ac:dyDescent="0.25">
      <c r="A11" t="s">
        <v>18</v>
      </c>
      <c r="B11" s="96">
        <v>1.2025420000000004E-2</v>
      </c>
      <c r="C11" s="100">
        <v>4.3662570810811589E-2</v>
      </c>
      <c r="D11" s="100">
        <v>7.529972162162317E-2</v>
      </c>
      <c r="E11" s="100">
        <v>0.10693687243243474</v>
      </c>
      <c r="F11" s="100">
        <v>0.1385740232432463</v>
      </c>
      <c r="G11" s="100">
        <v>0.17021117405405783</v>
      </c>
      <c r="H11" s="100">
        <v>0.20184832486486937</v>
      </c>
      <c r="I11" s="100">
        <v>0.23348547567568087</v>
      </c>
      <c r="J11" s="100">
        <v>0.26512262648649237</v>
      </c>
      <c r="K11" s="100">
        <v>0.29675977729730385</v>
      </c>
      <c r="L11" s="100">
        <v>0.32839692810811527</v>
      </c>
      <c r="M11" s="100">
        <v>0.36003407891892664</v>
      </c>
      <c r="N11" s="100">
        <v>0.391671229729738</v>
      </c>
      <c r="O11" s="100">
        <v>0.42330838054054931</v>
      </c>
      <c r="P11" s="100">
        <v>0.45494553135136057</v>
      </c>
      <c r="Q11" s="100">
        <v>0.48658268216217182</v>
      </c>
      <c r="R11" s="100">
        <v>0.51821983297298302</v>
      </c>
      <c r="S11" s="100">
        <v>0.54985698378379411</v>
      </c>
      <c r="T11" s="100">
        <v>0.58149413459460508</v>
      </c>
      <c r="U11" s="100">
        <v>0.61313128540541606</v>
      </c>
      <c r="V11" s="100">
        <v>0.64476843621622693</v>
      </c>
      <c r="W11" s="100">
        <v>0.67640558702703768</v>
      </c>
      <c r="X11" s="100">
        <v>0.70804273783784843</v>
      </c>
      <c r="Y11" s="100">
        <v>0.73967988864865908</v>
      </c>
      <c r="Z11" s="100">
        <v>0.77131703945946961</v>
      </c>
      <c r="AA11" s="100">
        <v>0.80295419027028014</v>
      </c>
      <c r="AB11" s="100">
        <v>0.83459134108109057</v>
      </c>
      <c r="AC11" s="100">
        <v>0.86622849189190088</v>
      </c>
      <c r="AD11" s="100">
        <v>0.89786564270271119</v>
      </c>
      <c r="AE11" s="100">
        <v>0.92950279351352139</v>
      </c>
      <c r="AF11" s="100">
        <v>0.96113994432433159</v>
      </c>
      <c r="AG11" s="100">
        <v>0.99277709513514167</v>
      </c>
      <c r="AH11" s="100">
        <v>1.0244142459459518</v>
      </c>
      <c r="AI11" s="100">
        <v>1.0560513967567617</v>
      </c>
      <c r="AJ11" s="100">
        <v>1.0876885475675715</v>
      </c>
      <c r="AK11" s="100">
        <v>1.1193256983783813</v>
      </c>
      <c r="AL11" s="100">
        <v>1.1509628491891908</v>
      </c>
      <c r="AM11" s="101">
        <v>1.1826000000000001</v>
      </c>
    </row>
    <row r="12" spans="1:39" x14ac:dyDescent="0.25">
      <c r="A12" t="s">
        <v>165</v>
      </c>
      <c r="B12" s="96">
        <v>0.41868</v>
      </c>
      <c r="C12" s="100">
        <v>1.0602498947361327</v>
      </c>
      <c r="D12" s="100">
        <v>1.7018209287029977</v>
      </c>
      <c r="E12" s="100">
        <v>2.3433936551291641</v>
      </c>
      <c r="F12" s="100">
        <v>2.9849686110921136</v>
      </c>
      <c r="G12" s="100">
        <v>3.6265463137717138</v>
      </c>
      <c r="H12" s="100">
        <v>4.2681272568737416</v>
      </c>
      <c r="I12" s="100">
        <v>4.9097119072479565</v>
      </c>
      <c r="J12" s="100">
        <v>5.5513007017236484</v>
      </c>
      <c r="K12" s="100">
        <v>6.1928940441838449</v>
      </c>
      <c r="L12" s="100">
        <v>6.8344923028975195</v>
      </c>
      <c r="M12" s="100">
        <v>7.4760958081271269</v>
      </c>
      <c r="N12" s="100">
        <v>8.11770485002668</v>
      </c>
      <c r="O12" s="100">
        <v>8.7593196768434112</v>
      </c>
      <c r="P12" s="100">
        <v>9.4009404934337653</v>
      </c>
      <c r="Q12" s="100">
        <v>10.042567460102131</v>
      </c>
      <c r="R12" s="100">
        <v>10.684200691768341</v>
      </c>
      <c r="S12" s="100">
        <v>11.325840257467577</v>
      </c>
      <c r="T12" s="100">
        <v>11.967486180183867</v>
      </c>
      <c r="U12" s="100">
        <v>12.609138437015982</v>
      </c>
      <c r="V12" s="100">
        <v>13.25079695967216</v>
      </c>
      <c r="W12" s="100">
        <v>13.892461635287702</v>
      </c>
      <c r="X12" s="100">
        <v>14.534132307557286</v>
      </c>
      <c r="Y12" s="100">
        <v>15.175808778171533</v>
      </c>
      <c r="Z12" s="100">
        <v>15.81749080854536</v>
      </c>
      <c r="AA12" s="100">
        <v>16.459178121823562</v>
      </c>
      <c r="AB12" s="100">
        <v>17.100870405147202</v>
      </c>
      <c r="AC12" s="100">
        <v>17.742567312162649</v>
      </c>
      <c r="AD12" s="100">
        <v>18.384268465753458</v>
      </c>
      <c r="AE12" s="100">
        <v>19.025973460973876</v>
      </c>
      <c r="AF12" s="100">
        <v>19.66768186816136</v>
      </c>
      <c r="AG12" s="100">
        <v>20.309393236204489</v>
      </c>
      <c r="AH12" s="100">
        <v>20.951107095941662</v>
      </c>
      <c r="AI12" s="100">
        <v>21.592822963665128</v>
      </c>
      <c r="AJ12" s="100">
        <v>22.234540344704456</v>
      </c>
      <c r="AK12" s="100">
        <v>22.876258737063075</v>
      </c>
      <c r="AL12" s="100">
        <v>23.517977635081341</v>
      </c>
      <c r="AM12" s="101">
        <v>24.159696533099606</v>
      </c>
    </row>
    <row r="13" spans="1:39" x14ac:dyDescent="0.25">
      <c r="A13" t="s">
        <v>166</v>
      </c>
      <c r="B13" s="96">
        <v>0</v>
      </c>
      <c r="C13" s="100">
        <v>1.6841300647673164E-56</v>
      </c>
      <c r="D13" s="100">
        <v>3.3440354516969E-56</v>
      </c>
      <c r="E13" s="100">
        <v>4.9679522718077008E-56</v>
      </c>
      <c r="F13" s="100">
        <v>6.5444600739213384E-56</v>
      </c>
      <c r="G13" s="100">
        <v>8.0625615110388432E-56</v>
      </c>
      <c r="H13" s="100">
        <v>9.5117583907690145E-56</v>
      </c>
      <c r="I13" s="100">
        <v>1.0882123588856376E-55</v>
      </c>
      <c r="J13" s="100">
        <v>1.2164368338356189E-55</v>
      </c>
      <c r="K13" s="100">
        <v>1.3349904443768303E-55</v>
      </c>
      <c r="L13" s="100">
        <v>1.4430901009182938E-55</v>
      </c>
      <c r="M13" s="100">
        <v>1.5400335311902482E-55</v>
      </c>
      <c r="N13" s="100">
        <v>1.6252037497759986E-55</v>
      </c>
      <c r="O13" s="100">
        <v>1.6980728821118186E-55</v>
      </c>
      <c r="P13" s="100">
        <v>1.758205320095226E-55</v>
      </c>
      <c r="Q13" s="100">
        <v>1.8052601914134591E-55</v>
      </c>
      <c r="R13" s="100">
        <v>1.8389931297683805E-55</v>
      </c>
      <c r="S13" s="100">
        <v>1.8592573382942674E-55</v>
      </c>
      <c r="T13" s="100">
        <v>1.8660039436037171E-55</v>
      </c>
      <c r="U13" s="100">
        <v>1.8592816430171939E-55</v>
      </c>
      <c r="V13" s="100">
        <v>1.8392356525968141E-55</v>
      </c>
      <c r="W13" s="100">
        <v>1.8061059685788006E-55</v>
      </c>
      <c r="X13" s="100">
        <v>1.7602249596465328E-55</v>
      </c>
      <c r="Y13" s="100">
        <v>1.7020143121732957E-55</v>
      </c>
      <c r="Z13" s="100">
        <v>1.6319813550581532E-55</v>
      </c>
      <c r="AA13" s="100">
        <v>1.5507147950488781E-55</v>
      </c>
      <c r="AB13" s="100">
        <v>1.4588798974634973E-55</v>
      </c>
      <c r="AC13" s="100">
        <v>1.3572131509596347E-55</v>
      </c>
      <c r="AD13" s="100">
        <v>1.24651645843362E-55</v>
      </c>
      <c r="AE13" s="100">
        <v>1.1276508992367756E-55</v>
      </c>
      <c r="AF13" s="100">
        <v>1.0015301106544052E-55</v>
      </c>
      <c r="AG13" s="100">
        <v>8.6911333898646664E-56</v>
      </c>
      <c r="AH13" s="100">
        <v>7.3139821258310573E-56</v>
      </c>
      <c r="AI13" s="100">
        <v>5.8941329081141552E-56</v>
      </c>
      <c r="AJ13" s="100">
        <v>4.4421044415310229E-56</v>
      </c>
      <c r="AK13" s="100">
        <v>2.9685712145024841E-56</v>
      </c>
      <c r="AL13" s="100">
        <v>1.4842856072512421E-56</v>
      </c>
      <c r="AM13" s="101">
        <v>0</v>
      </c>
    </row>
    <row r="14" spans="1:39" x14ac:dyDescent="0.25">
      <c r="A14" t="s">
        <v>67</v>
      </c>
      <c r="B14" s="96">
        <v>403.7</v>
      </c>
      <c r="C14" s="100">
        <v>392.78933743807289</v>
      </c>
      <c r="D14" s="100">
        <v>381.87867274372059</v>
      </c>
      <c r="E14" s="100">
        <v>370.96800488140343</v>
      </c>
      <c r="F14" s="100">
        <v>360.05733284581356</v>
      </c>
      <c r="G14" s="100">
        <v>349.14665566888777</v>
      </c>
      <c r="H14" s="100">
        <v>338.23597242650186</v>
      </c>
      <c r="I14" s="100">
        <v>327.32528224480109</v>
      </c>
      <c r="J14" s="100">
        <v>316.41458430612329</v>
      </c>
      <c r="K14" s="100">
        <v>305.50387785447566</v>
      </c>
      <c r="L14" s="100">
        <v>294.59316220052801</v>
      </c>
      <c r="M14" s="100">
        <v>283.68243672609128</v>
      </c>
      <c r="N14" s="100">
        <v>272.77170088805184</v>
      </c>
      <c r="O14" s="100">
        <v>261.86095422173764</v>
      </c>
      <c r="P14" s="100">
        <v>250.95019634369606</v>
      </c>
      <c r="Q14" s="100">
        <v>240.03942695386746</v>
      </c>
      <c r="R14" s="100">
        <v>229.12864583714361</v>
      </c>
      <c r="S14" s="100">
        <v>218.21785286430361</v>
      </c>
      <c r="T14" s="100">
        <v>207.30704799232569</v>
      </c>
      <c r="U14" s="100">
        <v>196.39623126407668</v>
      </c>
      <c r="V14" s="100">
        <v>185.48540280738587</v>
      </c>
      <c r="W14" s="100">
        <v>174.5745628335147</v>
      </c>
      <c r="X14" s="100">
        <v>163.66371163503729</v>
      </c>
      <c r="Y14" s="100">
        <v>152.7528495831514</v>
      </c>
      <c r="Z14" s="100">
        <v>141.84197712444336</v>
      </c>
      <c r="AA14" s="100">
        <v>130.93109477713392</v>
      </c>
      <c r="AB14" s="100">
        <v>120.02020312683609</v>
      </c>
      <c r="AC14" s="100">
        <v>109.10930282185856</v>
      </c>
      <c r="AD14" s="100">
        <v>98.19839456809224</v>
      </c>
      <c r="AE14" s="100">
        <v>87.287479123519276</v>
      </c>
      <c r="AF14" s="100">
        <v>76.376557292386991</v>
      </c>
      <c r="AG14" s="100">
        <v>65.465629919090915</v>
      </c>
      <c r="AH14" s="100">
        <v>54.554697881813169</v>
      </c>
      <c r="AI14" s="100">
        <v>43.643762085963509</v>
      </c>
      <c r="AJ14" s="100">
        <v>32.732823457471753</v>
      </c>
      <c r="AK14" s="100">
        <v>21.821882935980874</v>
      </c>
      <c r="AL14" s="100">
        <v>10.910941467990437</v>
      </c>
      <c r="AM14" s="101">
        <v>0</v>
      </c>
    </row>
    <row r="15" spans="1:39" x14ac:dyDescent="0.25">
      <c r="A15" t="s">
        <v>167</v>
      </c>
      <c r="B15" s="96">
        <v>19.5</v>
      </c>
      <c r="C15" s="100">
        <v>18.973117142766036</v>
      </c>
      <c r="D15" s="100">
        <v>18.446232211780845</v>
      </c>
      <c r="E15" s="100">
        <v>17.919344199997834</v>
      </c>
      <c r="F15" s="100">
        <v>17.392452129770369</v>
      </c>
      <c r="G15" s="100">
        <v>16.865555059671621</v>
      </c>
      <c r="H15" s="100">
        <v>16.338652091004828</v>
      </c>
      <c r="I15" s="100">
        <v>15.811742373959472</v>
      </c>
      <c r="J15" s="100">
        <v>15.284825113371545</v>
      </c>
      <c r="K15" s="100">
        <v>14.757899574049393</v>
      </c>
      <c r="L15" s="100">
        <v>14.230965085629922</v>
      </c>
      <c r="M15" s="100">
        <v>13.704021046933626</v>
      </c>
      <c r="N15" s="100">
        <v>13.177066929790731</v>
      </c>
      <c r="O15" s="100">
        <v>12.650102282314723</v>
      </c>
      <c r="P15" s="100">
        <v>12.123126731603698</v>
      </c>
      <c r="Q15" s="100">
        <v>11.596139985854242</v>
      </c>
      <c r="R15" s="100">
        <v>11.06914183587682</v>
      </c>
      <c r="S15" s="100">
        <v>10.542132156006113</v>
      </c>
      <c r="T15" s="100">
        <v>10.015110904404107</v>
      </c>
      <c r="U15" s="100">
        <v>9.4880781227580933</v>
      </c>
      <c r="V15" s="100">
        <v>8.9610339353801471</v>
      </c>
      <c r="W15" s="100">
        <v>8.4339785477188141</v>
      </c>
      <c r="X15" s="100">
        <v>7.9069122442979873</v>
      </c>
      <c r="Y15" s="100">
        <v>7.3798353861018846</v>
      </c>
      <c r="Z15" s="100">
        <v>6.8527484074289244</v>
      </c>
      <c r="AA15" s="100">
        <v>6.3256518122409542</v>
      </c>
      <c r="AB15" s="100">
        <v>5.7985461700377137</v>
      </c>
      <c r="AC15" s="100">
        <v>5.271432111289613</v>
      </c>
      <c r="AD15" s="100">
        <v>4.7443103224648606</v>
      </c>
      <c r="AE15" s="100">
        <v>4.2171815406896096</v>
      </c>
      <c r="AF15" s="100">
        <v>3.6900465480821847</v>
      </c>
      <c r="AG15" s="100">
        <v>3.162906165804463</v>
      </c>
      <c r="AH15" s="100">
        <v>2.6357612478752395</v>
      </c>
      <c r="AI15" s="100">
        <v>2.1086126747917762</v>
      </c>
      <c r="AJ15" s="100">
        <v>1.5814613470067926</v>
      </c>
      <c r="AK15" s="100">
        <v>1.0543081783088486</v>
      </c>
      <c r="AL15" s="100">
        <v>0.5271540891544243</v>
      </c>
      <c r="AM15" s="101">
        <v>0</v>
      </c>
    </row>
    <row r="16" spans="1:39" x14ac:dyDescent="0.25">
      <c r="A16" t="s">
        <v>168</v>
      </c>
      <c r="B16" s="96">
        <v>5.4</v>
      </c>
      <c r="C16" s="100">
        <v>5.2540540540540608</v>
      </c>
      <c r="D16" s="100">
        <v>5.1081081081081212</v>
      </c>
      <c r="E16" s="100">
        <v>4.9621621621621808</v>
      </c>
      <c r="F16" s="100">
        <v>4.8162162162162403</v>
      </c>
      <c r="G16" s="100">
        <v>4.670270270270299</v>
      </c>
      <c r="H16" s="100">
        <v>4.5243243243243567</v>
      </c>
      <c r="I16" s="100">
        <v>4.3783783783784145</v>
      </c>
      <c r="J16" s="100">
        <v>4.2324324324324714</v>
      </c>
      <c r="K16" s="100">
        <v>4.0864864864865282</v>
      </c>
      <c r="L16" s="100">
        <v>3.9405405405405842</v>
      </c>
      <c r="M16" s="100">
        <v>3.7945945945946398</v>
      </c>
      <c r="N16" s="100">
        <v>3.6486486486486953</v>
      </c>
      <c r="O16" s="100">
        <v>3.5027027027027504</v>
      </c>
      <c r="P16" s="100">
        <v>3.3567567567568051</v>
      </c>
      <c r="Q16" s="100">
        <v>3.2108108108108597</v>
      </c>
      <c r="R16" s="100">
        <v>3.0648648648649139</v>
      </c>
      <c r="S16" s="100">
        <v>2.9189189189189677</v>
      </c>
      <c r="T16" s="100">
        <v>2.7729729729730215</v>
      </c>
      <c r="U16" s="100">
        <v>2.6270270270270748</v>
      </c>
      <c r="V16" s="100">
        <v>2.4810810810811277</v>
      </c>
      <c r="W16" s="100">
        <v>2.3351351351351806</v>
      </c>
      <c r="X16" s="100">
        <v>2.189189189189233</v>
      </c>
      <c r="Y16" s="100">
        <v>2.043243243243285</v>
      </c>
      <c r="Z16" s="100">
        <v>1.8972972972973368</v>
      </c>
      <c r="AA16" s="100">
        <v>1.7513513513513885</v>
      </c>
      <c r="AB16" s="100">
        <v>1.6054054054054401</v>
      </c>
      <c r="AC16" s="100">
        <v>1.4594594594594914</v>
      </c>
      <c r="AD16" s="100">
        <v>1.3135135135135427</v>
      </c>
      <c r="AE16" s="100">
        <v>1.1675675675675938</v>
      </c>
      <c r="AF16" s="100">
        <v>1.0216216216216449</v>
      </c>
      <c r="AG16" s="100">
        <v>0.87567567567569582</v>
      </c>
      <c r="AH16" s="100">
        <v>0.72972972972974659</v>
      </c>
      <c r="AI16" s="100">
        <v>0.58378378378379736</v>
      </c>
      <c r="AJ16" s="100">
        <v>0.43783783783784802</v>
      </c>
      <c r="AK16" s="100">
        <v>0.29189189189189868</v>
      </c>
      <c r="AL16" s="100">
        <v>0.14594594594594934</v>
      </c>
      <c r="AM16" s="101">
        <v>0</v>
      </c>
    </row>
    <row r="17" spans="1:39" x14ac:dyDescent="0.25">
      <c r="A17" t="s">
        <v>169</v>
      </c>
      <c r="B17" s="96">
        <v>19.8</v>
      </c>
      <c r="C17" s="100">
        <v>19.26486486486489</v>
      </c>
      <c r="D17" s="100">
        <v>18.729729729729776</v>
      </c>
      <c r="E17" s="100">
        <v>18.194594594594662</v>
      </c>
      <c r="F17" s="100">
        <v>17.659459459459544</v>
      </c>
      <c r="G17" s="100">
        <v>17.124324324324427</v>
      </c>
      <c r="H17" s="100">
        <v>16.589189189189305</v>
      </c>
      <c r="I17" s="100">
        <v>16.054054054054184</v>
      </c>
      <c r="J17" s="100">
        <v>15.518918918919059</v>
      </c>
      <c r="K17" s="100">
        <v>14.983783783783933</v>
      </c>
      <c r="L17" s="100">
        <v>14.448648648648806</v>
      </c>
      <c r="M17" s="100">
        <v>13.913513513513678</v>
      </c>
      <c r="N17" s="100">
        <v>13.378378378378548</v>
      </c>
      <c r="O17" s="100">
        <v>12.843243243243418</v>
      </c>
      <c r="P17" s="100">
        <v>12.308108108108286</v>
      </c>
      <c r="Q17" s="100">
        <v>11.772972972973152</v>
      </c>
      <c r="R17" s="100">
        <v>11.237837837838018</v>
      </c>
      <c r="S17" s="100">
        <v>10.702702702702883</v>
      </c>
      <c r="T17" s="100">
        <v>10.167567567567746</v>
      </c>
      <c r="U17" s="100">
        <v>9.6324324324326085</v>
      </c>
      <c r="V17" s="100">
        <v>9.0972972972974695</v>
      </c>
      <c r="W17" s="100">
        <v>8.5621621621623287</v>
      </c>
      <c r="X17" s="100">
        <v>8.027027027027188</v>
      </c>
      <c r="Y17" s="100">
        <v>7.4918918918920454</v>
      </c>
      <c r="Z17" s="100">
        <v>6.956756756756902</v>
      </c>
      <c r="AA17" s="100">
        <v>6.4216216216217585</v>
      </c>
      <c r="AB17" s="100">
        <v>5.8864864864866142</v>
      </c>
      <c r="AC17" s="100">
        <v>5.351351351351469</v>
      </c>
      <c r="AD17" s="100">
        <v>4.8162162162163238</v>
      </c>
      <c r="AE17" s="100">
        <v>4.2810810810811777</v>
      </c>
      <c r="AF17" s="100">
        <v>3.7459459459460311</v>
      </c>
      <c r="AG17" s="100">
        <v>3.2108108108108846</v>
      </c>
      <c r="AH17" s="100">
        <v>2.6756756756757376</v>
      </c>
      <c r="AI17" s="100">
        <v>2.1405405405405906</v>
      </c>
      <c r="AJ17" s="100">
        <v>1.6054054054054432</v>
      </c>
      <c r="AK17" s="100">
        <v>1.0702702702702955</v>
      </c>
      <c r="AL17" s="100">
        <v>0.53513513513514777</v>
      </c>
      <c r="AM17" s="101">
        <v>0</v>
      </c>
    </row>
    <row r="18" spans="1:39" ht="15.75" thickBot="1" x14ac:dyDescent="0.3">
      <c r="A18" s="85" t="s">
        <v>100</v>
      </c>
      <c r="B18" s="97">
        <v>543.1922047249999</v>
      </c>
      <c r="C18" s="102">
        <v>541.32030451304183</v>
      </c>
      <c r="D18" s="102">
        <v>539.44840607501669</v>
      </c>
      <c r="E18" s="102">
        <v>537.57651027237443</v>
      </c>
      <c r="F18" s="102">
        <v>535.70461794141613</v>
      </c>
      <c r="G18" s="102">
        <v>533.83272988745887</v>
      </c>
      <c r="H18" s="102">
        <v>531.96084687926793</v>
      </c>
      <c r="I18" s="102">
        <v>530.08896964379039</v>
      </c>
      <c r="J18" s="102">
        <v>528.21709886122699</v>
      </c>
      <c r="K18" s="102">
        <v>526.34523516047716</v>
      </c>
      <c r="L18" s="102">
        <v>524.47337911498437</v>
      </c>
      <c r="M18" s="102">
        <v>522.60153123901091</v>
      </c>
      <c r="N18" s="102">
        <v>520.72969198436499</v>
      </c>
      <c r="O18" s="102">
        <v>518.8578617376005</v>
      </c>
      <c r="P18" s="102">
        <v>516.986040817706</v>
      </c>
      <c r="Q18" s="102">
        <v>515.11422947429651</v>
      </c>
      <c r="R18" s="102">
        <v>513.24242788631739</v>
      </c>
      <c r="S18" s="102">
        <v>511.37063616126574</v>
      </c>
      <c r="T18" s="102">
        <v>509.49885433493057</v>
      </c>
      <c r="U18" s="102">
        <v>507.62708237165168</v>
      </c>
      <c r="V18" s="102">
        <v>505.75532016508987</v>
      </c>
      <c r="W18" s="102">
        <v>503.88356753949967</v>
      </c>
      <c r="X18" s="102">
        <v>502.01182425149318</v>
      </c>
      <c r="Y18" s="102">
        <v>500.14008999227644</v>
      </c>
      <c r="Z18" s="102">
        <v>498.26836439034071</v>
      </c>
      <c r="AA18" s="102">
        <v>496.39664701458616</v>
      </c>
      <c r="AB18" s="102">
        <v>494.52493737784982</v>
      </c>
      <c r="AC18" s="102">
        <v>492.65323494081326</v>
      </c>
      <c r="AD18" s="102">
        <v>490.78153911625634</v>
      </c>
      <c r="AE18" s="102">
        <v>488.90984927362501</v>
      </c>
      <c r="AF18" s="102">
        <v>487.03816474387764</v>
      </c>
      <c r="AG18" s="102">
        <v>485.16648482457441</v>
      </c>
      <c r="AH18" s="102">
        <v>483.29480878516819</v>
      </c>
      <c r="AI18" s="102">
        <v>481.42313587246241</v>
      </c>
      <c r="AJ18" s="102">
        <v>479.55146531618954</v>
      </c>
      <c r="AK18" s="102">
        <v>477.67979633467473</v>
      </c>
      <c r="AL18" s="102">
        <v>475.80812814053888</v>
      </c>
      <c r="AM18" s="102">
        <v>473.93645994640292</v>
      </c>
    </row>
    <row r="19" spans="1:39" ht="15.75" thickBot="1" x14ac:dyDescent="0.3">
      <c r="A19" s="98" t="s">
        <v>170</v>
      </c>
      <c r="B19" s="99">
        <v>0.17450950860568801</v>
      </c>
      <c r="C19" s="103">
        <v>0.19404210434665731</v>
      </c>
      <c r="D19" s="103">
        <v>0.21371026771677124</v>
      </c>
      <c r="E19" s="103">
        <v>0.23351541973181231</v>
      </c>
      <c r="F19" s="103">
        <v>0.25345900099185814</v>
      </c>
      <c r="G19" s="103">
        <v>0.27354247199322068</v>
      </c>
      <c r="H19" s="103">
        <v>0.29376731344988405</v>
      </c>
      <c r="I19" s="103">
        <v>0.31413502662486098</v>
      </c>
      <c r="J19" s="103">
        <v>0.33464713367187038</v>
      </c>
      <c r="K19" s="103">
        <v>0.35530517798771988</v>
      </c>
      <c r="L19" s="103">
        <v>0.37611072457576561</v>
      </c>
      <c r="M19" s="103">
        <v>0.39706536042079582</v>
      </c>
      <c r="N19" s="103">
        <v>0.41817069487566938</v>
      </c>
      <c r="O19" s="103">
        <v>0.43942836006001923</v>
      </c>
      <c r="P19" s="103">
        <v>0.46084001127130914</v>
      </c>
      <c r="Q19" s="103">
        <v>0.48240732740851272</v>
      </c>
      <c r="R19" s="103">
        <v>0.50413201140866137</v>
      </c>
      <c r="S19" s="103">
        <v>0.52601579069648774</v>
      </c>
      <c r="T19" s="103">
        <v>0.54806041764737279</v>
      </c>
      <c r="U19" s="103">
        <v>0.57026767006378176</v>
      </c>
      <c r="V19" s="103">
        <v>0.59263935166535964</v>
      </c>
      <c r="W19" s="103">
        <v>0.6151772925928356</v>
      </c>
      <c r="X19" s="103">
        <v>0.6378833499258737</v>
      </c>
      <c r="Y19" s="103">
        <v>0.66075940821498869</v>
      </c>
      <c r="Z19" s="103">
        <v>0.68380738002763586</v>
      </c>
      <c r="AA19" s="103">
        <v>0.70702920650857115</v>
      </c>
      <c r="AB19" s="103">
        <v>0.73042685795457118</v>
      </c>
      <c r="AC19" s="103">
        <v>0.75400233440359121</v>
      </c>
      <c r="AD19" s="103">
        <v>0.77775766623844034</v>
      </c>
      <c r="AE19" s="103">
        <v>0.80169491480504729</v>
      </c>
      <c r="AF19" s="103">
        <v>0.82581617304539323</v>
      </c>
      <c r="AG19" s="103">
        <v>0.85012356614518791</v>
      </c>
      <c r="AH19" s="103">
        <v>0.87461925219637593</v>
      </c>
      <c r="AI19" s="103">
        <v>0.89930542287456239</v>
      </c>
      <c r="AJ19" s="103">
        <v>0.92418430413146646</v>
      </c>
      <c r="AK19" s="103">
        <v>0.94925815690251658</v>
      </c>
      <c r="AL19" s="103">
        <v>0.97452927782972576</v>
      </c>
      <c r="AM19" s="1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Coûts annuel génération élec</vt:lpstr>
      <vt:lpstr>Coûts annuels réseaux et stocka</vt:lpstr>
      <vt:lpstr>Données capacités de production</vt:lpstr>
      <vt:lpstr>Chronique de production</vt:lpstr>
      <vt:lpstr>Données capacités de stockage</vt:lpstr>
      <vt:lpstr>LCOE</vt:lpstr>
      <vt:lpstr>Capacités installées</vt:lpstr>
      <vt:lpstr>Production</vt:lpstr>
      <vt:lpstr>Linéarisation mix</vt:lpstr>
      <vt:lpstr>Structure de coûts RTE</vt:lpstr>
      <vt:lpstr>Données Linky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2016-03-15T17:47:40Z</dcterms:modified>
</cp:coreProperties>
</file>