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40" yWindow="-15" windowWidth="9600" windowHeight="11490" activeTab="4"/>
  </bookViews>
  <sheets>
    <sheet name="Cibles THREEME" sheetId="14" r:id="rId1"/>
    <sheet name="Indicateurs" sheetId="13" r:id="rId2"/>
    <sheet name="BILAN ENR Energie finale " sheetId="5" r:id="rId3"/>
    <sheet name="FLUX 2030" sheetId="6" r:id="rId4"/>
    <sheet name="FLUX 2050" sheetId="8" r:id="rId5"/>
    <sheet name="Détail 2010" sheetId="9" r:id="rId6"/>
    <sheet name="Détail 2030" sheetId="10" r:id="rId7"/>
    <sheet name="Détail 2050" sheetId="11" r:id="rId8"/>
    <sheet name="Primaire et final" sheetId="12" r:id="rId9"/>
    <sheet name="Sankey 2030" sheetId="17" r:id="rId10"/>
    <sheet name="Sankey 2050" sheetId="15" r:id="rId11"/>
  </sheets>
  <externalReferences>
    <externalReference r:id="rId12"/>
    <externalReference r:id="rId13"/>
  </externalReferences>
  <calcPr calcId="145621" iterate="1"/>
</workbook>
</file>

<file path=xl/calcChain.xml><?xml version="1.0" encoding="utf-8"?>
<calcChain xmlns="http://schemas.openxmlformats.org/spreadsheetml/2006/main">
  <c r="K24" i="8" l="1"/>
  <c r="K24" i="6"/>
  <c r="I27" i="6"/>
  <c r="I28" i="6"/>
  <c r="I29" i="6"/>
  <c r="I30" i="6"/>
  <c r="I31" i="6"/>
  <c r="I32" i="6"/>
  <c r="I26" i="6"/>
  <c r="D26" i="6"/>
  <c r="D26" i="8"/>
  <c r="Q74" i="14" l="1"/>
  <c r="P74" i="14"/>
  <c r="M32" i="15" l="1"/>
  <c r="M66" i="15"/>
  <c r="D51" i="5"/>
  <c r="C51" i="5"/>
  <c r="C50" i="5"/>
  <c r="E49" i="5"/>
  <c r="E48" i="5"/>
  <c r="D48" i="5"/>
  <c r="D47" i="5"/>
  <c r="C47" i="5"/>
  <c r="E45" i="5"/>
  <c r="D45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D33" i="5"/>
  <c r="C33" i="5"/>
  <c r="E32" i="5"/>
  <c r="D32" i="5"/>
  <c r="C32" i="5"/>
  <c r="D31" i="5"/>
  <c r="C31" i="5"/>
  <c r="E30" i="5"/>
  <c r="D30" i="5"/>
  <c r="C30" i="5"/>
  <c r="E25" i="5"/>
  <c r="E51" i="5" s="1"/>
  <c r="D25" i="5"/>
  <c r="C25" i="5"/>
  <c r="E24" i="5"/>
  <c r="E50" i="5" s="1"/>
  <c r="D24" i="5"/>
  <c r="D50" i="5" s="1"/>
  <c r="C24" i="5"/>
  <c r="E23" i="5"/>
  <c r="D23" i="5"/>
  <c r="D49" i="5" s="1"/>
  <c r="C23" i="5"/>
  <c r="C49" i="5" s="1"/>
  <c r="E22" i="5"/>
  <c r="D22" i="5"/>
  <c r="C22" i="5"/>
  <c r="C48" i="5" s="1"/>
  <c r="E21" i="5"/>
  <c r="E47" i="5" s="1"/>
  <c r="D21" i="5"/>
  <c r="C21" i="5"/>
  <c r="E20" i="5"/>
  <c r="D20" i="5"/>
  <c r="D46" i="5" s="1"/>
  <c r="C20" i="5"/>
  <c r="C46" i="5" s="1"/>
  <c r="E19" i="5"/>
  <c r="D19" i="5"/>
  <c r="C19" i="5"/>
  <c r="C45" i="5" s="1"/>
  <c r="E18" i="5"/>
  <c r="D18" i="5"/>
  <c r="D44" i="5" s="1"/>
  <c r="C18" i="5"/>
  <c r="C44" i="5" s="1"/>
  <c r="E17" i="5"/>
  <c r="E43" i="5" s="1"/>
  <c r="D17" i="5"/>
  <c r="D43" i="5" s="1"/>
  <c r="C17" i="5"/>
  <c r="C43" i="5" s="1"/>
  <c r="E5" i="13"/>
  <c r="D5" i="13"/>
  <c r="D8" i="13" s="1"/>
  <c r="C5" i="13"/>
  <c r="C4" i="13" s="1"/>
  <c r="C7" i="13" s="1"/>
  <c r="E4" i="13"/>
  <c r="D4" i="13"/>
  <c r="D7" i="13" s="1"/>
  <c r="E3" i="13"/>
  <c r="C3" i="13"/>
  <c r="Q39" i="12"/>
  <c r="G39" i="12"/>
  <c r="Q38" i="12"/>
  <c r="G38" i="12"/>
  <c r="Q37" i="12"/>
  <c r="G37" i="12"/>
  <c r="Q36" i="12"/>
  <c r="G36" i="12"/>
  <c r="Q35" i="12"/>
  <c r="G35" i="12"/>
  <c r="Q34" i="12"/>
  <c r="G34" i="12"/>
  <c r="Q33" i="12"/>
  <c r="G33" i="12"/>
  <c r="Q32" i="12"/>
  <c r="G32" i="12"/>
  <c r="Q31" i="12"/>
  <c r="G31" i="12"/>
  <c r="Q30" i="12"/>
  <c r="G30" i="12"/>
  <c r="Q28" i="12"/>
  <c r="G28" i="12"/>
  <c r="Q27" i="12"/>
  <c r="G27" i="12"/>
  <c r="Q26" i="12"/>
  <c r="G26" i="12"/>
  <c r="Q25" i="12"/>
  <c r="G25" i="12"/>
  <c r="Q24" i="12"/>
  <c r="G24" i="12"/>
  <c r="Q23" i="12"/>
  <c r="M23" i="12"/>
  <c r="G23" i="12"/>
  <c r="C23" i="12"/>
  <c r="Q22" i="12"/>
  <c r="M22" i="12"/>
  <c r="G22" i="12"/>
  <c r="H22" i="12" s="1"/>
  <c r="C22" i="12"/>
  <c r="M21" i="12"/>
  <c r="C21" i="12"/>
  <c r="Q20" i="12"/>
  <c r="M20" i="12"/>
  <c r="G20" i="12"/>
  <c r="C20" i="12"/>
  <c r="Q19" i="12"/>
  <c r="M19" i="12"/>
  <c r="G19" i="12"/>
  <c r="C19" i="12"/>
  <c r="Q18" i="12"/>
  <c r="G18" i="12"/>
  <c r="Q17" i="12"/>
  <c r="R17" i="12" s="1"/>
  <c r="M17" i="12"/>
  <c r="G17" i="12"/>
  <c r="H17" i="12" s="1"/>
  <c r="C17" i="12"/>
  <c r="M16" i="12"/>
  <c r="C16" i="12"/>
  <c r="Q15" i="12"/>
  <c r="M15" i="12"/>
  <c r="G15" i="12"/>
  <c r="C15" i="12"/>
  <c r="Q14" i="12"/>
  <c r="M14" i="12"/>
  <c r="G14" i="12"/>
  <c r="C14" i="12"/>
  <c r="Q13" i="12"/>
  <c r="M13" i="12"/>
  <c r="G13" i="12"/>
  <c r="C13" i="12"/>
  <c r="Q12" i="12"/>
  <c r="M12" i="12"/>
  <c r="G12" i="12"/>
  <c r="C12" i="12"/>
  <c r="Q11" i="12"/>
  <c r="M11" i="12"/>
  <c r="G11" i="12"/>
  <c r="C11" i="12"/>
  <c r="Q10" i="12"/>
  <c r="M10" i="12"/>
  <c r="G10" i="12"/>
  <c r="C10" i="12"/>
  <c r="Q9" i="12"/>
  <c r="M9" i="12"/>
  <c r="G9" i="12"/>
  <c r="C9" i="12"/>
  <c r="Q8" i="12"/>
  <c r="M8" i="12"/>
  <c r="G8" i="12"/>
  <c r="C8" i="12"/>
  <c r="Q7" i="12"/>
  <c r="M7" i="12"/>
  <c r="G7" i="12"/>
  <c r="C7" i="12"/>
  <c r="Q6" i="12"/>
  <c r="R5" i="12" s="1"/>
  <c r="G6" i="12"/>
  <c r="Q5" i="12"/>
  <c r="M5" i="12"/>
  <c r="G5" i="12"/>
  <c r="C5" i="12"/>
  <c r="G25" i="11"/>
  <c r="F25" i="11"/>
  <c r="E25" i="11"/>
  <c r="D25" i="11"/>
  <c r="G24" i="11"/>
  <c r="F24" i="11"/>
  <c r="E24" i="11"/>
  <c r="D24" i="11"/>
  <c r="F23" i="11"/>
  <c r="E23" i="11"/>
  <c r="D23" i="11"/>
  <c r="G22" i="11"/>
  <c r="F22" i="11"/>
  <c r="E22" i="11"/>
  <c r="D22" i="11"/>
  <c r="C22" i="11"/>
  <c r="H22" i="11" s="1"/>
  <c r="G21" i="11"/>
  <c r="E21" i="11"/>
  <c r="D21" i="11"/>
  <c r="C21" i="11"/>
  <c r="G20" i="11"/>
  <c r="F20" i="11"/>
  <c r="E20" i="11"/>
  <c r="C20" i="11"/>
  <c r="G19" i="11"/>
  <c r="F19" i="11"/>
  <c r="C19" i="11"/>
  <c r="G18" i="11"/>
  <c r="F18" i="11"/>
  <c r="E18" i="11"/>
  <c r="F17" i="11"/>
  <c r="C16" i="11"/>
  <c r="H16" i="11" s="1"/>
  <c r="G15" i="11"/>
  <c r="F15" i="11"/>
  <c r="C15" i="11"/>
  <c r="L10" i="11"/>
  <c r="H7" i="11"/>
  <c r="G7" i="11"/>
  <c r="E7" i="11"/>
  <c r="D7" i="11"/>
  <c r="C7" i="11"/>
  <c r="T6" i="11"/>
  <c r="S6" i="11"/>
  <c r="R6" i="11"/>
  <c r="P6" i="11"/>
  <c r="G14" i="11" s="1"/>
  <c r="K6" i="11"/>
  <c r="G17" i="11" s="1"/>
  <c r="J6" i="11"/>
  <c r="G13" i="11" s="1"/>
  <c r="I6" i="11"/>
  <c r="F6" i="11"/>
  <c r="U6" i="11" s="1"/>
  <c r="T5" i="11"/>
  <c r="S5" i="11"/>
  <c r="R5" i="11"/>
  <c r="F21" i="11" s="1"/>
  <c r="P5" i="11"/>
  <c r="F14" i="11" s="1"/>
  <c r="J5" i="11"/>
  <c r="F13" i="11" s="1"/>
  <c r="I5" i="11"/>
  <c r="T4" i="11"/>
  <c r="S4" i="11"/>
  <c r="E14" i="11" s="1"/>
  <c r="P4" i="11"/>
  <c r="N4" i="11"/>
  <c r="E19" i="11" s="1"/>
  <c r="M4" i="11"/>
  <c r="L4" i="11"/>
  <c r="E15" i="11" s="1"/>
  <c r="K4" i="11"/>
  <c r="E17" i="11" s="1"/>
  <c r="J4" i="11"/>
  <c r="E13" i="11" s="1"/>
  <c r="I4" i="11"/>
  <c r="U4" i="11" s="1"/>
  <c r="T3" i="11"/>
  <c r="S3" i="11"/>
  <c r="P3" i="11"/>
  <c r="O3" i="11"/>
  <c r="D20" i="11" s="1"/>
  <c r="N3" i="11"/>
  <c r="N7" i="11" s="1"/>
  <c r="M3" i="11"/>
  <c r="D18" i="11" s="1"/>
  <c r="L3" i="11"/>
  <c r="D15" i="11" s="1"/>
  <c r="K3" i="11"/>
  <c r="D17" i="11" s="1"/>
  <c r="J3" i="11"/>
  <c r="D13" i="11" s="1"/>
  <c r="I3" i="11"/>
  <c r="T2" i="11"/>
  <c r="T7" i="11" s="1"/>
  <c r="S2" i="11"/>
  <c r="Q2" i="11"/>
  <c r="C24" i="11" s="1"/>
  <c r="H24" i="11" s="1"/>
  <c r="P2" i="11"/>
  <c r="P7" i="11" s="1"/>
  <c r="M2" i="11"/>
  <c r="C18" i="11" s="1"/>
  <c r="L2" i="11"/>
  <c r="K2" i="11"/>
  <c r="C17" i="11" s="1"/>
  <c r="H17" i="11" s="1"/>
  <c r="J2" i="11"/>
  <c r="C13" i="11" s="1"/>
  <c r="I2" i="11"/>
  <c r="C14" i="11" s="1"/>
  <c r="F2" i="11"/>
  <c r="C23" i="11" s="1"/>
  <c r="B2" i="11"/>
  <c r="B7" i="11" s="1"/>
  <c r="G25" i="10"/>
  <c r="F25" i="10"/>
  <c r="G24" i="10"/>
  <c r="F24" i="10"/>
  <c r="E24" i="10"/>
  <c r="D24" i="10"/>
  <c r="C24" i="10"/>
  <c r="H24" i="10" s="1"/>
  <c r="G23" i="10"/>
  <c r="F23" i="10"/>
  <c r="E23" i="10"/>
  <c r="D23" i="10"/>
  <c r="C23" i="10"/>
  <c r="H23" i="10" s="1"/>
  <c r="G22" i="10"/>
  <c r="F22" i="10"/>
  <c r="E22" i="10"/>
  <c r="D22" i="10"/>
  <c r="C22" i="10"/>
  <c r="H22" i="10" s="1"/>
  <c r="G21" i="10"/>
  <c r="F21" i="10"/>
  <c r="E21" i="10"/>
  <c r="D21" i="10"/>
  <c r="C21" i="10"/>
  <c r="H21" i="10" s="1"/>
  <c r="G20" i="10"/>
  <c r="F20" i="10"/>
  <c r="E20" i="10"/>
  <c r="D20" i="10"/>
  <c r="C20" i="10"/>
  <c r="H20" i="10" s="1"/>
  <c r="G19" i="10"/>
  <c r="F19" i="10"/>
  <c r="E19" i="10"/>
  <c r="D19" i="10"/>
  <c r="C19" i="10"/>
  <c r="H19" i="10" s="1"/>
  <c r="G18" i="10"/>
  <c r="F18" i="10"/>
  <c r="E18" i="10"/>
  <c r="D18" i="10"/>
  <c r="C18" i="10"/>
  <c r="H18" i="10" s="1"/>
  <c r="G17" i="10"/>
  <c r="F17" i="10"/>
  <c r="E17" i="10"/>
  <c r="D17" i="10"/>
  <c r="C17" i="10"/>
  <c r="H17" i="10" s="1"/>
  <c r="H16" i="10"/>
  <c r="G15" i="10"/>
  <c r="F15" i="10"/>
  <c r="E15" i="10"/>
  <c r="D15" i="10"/>
  <c r="C15" i="10"/>
  <c r="H15" i="10" s="1"/>
  <c r="F14" i="10"/>
  <c r="F13" i="10"/>
  <c r="F26" i="10" s="1"/>
  <c r="S8" i="10"/>
  <c r="R7" i="10"/>
  <c r="Q7" i="10"/>
  <c r="O7" i="10"/>
  <c r="N7" i="10"/>
  <c r="M7" i="10"/>
  <c r="L7" i="10"/>
  <c r="K7" i="10"/>
  <c r="H7" i="10"/>
  <c r="G7" i="10"/>
  <c r="F7" i="10"/>
  <c r="E7" i="10"/>
  <c r="D7" i="10"/>
  <c r="C7" i="10"/>
  <c r="J6" i="10"/>
  <c r="G13" i="10" s="1"/>
  <c r="I6" i="10"/>
  <c r="G14" i="10" s="1"/>
  <c r="J5" i="10"/>
  <c r="S5" i="10" s="1"/>
  <c r="S4" i="10"/>
  <c r="J4" i="10"/>
  <c r="E13" i="10" s="1"/>
  <c r="I4" i="10"/>
  <c r="E14" i="10" s="1"/>
  <c r="B4" i="10"/>
  <c r="E25" i="10" s="1"/>
  <c r="P3" i="10"/>
  <c r="P7" i="10" s="1"/>
  <c r="J3" i="10"/>
  <c r="D13" i="10" s="1"/>
  <c r="I3" i="10"/>
  <c r="D14" i="10" s="1"/>
  <c r="B3" i="10"/>
  <c r="D25" i="10" s="1"/>
  <c r="J2" i="10"/>
  <c r="J7" i="10" s="1"/>
  <c r="I2" i="10"/>
  <c r="C14" i="10" s="1"/>
  <c r="B2" i="10"/>
  <c r="S2" i="10" s="1"/>
  <c r="M57" i="8"/>
  <c r="M56" i="8"/>
  <c r="M55" i="8"/>
  <c r="R54" i="8"/>
  <c r="M54" i="8"/>
  <c r="R53" i="8"/>
  <c r="R52" i="8" s="1"/>
  <c r="M53" i="8"/>
  <c r="M52" i="8"/>
  <c r="M51" i="8"/>
  <c r="R49" i="8"/>
  <c r="M49" i="8"/>
  <c r="M48" i="8"/>
  <c r="R47" i="8"/>
  <c r="M47" i="8"/>
  <c r="M46" i="8" s="1"/>
  <c r="K32" i="8"/>
  <c r="I32" i="8"/>
  <c r="G32" i="8"/>
  <c r="I31" i="8"/>
  <c r="I30" i="8"/>
  <c r="I29" i="8"/>
  <c r="I28" i="8"/>
  <c r="I27" i="8"/>
  <c r="N26" i="8"/>
  <c r="T26" i="8" s="1"/>
  <c r="V26" i="8" s="1"/>
  <c r="L26" i="8"/>
  <c r="J26" i="8"/>
  <c r="I26" i="8"/>
  <c r="H26" i="8"/>
  <c r="C24" i="8"/>
  <c r="I23" i="8"/>
  <c r="K23" i="8" s="1"/>
  <c r="L21" i="8" s="1"/>
  <c r="N21" i="8" s="1"/>
  <c r="G23" i="8"/>
  <c r="C23" i="8"/>
  <c r="K22" i="8"/>
  <c r="C22" i="8"/>
  <c r="R48" i="8" s="1"/>
  <c r="R46" i="8" s="1"/>
  <c r="K21" i="8"/>
  <c r="H21" i="8"/>
  <c r="C21" i="8"/>
  <c r="AE20" i="8"/>
  <c r="AE19" i="8"/>
  <c r="I19" i="8"/>
  <c r="K19" i="8" s="1"/>
  <c r="L7" i="8" s="1"/>
  <c r="N7" i="8" s="1"/>
  <c r="G19" i="8"/>
  <c r="C19" i="8"/>
  <c r="I16" i="8"/>
  <c r="G16" i="8"/>
  <c r="C16" i="8"/>
  <c r="C25" i="8" s="1"/>
  <c r="G15" i="8"/>
  <c r="C15" i="8"/>
  <c r="I14" i="8"/>
  <c r="G14" i="8"/>
  <c r="C14" i="8"/>
  <c r="I13" i="8"/>
  <c r="G13" i="8"/>
  <c r="C13" i="8"/>
  <c r="I12" i="8"/>
  <c r="G12" i="8"/>
  <c r="C12" i="8"/>
  <c r="I11" i="8"/>
  <c r="G11" i="8"/>
  <c r="C11" i="8"/>
  <c r="I10" i="8"/>
  <c r="G10" i="8"/>
  <c r="C10" i="8"/>
  <c r="G9" i="8"/>
  <c r="C9" i="8"/>
  <c r="M50" i="8" s="1"/>
  <c r="G8" i="8"/>
  <c r="C8" i="8"/>
  <c r="J7" i="8"/>
  <c r="H7" i="8"/>
  <c r="G7" i="8"/>
  <c r="C7" i="8"/>
  <c r="G5" i="8"/>
  <c r="M56" i="6"/>
  <c r="M54" i="6"/>
  <c r="K32" i="6"/>
  <c r="G32" i="6"/>
  <c r="K31" i="6"/>
  <c r="K29" i="6"/>
  <c r="K27" i="6"/>
  <c r="L26" i="6"/>
  <c r="N26" i="6" s="1"/>
  <c r="T26" i="6" s="1"/>
  <c r="V26" i="6" s="1"/>
  <c r="K26" i="6"/>
  <c r="H26" i="6"/>
  <c r="K30" i="6" s="1"/>
  <c r="G23" i="6"/>
  <c r="I23" i="6" s="1"/>
  <c r="J21" i="6" s="1"/>
  <c r="C20" i="6"/>
  <c r="R48" i="6" s="1"/>
  <c r="G19" i="6"/>
  <c r="I19" i="6" s="1"/>
  <c r="K19" i="6" s="1"/>
  <c r="L7" i="6" s="1"/>
  <c r="N7" i="6" s="1"/>
  <c r="C19" i="6"/>
  <c r="R54" i="6" s="1"/>
  <c r="C17" i="6"/>
  <c r="M57" i="6" s="1"/>
  <c r="I16" i="6"/>
  <c r="G16" i="6"/>
  <c r="M55" i="6" s="1"/>
  <c r="AF15" i="6"/>
  <c r="AF14" i="6" s="1"/>
  <c r="I17" i="6" s="1"/>
  <c r="G17" i="6" s="1"/>
  <c r="C21" i="6" s="1"/>
  <c r="R47" i="6" s="1"/>
  <c r="G15" i="6"/>
  <c r="C15" i="6"/>
  <c r="I14" i="6"/>
  <c r="G14" i="6" s="1"/>
  <c r="C10" i="6" s="1"/>
  <c r="M51" i="6" s="1"/>
  <c r="C14" i="6"/>
  <c r="I13" i="6"/>
  <c r="G13" i="6"/>
  <c r="C13" i="6"/>
  <c r="I12" i="6"/>
  <c r="G12" i="6"/>
  <c r="M53" i="6" s="1"/>
  <c r="R53" i="6" s="1"/>
  <c r="R52" i="6" s="1"/>
  <c r="I11" i="6"/>
  <c r="G11" i="6"/>
  <c r="C9" i="6" s="1"/>
  <c r="M50" i="6" s="1"/>
  <c r="C11" i="6"/>
  <c r="M49" i="6" s="1"/>
  <c r="I10" i="6"/>
  <c r="G10" i="6"/>
  <c r="G9" i="6"/>
  <c r="C12" i="6" s="1"/>
  <c r="M52" i="6" s="1"/>
  <c r="G8" i="6"/>
  <c r="G7" i="6"/>
  <c r="C7" i="6"/>
  <c r="O23" i="8" l="1"/>
  <c r="T21" i="8" s="1"/>
  <c r="V21" i="8" s="1"/>
  <c r="D19" i="11"/>
  <c r="G23" i="11"/>
  <c r="H23" i="11" s="1"/>
  <c r="F7" i="11"/>
  <c r="C25" i="11"/>
  <c r="H25" i="11" s="1"/>
  <c r="R22" i="12"/>
  <c r="E7" i="13"/>
  <c r="F7" i="13" s="1"/>
  <c r="C13" i="10"/>
  <c r="C26" i="10" s="1"/>
  <c r="J7" i="11"/>
  <c r="D14" i="11"/>
  <c r="F26" i="11"/>
  <c r="H19" i="11"/>
  <c r="H20" i="11"/>
  <c r="H21" i="11"/>
  <c r="H5" i="12"/>
  <c r="E8" i="13"/>
  <c r="C8" i="13"/>
  <c r="D26" i="11"/>
  <c r="H15" i="11"/>
  <c r="H14" i="11"/>
  <c r="H18" i="11"/>
  <c r="E26" i="11"/>
  <c r="G26" i="11"/>
  <c r="H26" i="11"/>
  <c r="U3" i="11"/>
  <c r="K7" i="11"/>
  <c r="O7" i="11"/>
  <c r="S7" i="11"/>
  <c r="U2" i="11"/>
  <c r="U5" i="11"/>
  <c r="L7" i="11"/>
  <c r="H13" i="11"/>
  <c r="I7" i="11"/>
  <c r="M7" i="11"/>
  <c r="Q7" i="11"/>
  <c r="C26" i="11"/>
  <c r="R7" i="11"/>
  <c r="H14" i="10"/>
  <c r="D26" i="10"/>
  <c r="E26" i="10"/>
  <c r="G26" i="10"/>
  <c r="S3" i="10"/>
  <c r="S7" i="10" s="1"/>
  <c r="C25" i="10"/>
  <c r="H25" i="10" s="1"/>
  <c r="S6" i="10"/>
  <c r="I7" i="10"/>
  <c r="B7" i="10"/>
  <c r="H13" i="10"/>
  <c r="M45" i="8"/>
  <c r="R56" i="8" s="1"/>
  <c r="T7" i="8"/>
  <c r="V7" i="8" s="1"/>
  <c r="N5" i="8"/>
  <c r="Z29" i="8"/>
  <c r="Y29" i="8"/>
  <c r="X29" i="8"/>
  <c r="C5" i="8"/>
  <c r="J21" i="8"/>
  <c r="O12" i="6"/>
  <c r="L25" i="17" s="1"/>
  <c r="K19" i="17" s="1"/>
  <c r="J7" i="6"/>
  <c r="Z26" i="6"/>
  <c r="Y26" i="6"/>
  <c r="X26" i="6"/>
  <c r="I18" i="6"/>
  <c r="C8" i="6"/>
  <c r="M48" i="6" s="1"/>
  <c r="C16" i="6"/>
  <c r="C23" i="6" s="1"/>
  <c r="M47" i="6"/>
  <c r="M46" i="6" s="1"/>
  <c r="K23" i="6"/>
  <c r="L21" i="6" s="1"/>
  <c r="H21" i="6"/>
  <c r="K28" i="6"/>
  <c r="L58" i="17" s="1"/>
  <c r="K18" i="17" s="1"/>
  <c r="AE19" i="14" s="1"/>
  <c r="Q65" i="14"/>
  <c r="Q57" i="14"/>
  <c r="P65" i="14"/>
  <c r="P57" i="14"/>
  <c r="Q72" i="14"/>
  <c r="P72" i="14"/>
  <c r="Q71" i="14"/>
  <c r="P71" i="14"/>
  <c r="Q70" i="14"/>
  <c r="P70" i="14"/>
  <c r="Q69" i="14"/>
  <c r="P69" i="14"/>
  <c r="Q68" i="14"/>
  <c r="P68" i="14"/>
  <c r="Q67" i="14"/>
  <c r="P67" i="14"/>
  <c r="Q66" i="14"/>
  <c r="P66" i="14"/>
  <c r="Q64" i="14"/>
  <c r="P64" i="14"/>
  <c r="Q63" i="14"/>
  <c r="P63" i="14"/>
  <c r="Q62" i="14"/>
  <c r="P62" i="14"/>
  <c r="Q61" i="14"/>
  <c r="P61" i="14"/>
  <c r="Q60" i="14"/>
  <c r="P60" i="14"/>
  <c r="Q59" i="14"/>
  <c r="P59" i="14"/>
  <c r="Q58" i="14"/>
  <c r="P58" i="14"/>
  <c r="Q7" i="14"/>
  <c r="Q9" i="14"/>
  <c r="D12" i="14"/>
  <c r="B12" i="14"/>
  <c r="B28" i="14" s="1"/>
  <c r="L6" i="17"/>
  <c r="AE5" i="14"/>
  <c r="AE9" i="14"/>
  <c r="AE4" i="14"/>
  <c r="AF9" i="14"/>
  <c r="AF8" i="14"/>
  <c r="AF7" i="14"/>
  <c r="AF5" i="14"/>
  <c r="AF4" i="14"/>
  <c r="Z12" i="14"/>
  <c r="Z4" i="14"/>
  <c r="AA9" i="14"/>
  <c r="AA7" i="14"/>
  <c r="H61" i="17"/>
  <c r="H19" i="17"/>
  <c r="M11" i="14"/>
  <c r="M9" i="14"/>
  <c r="I26" i="17"/>
  <c r="J32" i="17"/>
  <c r="J38" i="17"/>
  <c r="J48" i="17"/>
  <c r="N48" i="17" s="1"/>
  <c r="P48" i="17" s="1"/>
  <c r="J50" i="17"/>
  <c r="N50" i="17" s="1"/>
  <c r="P50" i="17" s="1"/>
  <c r="J62" i="17"/>
  <c r="N62" i="17" s="1"/>
  <c r="P62" i="17" s="1"/>
  <c r="I30" i="17"/>
  <c r="J12" i="17" s="1"/>
  <c r="Z14" i="14" s="1"/>
  <c r="L41" i="17"/>
  <c r="I34" i="17"/>
  <c r="L31" i="17"/>
  <c r="K6" i="17" s="1"/>
  <c r="AE8" i="14" s="1"/>
  <c r="I27" i="17"/>
  <c r="J2" i="17" s="1"/>
  <c r="I25" i="15"/>
  <c r="H25" i="15"/>
  <c r="I43" i="17"/>
  <c r="I42" i="17" s="1"/>
  <c r="I53" i="17"/>
  <c r="J53" i="17" s="1"/>
  <c r="I31" i="15"/>
  <c r="H31" i="15"/>
  <c r="H30" i="15"/>
  <c r="H27" i="15"/>
  <c r="H27" i="17"/>
  <c r="J27" i="17" s="1"/>
  <c r="N27" i="17" s="1"/>
  <c r="H48" i="17"/>
  <c r="H30" i="17"/>
  <c r="H12" i="17" s="1"/>
  <c r="O12" i="17" s="1"/>
  <c r="I28" i="17"/>
  <c r="H28" i="17"/>
  <c r="J28" i="17" s="1"/>
  <c r="I31" i="17"/>
  <c r="J6" i="17" s="1"/>
  <c r="Z8" i="14" s="1"/>
  <c r="H31" i="17"/>
  <c r="I61" i="17"/>
  <c r="I60" i="17" s="1"/>
  <c r="L59" i="17"/>
  <c r="I59" i="17"/>
  <c r="H59" i="17"/>
  <c r="J59" i="17" s="1"/>
  <c r="I58" i="17"/>
  <c r="J18" i="17" s="1"/>
  <c r="Z19" i="14" s="1"/>
  <c r="H58" i="17"/>
  <c r="L57" i="17"/>
  <c r="K15" i="17" s="1"/>
  <c r="AE17" i="14" s="1"/>
  <c r="I57" i="17"/>
  <c r="H57" i="17"/>
  <c r="H15" i="17" s="1"/>
  <c r="O15" i="17" s="1"/>
  <c r="L56" i="17"/>
  <c r="I56" i="17"/>
  <c r="I55" i="17" s="1"/>
  <c r="H56" i="17"/>
  <c r="J56" i="17" s="1"/>
  <c r="L54" i="17"/>
  <c r="I54" i="17"/>
  <c r="J54" i="17" s="1"/>
  <c r="N54" i="17" s="1"/>
  <c r="H54" i="17"/>
  <c r="H53" i="17"/>
  <c r="I51" i="17"/>
  <c r="I49" i="17" s="1"/>
  <c r="H51" i="17"/>
  <c r="I47" i="17"/>
  <c r="H47" i="17"/>
  <c r="J47" i="17" s="1"/>
  <c r="H46" i="17"/>
  <c r="I44" i="17"/>
  <c r="H44" i="17"/>
  <c r="J44" i="17" s="1"/>
  <c r="L43" i="17"/>
  <c r="H43" i="17"/>
  <c r="I41" i="17"/>
  <c r="H41" i="17"/>
  <c r="J41" i="17" s="1"/>
  <c r="N41" i="17" s="1"/>
  <c r="L40" i="17"/>
  <c r="I40" i="17"/>
  <c r="H40" i="17"/>
  <c r="J40" i="17" s="1"/>
  <c r="N40" i="17" s="1"/>
  <c r="P40" i="17" s="1"/>
  <c r="L38" i="17"/>
  <c r="K9" i="17" s="1"/>
  <c r="AE11" i="14" s="1"/>
  <c r="I38" i="17"/>
  <c r="H38" i="17"/>
  <c r="M37" i="17"/>
  <c r="I37" i="17"/>
  <c r="J8" i="17" s="1"/>
  <c r="Z10" i="14" s="1"/>
  <c r="H37" i="17"/>
  <c r="I36" i="17"/>
  <c r="H36" i="17"/>
  <c r="L35" i="17"/>
  <c r="I35" i="17"/>
  <c r="J10" i="17" s="1"/>
  <c r="H35" i="17"/>
  <c r="L34" i="17"/>
  <c r="K17" i="17" s="1"/>
  <c r="H34" i="17"/>
  <c r="H17" i="17" s="1"/>
  <c r="O17" i="17" s="1"/>
  <c r="I33" i="17"/>
  <c r="J4" i="17" s="1"/>
  <c r="H33" i="17"/>
  <c r="H4" i="17" s="1"/>
  <c r="O4" i="17" s="1"/>
  <c r="H2" i="17"/>
  <c r="O2" i="17" s="1"/>
  <c r="O63" i="17"/>
  <c r="H60" i="17"/>
  <c r="H52" i="17"/>
  <c r="L51" i="17"/>
  <c r="L49" i="17" s="1"/>
  <c r="L50" i="17"/>
  <c r="K29" i="17"/>
  <c r="N20" i="17"/>
  <c r="I20" i="17"/>
  <c r="L19" i="17"/>
  <c r="O19" i="17"/>
  <c r="L18" i="17"/>
  <c r="L17" i="17"/>
  <c r="L16" i="17"/>
  <c r="J16" i="17"/>
  <c r="L15" i="17"/>
  <c r="J15" i="17"/>
  <c r="Z17" i="14" s="1"/>
  <c r="L13" i="17"/>
  <c r="L12" i="17"/>
  <c r="L11" i="17"/>
  <c r="L10" i="17"/>
  <c r="L9" i="17"/>
  <c r="J9" i="17"/>
  <c r="Z11" i="14" s="1"/>
  <c r="H9" i="17"/>
  <c r="O9" i="17" s="1"/>
  <c r="H8" i="17"/>
  <c r="O8" i="17" s="1"/>
  <c r="J5" i="17"/>
  <c r="H5" i="17"/>
  <c r="O5" i="17" s="1"/>
  <c r="L3" i="17"/>
  <c r="K3" i="17"/>
  <c r="K2" i="17"/>
  <c r="B37" i="14"/>
  <c r="H29" i="17" l="1"/>
  <c r="J58" i="17"/>
  <c r="N58" i="17" s="1"/>
  <c r="J30" i="17"/>
  <c r="H26" i="10"/>
  <c r="F8" i="13"/>
  <c r="U7" i="11"/>
  <c r="Y12" i="8"/>
  <c r="AA12" i="8"/>
  <c r="W12" i="8"/>
  <c r="V5" i="8"/>
  <c r="T5" i="8" s="1"/>
  <c r="Z12" i="8"/>
  <c r="X12" i="8"/>
  <c r="X21" i="8"/>
  <c r="W21" i="8"/>
  <c r="Z21" i="8"/>
  <c r="Y21" i="8"/>
  <c r="AA21" i="8"/>
  <c r="D30" i="14" s="1"/>
  <c r="K10" i="17"/>
  <c r="AE12" i="14" s="1"/>
  <c r="N38" i="17"/>
  <c r="P38" i="17" s="1"/>
  <c r="H49" i="17"/>
  <c r="J49" i="17" s="1"/>
  <c r="N49" i="17" s="1"/>
  <c r="J51" i="17"/>
  <c r="N51" i="17" s="1"/>
  <c r="J37" i="17"/>
  <c r="N37" i="17" s="1"/>
  <c r="P37" i="17" s="1"/>
  <c r="Z7" i="14"/>
  <c r="N21" i="6"/>
  <c r="B30" i="14"/>
  <c r="G18" i="6"/>
  <c r="J7" i="17"/>
  <c r="Z9" i="14" s="1"/>
  <c r="I25" i="17"/>
  <c r="H16" i="17"/>
  <c r="O16" i="17" s="1"/>
  <c r="H39" i="17"/>
  <c r="H3" i="17"/>
  <c r="O3" i="17" s="1"/>
  <c r="I52" i="17"/>
  <c r="J52" i="17" s="1"/>
  <c r="J57" i="17"/>
  <c r="N57" i="17" s="1"/>
  <c r="P57" i="17" s="1"/>
  <c r="J34" i="17"/>
  <c r="N34" i="17" s="1"/>
  <c r="Z18" i="14"/>
  <c r="L39" i="17"/>
  <c r="N56" i="17"/>
  <c r="N59" i="17"/>
  <c r="P59" i="17" s="1"/>
  <c r="J31" i="17"/>
  <c r="N31" i="17" s="1"/>
  <c r="P31" i="17" s="1"/>
  <c r="H6" i="17"/>
  <c r="J33" i="17"/>
  <c r="J36" i="17"/>
  <c r="M66" i="17"/>
  <c r="H10" i="17"/>
  <c r="O10" i="17" s="1"/>
  <c r="J43" i="17"/>
  <c r="N43" i="17" s="1"/>
  <c r="P43" i="17" s="1"/>
  <c r="H13" i="17"/>
  <c r="O13" i="17" s="1"/>
  <c r="J61" i="17"/>
  <c r="M61" i="17" s="1"/>
  <c r="M32" i="17" s="1"/>
  <c r="L14" i="17" s="1"/>
  <c r="T7" i="6"/>
  <c r="V7" i="6" s="1"/>
  <c r="L28" i="17"/>
  <c r="L37" i="17"/>
  <c r="K8" i="17" s="1"/>
  <c r="AE10" i="14" s="1"/>
  <c r="L47" i="17"/>
  <c r="N47" i="17" s="1"/>
  <c r="P47" i="17" s="1"/>
  <c r="L36" i="17"/>
  <c r="L33" i="17"/>
  <c r="K4" i="17" s="1"/>
  <c r="I45" i="17"/>
  <c r="J11" i="17"/>
  <c r="Z13" i="14" s="1"/>
  <c r="I46" i="17"/>
  <c r="J46" i="17" s="1"/>
  <c r="N46" i="17" s="1"/>
  <c r="J35" i="17"/>
  <c r="N35" i="17" s="1"/>
  <c r="I39" i="17"/>
  <c r="Z6" i="14"/>
  <c r="N32" i="17"/>
  <c r="I29" i="17"/>
  <c r="J29" i="17" s="1"/>
  <c r="L8" i="17"/>
  <c r="L20" i="17" s="1"/>
  <c r="J60" i="17"/>
  <c r="P32" i="17"/>
  <c r="P35" i="17"/>
  <c r="P54" i="17"/>
  <c r="P56" i="17"/>
  <c r="K63" i="17"/>
  <c r="J17" i="17"/>
  <c r="M17" i="17" s="1"/>
  <c r="K13" i="17"/>
  <c r="AE15" i="14" s="1"/>
  <c r="J13" i="17"/>
  <c r="Z15" i="14" s="1"/>
  <c r="H18" i="17"/>
  <c r="O18" i="17" s="1"/>
  <c r="M15" i="17"/>
  <c r="H11" i="17"/>
  <c r="O11" i="17" s="1"/>
  <c r="L55" i="17"/>
  <c r="P51" i="17"/>
  <c r="M9" i="17"/>
  <c r="P27" i="17"/>
  <c r="K16" i="17"/>
  <c r="H45" i="17"/>
  <c r="P49" i="17"/>
  <c r="M18" i="17"/>
  <c r="P18" i="17" s="1"/>
  <c r="M10" i="17"/>
  <c r="P34" i="17"/>
  <c r="P41" i="17"/>
  <c r="M2" i="17"/>
  <c r="L4" i="14" s="1"/>
  <c r="P4" i="14" s="1"/>
  <c r="U4" i="14" s="1"/>
  <c r="K11" i="17"/>
  <c r="H26" i="17"/>
  <c r="J26" i="17" s="1"/>
  <c r="H42" i="17"/>
  <c r="J42" i="17" s="1"/>
  <c r="H55" i="17"/>
  <c r="P58" i="17"/>
  <c r="D13" i="14"/>
  <c r="D11" i="14"/>
  <c r="B13" i="14"/>
  <c r="C7" i="14"/>
  <c r="D47" i="14"/>
  <c r="D44" i="14"/>
  <c r="D43" i="14"/>
  <c r="D41" i="14"/>
  <c r="D37" i="14"/>
  <c r="E37" i="14" s="1"/>
  <c r="E36" i="14"/>
  <c r="E35" i="14"/>
  <c r="E34" i="14"/>
  <c r="D32" i="14"/>
  <c r="D31" i="14"/>
  <c r="D29" i="14"/>
  <c r="E24" i="14"/>
  <c r="E23" i="14"/>
  <c r="E22" i="14"/>
  <c r="E21" i="14"/>
  <c r="E20" i="14"/>
  <c r="D18" i="14"/>
  <c r="D17" i="14"/>
  <c r="E16" i="14"/>
  <c r="E15" i="14"/>
  <c r="D10" i="14"/>
  <c r="E6" i="14"/>
  <c r="D4" i="14"/>
  <c r="E4" i="14" s="1"/>
  <c r="W5" i="8" l="1"/>
  <c r="X5" i="8"/>
  <c r="AA5" i="8"/>
  <c r="Z5" i="8"/>
  <c r="Y5" i="8"/>
  <c r="D28" i="14"/>
  <c r="E7" i="14"/>
  <c r="D8" i="14" s="1"/>
  <c r="N26" i="17"/>
  <c r="P26" i="17" s="1"/>
  <c r="P10" i="17"/>
  <c r="L14" i="14"/>
  <c r="P12" i="14" s="1"/>
  <c r="M16" i="17"/>
  <c r="AE18" i="14"/>
  <c r="AE6" i="14"/>
  <c r="AL12" i="14"/>
  <c r="AE13" i="14"/>
  <c r="AL13" i="14" s="1"/>
  <c r="X7" i="6"/>
  <c r="AA7" i="6"/>
  <c r="AA5" i="6" s="1"/>
  <c r="W7" i="6"/>
  <c r="Z7" i="6"/>
  <c r="Y7" i="6"/>
  <c r="M8" i="17"/>
  <c r="J55" i="17"/>
  <c r="N55" i="17" s="1"/>
  <c r="P55" i="17" s="1"/>
  <c r="P17" i="17"/>
  <c r="L22" i="14"/>
  <c r="P19" i="14" s="1"/>
  <c r="J45" i="17"/>
  <c r="P9" i="17"/>
  <c r="L13" i="14"/>
  <c r="P11" i="14" s="1"/>
  <c r="M4" i="17"/>
  <c r="O6" i="17"/>
  <c r="M6" i="17"/>
  <c r="P6" i="17" s="1"/>
  <c r="J39" i="17"/>
  <c r="N39" i="17" s="1"/>
  <c r="P39" i="17" s="1"/>
  <c r="C22" i="6"/>
  <c r="H7" i="6"/>
  <c r="G5" i="6"/>
  <c r="H25" i="17"/>
  <c r="J25" i="17" s="1"/>
  <c r="H7" i="17"/>
  <c r="P46" i="17"/>
  <c r="L6" i="14"/>
  <c r="K5" i="17"/>
  <c r="L26" i="17"/>
  <c r="N28" i="17"/>
  <c r="P28" i="17" s="1"/>
  <c r="P40" i="14"/>
  <c r="AL4" i="14"/>
  <c r="P23" i="14"/>
  <c r="P15" i="17"/>
  <c r="L20" i="14"/>
  <c r="P17" i="14" s="1"/>
  <c r="I63" i="17"/>
  <c r="I66" i="17" s="1"/>
  <c r="J19" i="17"/>
  <c r="M19" i="17" s="1"/>
  <c r="T21" i="6"/>
  <c r="V21" i="6" s="1"/>
  <c r="O21" i="6"/>
  <c r="N5" i="6"/>
  <c r="J3" i="17"/>
  <c r="N36" i="17"/>
  <c r="P36" i="17" s="1"/>
  <c r="N33" i="17"/>
  <c r="P33" i="17" s="1"/>
  <c r="M11" i="17"/>
  <c r="L15" i="14" s="1"/>
  <c r="P13" i="14" s="1"/>
  <c r="P19" i="17"/>
  <c r="L23" i="14"/>
  <c r="M13" i="17"/>
  <c r="H14" i="17"/>
  <c r="J14" i="17"/>
  <c r="Z16" i="14" s="1"/>
  <c r="J20" i="17"/>
  <c r="P2" i="17"/>
  <c r="B4" i="14"/>
  <c r="C4" i="14" s="1"/>
  <c r="P36" i="14" l="1"/>
  <c r="P53" i="14"/>
  <c r="AL17" i="14"/>
  <c r="U17" i="14"/>
  <c r="N25" i="17"/>
  <c r="P25" i="17" s="1"/>
  <c r="J63" i="17"/>
  <c r="J66" i="17" s="1"/>
  <c r="P4" i="17"/>
  <c r="L8" i="14"/>
  <c r="P6" i="14" s="1"/>
  <c r="AL6" i="14" s="1"/>
  <c r="L12" i="14"/>
  <c r="P10" i="14" s="1"/>
  <c r="P8" i="17"/>
  <c r="H63" i="17"/>
  <c r="P11" i="17"/>
  <c r="L10" i="14"/>
  <c r="P8" i="14" s="1"/>
  <c r="P38" i="14"/>
  <c r="P55" i="14" s="1"/>
  <c r="AL19" i="14"/>
  <c r="U19" i="14"/>
  <c r="P16" i="17"/>
  <c r="L21" i="14"/>
  <c r="P18" i="14" s="1"/>
  <c r="AL18" i="14" s="1"/>
  <c r="L45" i="17"/>
  <c r="L53" i="17"/>
  <c r="L61" i="17"/>
  <c r="L30" i="17"/>
  <c r="AE7" i="14"/>
  <c r="M5" i="17"/>
  <c r="O7" i="17"/>
  <c r="M7" i="17"/>
  <c r="R49" i="6"/>
  <c r="R46" i="6" s="1"/>
  <c r="M45" i="6" s="1"/>
  <c r="R56" i="6" s="1"/>
  <c r="C5" i="6"/>
  <c r="B47" i="14" s="1"/>
  <c r="AL11" i="14"/>
  <c r="U11" i="14"/>
  <c r="U13" i="14"/>
  <c r="U12" i="14"/>
  <c r="J21" i="17"/>
  <c r="P13" i="17"/>
  <c r="L18" i="14"/>
  <c r="P15" i="14" s="1"/>
  <c r="Y21" i="6"/>
  <c r="Y5" i="6" s="1"/>
  <c r="X21" i="6"/>
  <c r="X5" i="6" s="1"/>
  <c r="W21" i="6"/>
  <c r="W5" i="6" s="1"/>
  <c r="Z21" i="6"/>
  <c r="Z5" i="6" s="1"/>
  <c r="L5" i="14"/>
  <c r="M3" i="17"/>
  <c r="P3" i="17" s="1"/>
  <c r="Z5" i="14"/>
  <c r="Z20" i="14" s="1"/>
  <c r="V5" i="6"/>
  <c r="T5" i="6" s="1"/>
  <c r="O14" i="17"/>
  <c r="O20" i="17" s="1"/>
  <c r="H20" i="17"/>
  <c r="B11" i="14"/>
  <c r="H21" i="17" l="1"/>
  <c r="P5" i="14"/>
  <c r="U5" i="14" s="1"/>
  <c r="L3" i="14"/>
  <c r="N45" i="17"/>
  <c r="P45" i="17" s="1"/>
  <c r="L44" i="17"/>
  <c r="P34" i="14"/>
  <c r="P51" i="14"/>
  <c r="U15" i="14"/>
  <c r="AL15" i="14"/>
  <c r="N30" i="17"/>
  <c r="P30" i="17" s="1"/>
  <c r="K12" i="17"/>
  <c r="L29" i="17"/>
  <c r="AL8" i="14"/>
  <c r="U8" i="14"/>
  <c r="P5" i="17"/>
  <c r="L9" i="14"/>
  <c r="N53" i="17"/>
  <c r="P53" i="17" s="1"/>
  <c r="L52" i="17"/>
  <c r="N52" i="17" s="1"/>
  <c r="P52" i="17" s="1"/>
  <c r="H66" i="17"/>
  <c r="H64" i="17"/>
  <c r="P7" i="17"/>
  <c r="L11" i="14"/>
  <c r="P9" i="14" s="1"/>
  <c r="P54" i="14"/>
  <c r="P37" i="14"/>
  <c r="U18" i="14"/>
  <c r="U10" i="14"/>
  <c r="AL10" i="14"/>
  <c r="N61" i="17"/>
  <c r="P61" i="17" s="1"/>
  <c r="L60" i="17"/>
  <c r="U6" i="14"/>
  <c r="K14" i="17" l="1"/>
  <c r="N60" i="17"/>
  <c r="P60" i="17" s="1"/>
  <c r="P7" i="14"/>
  <c r="L7" i="14"/>
  <c r="M12" i="17"/>
  <c r="AE14" i="14"/>
  <c r="K20" i="17"/>
  <c r="N29" i="17"/>
  <c r="AL9" i="14"/>
  <c r="AM9" i="14" s="1"/>
  <c r="U9" i="14"/>
  <c r="V9" i="14" s="1"/>
  <c r="L42" i="17"/>
  <c r="N42" i="17" s="1"/>
  <c r="P42" i="17" s="1"/>
  <c r="N44" i="17"/>
  <c r="P44" i="17" s="1"/>
  <c r="P24" i="14"/>
  <c r="P41" i="14"/>
  <c r="AL5" i="14"/>
  <c r="P26" i="14" l="1"/>
  <c r="P43" i="14" s="1"/>
  <c r="U7" i="14"/>
  <c r="V7" i="14" s="1"/>
  <c r="P30" i="14"/>
  <c r="P47" i="14" s="1"/>
  <c r="P32" i="14"/>
  <c r="P49" i="14" s="1"/>
  <c r="P31" i="14"/>
  <c r="P48" i="14" s="1"/>
  <c r="AL7" i="14"/>
  <c r="AM7" i="14" s="1"/>
  <c r="P29" i="14"/>
  <c r="P46" i="14" s="1"/>
  <c r="P25" i="14"/>
  <c r="P42" i="14" s="1"/>
  <c r="Q28" i="14"/>
  <c r="Q45" i="14" s="1"/>
  <c r="P27" i="14"/>
  <c r="P44" i="14" s="1"/>
  <c r="Q26" i="14"/>
  <c r="Q43" i="14" s="1"/>
  <c r="P28" i="14"/>
  <c r="P45" i="14" s="1"/>
  <c r="L63" i="17"/>
  <c r="P12" i="17"/>
  <c r="L17" i="14"/>
  <c r="P29" i="17"/>
  <c r="P63" i="17" s="1"/>
  <c r="N63" i="17"/>
  <c r="AE16" i="14"/>
  <c r="M14" i="17"/>
  <c r="L19" i="14" l="1"/>
  <c r="P16" i="14" s="1"/>
  <c r="P14" i="17"/>
  <c r="AL16" i="14"/>
  <c r="L66" i="17"/>
  <c r="L71" i="17"/>
  <c r="K21" i="17"/>
  <c r="AE20" i="14"/>
  <c r="M20" i="17"/>
  <c r="P14" i="14"/>
  <c r="L16" i="14"/>
  <c r="P33" i="14" l="1"/>
  <c r="P50" i="14" s="1"/>
  <c r="U14" i="14"/>
  <c r="AL14" i="14"/>
  <c r="P35" i="14"/>
  <c r="P52" i="14" s="1"/>
  <c r="U16" i="14"/>
  <c r="M21" i="17"/>
  <c r="P20" i="17"/>
  <c r="N66" i="17"/>
  <c r="I37" i="15" l="1"/>
  <c r="K29" i="15"/>
  <c r="H37" i="15" l="1"/>
  <c r="J37" i="15" s="1"/>
  <c r="M37" i="15" l="1"/>
  <c r="H60" i="15" l="1"/>
  <c r="I34" i="15" l="1"/>
  <c r="I53" i="15"/>
  <c r="H53" i="15" l="1"/>
  <c r="H29" i="15"/>
  <c r="M61" i="15" l="1"/>
  <c r="J61" i="15"/>
  <c r="I61" i="15"/>
  <c r="M60" i="15" l="1"/>
  <c r="L30" i="15"/>
  <c r="L29" i="15" s="1"/>
  <c r="L14" i="15"/>
  <c r="I60" i="15"/>
  <c r="L53" i="15"/>
  <c r="L61" i="15"/>
  <c r="H46" i="15"/>
  <c r="L9" i="15"/>
  <c r="L10" i="15"/>
  <c r="L11" i="15"/>
  <c r="L12" i="15"/>
  <c r="L13" i="15"/>
  <c r="N61" i="15" l="1"/>
  <c r="L60" i="15"/>
  <c r="L6" i="15"/>
  <c r="M29" i="15"/>
  <c r="AG4" i="14"/>
  <c r="AG7" i="14"/>
  <c r="AG9" i="14"/>
  <c r="I44" i="15"/>
  <c r="H44" i="15"/>
  <c r="I11" i="14"/>
  <c r="AI9" i="14" s="1"/>
  <c r="H6" i="15"/>
  <c r="I10" i="14" s="1"/>
  <c r="L43" i="15"/>
  <c r="M7" i="15"/>
  <c r="O7" i="15"/>
  <c r="L58" i="15"/>
  <c r="K18" i="15" s="1"/>
  <c r="AF19" i="14" s="1"/>
  <c r="L57" i="15"/>
  <c r="L50" i="15"/>
  <c r="L51" i="15"/>
  <c r="K3" i="15" s="1"/>
  <c r="AG5" i="14" s="1"/>
  <c r="L45" i="15"/>
  <c r="L44" i="15" s="1"/>
  <c r="L34" i="15"/>
  <c r="K17" i="15" s="1"/>
  <c r="L26" i="15"/>
  <c r="J28" i="15"/>
  <c r="J48" i="15"/>
  <c r="J50" i="15"/>
  <c r="I58" i="15"/>
  <c r="I57" i="15"/>
  <c r="I51" i="15"/>
  <c r="I49" i="15" s="1"/>
  <c r="I43" i="15"/>
  <c r="I41" i="15"/>
  <c r="I38" i="15"/>
  <c r="J9" i="15" s="1"/>
  <c r="AA11" i="14" s="1"/>
  <c r="I36" i="15"/>
  <c r="I35" i="15"/>
  <c r="I33" i="15"/>
  <c r="J4" i="15" s="1"/>
  <c r="AA6" i="14" s="1"/>
  <c r="I30" i="15"/>
  <c r="J30" i="15" s="1"/>
  <c r="N30" i="15" s="1"/>
  <c r="I27" i="15"/>
  <c r="I26" i="15" s="1"/>
  <c r="H58" i="15"/>
  <c r="H18" i="15" s="1"/>
  <c r="O18" i="15" s="1"/>
  <c r="H43" i="15"/>
  <c r="H41" i="15"/>
  <c r="H34" i="15"/>
  <c r="H17" i="15" s="1"/>
  <c r="H57" i="15"/>
  <c r="H51" i="15"/>
  <c r="H38" i="15"/>
  <c r="H9" i="15" s="1"/>
  <c r="H36" i="15"/>
  <c r="H35" i="15"/>
  <c r="H33" i="15"/>
  <c r="H2" i="15"/>
  <c r="J25" i="15"/>
  <c r="N25" i="15" s="1"/>
  <c r="A22" i="15"/>
  <c r="A21" i="15"/>
  <c r="I20" i="15"/>
  <c r="L19" i="15"/>
  <c r="K19" i="15"/>
  <c r="J19" i="15"/>
  <c r="A19" i="15"/>
  <c r="L18" i="15"/>
  <c r="A18" i="15"/>
  <c r="L17" i="15"/>
  <c r="A17" i="15"/>
  <c r="L16" i="15"/>
  <c r="A16" i="15"/>
  <c r="L15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K2" i="15"/>
  <c r="A2" i="15"/>
  <c r="I22" i="14" l="1"/>
  <c r="O2" i="15"/>
  <c r="I46" i="15"/>
  <c r="H49" i="15"/>
  <c r="H3" i="15"/>
  <c r="H45" i="15"/>
  <c r="J35" i="15"/>
  <c r="J43" i="15"/>
  <c r="AG19" i="14"/>
  <c r="L8" i="15"/>
  <c r="J3" i="15"/>
  <c r="AA5" i="14" s="1"/>
  <c r="J51" i="15"/>
  <c r="N51" i="15" s="1"/>
  <c r="H13" i="15"/>
  <c r="O13" i="15" s="1"/>
  <c r="I13" i="14"/>
  <c r="L3" i="15"/>
  <c r="J57" i="15"/>
  <c r="N57" i="15" s="1"/>
  <c r="I4" i="14"/>
  <c r="I18" i="14"/>
  <c r="K15" i="15"/>
  <c r="AF17" i="14" s="1"/>
  <c r="L41" i="15"/>
  <c r="K16" i="15" s="1"/>
  <c r="AF18" i="14" s="1"/>
  <c r="J53" i="15"/>
  <c r="O6" i="15"/>
  <c r="H10" i="15"/>
  <c r="I14" i="14" s="1"/>
  <c r="O17" i="15"/>
  <c r="O9" i="15"/>
  <c r="J58" i="15"/>
  <c r="J34" i="15"/>
  <c r="N34" i="15" s="1"/>
  <c r="J31" i="15"/>
  <c r="J33" i="15"/>
  <c r="J41" i="15"/>
  <c r="P7" i="15"/>
  <c r="J49" i="15"/>
  <c r="J27" i="15"/>
  <c r="H26" i="15"/>
  <c r="J26" i="15" s="1"/>
  <c r="J38" i="15"/>
  <c r="J36" i="15"/>
  <c r="H8" i="15"/>
  <c r="I12" i="14" s="1"/>
  <c r="L49" i="15"/>
  <c r="K13" i="15"/>
  <c r="J10" i="15"/>
  <c r="AA12" i="14" s="1"/>
  <c r="J17" i="15"/>
  <c r="N58" i="15"/>
  <c r="P58" i="15" s="1"/>
  <c r="H4" i="15"/>
  <c r="I8" i="14" s="1"/>
  <c r="H19" i="15"/>
  <c r="I23" i="14" s="1"/>
  <c r="H12" i="15"/>
  <c r="K12" i="15"/>
  <c r="P25" i="15"/>
  <c r="H15" i="15"/>
  <c r="I20" i="14" s="1"/>
  <c r="O63" i="15"/>
  <c r="AF14" i="14" l="1"/>
  <c r="AG14" i="14" s="1"/>
  <c r="AF15" i="14"/>
  <c r="AG15" i="14" s="1"/>
  <c r="O3" i="15"/>
  <c r="I5" i="14"/>
  <c r="I45" i="15"/>
  <c r="J14" i="15" s="1"/>
  <c r="AA16" i="14" s="1"/>
  <c r="H14" i="15"/>
  <c r="N49" i="15"/>
  <c r="M17" i="15"/>
  <c r="AG18" i="14"/>
  <c r="AG17" i="14"/>
  <c r="J46" i="15"/>
  <c r="O12" i="15"/>
  <c r="I17" i="14"/>
  <c r="O15" i="15"/>
  <c r="O4" i="15"/>
  <c r="M19" i="15"/>
  <c r="M23" i="14" s="1"/>
  <c r="O19" i="15"/>
  <c r="O10" i="15"/>
  <c r="O8" i="15"/>
  <c r="P34" i="15"/>
  <c r="H16" i="15"/>
  <c r="I21" i="14" s="1"/>
  <c r="K14" i="15"/>
  <c r="AF16" i="14" l="1"/>
  <c r="AG16" i="14" s="1"/>
  <c r="P17" i="15"/>
  <c r="I3" i="14"/>
  <c r="P49" i="15"/>
  <c r="P19" i="15"/>
  <c r="J45" i="15"/>
  <c r="O14" i="15"/>
  <c r="I19" i="14"/>
  <c r="P30" i="15"/>
  <c r="O16" i="15"/>
  <c r="J62" i="15"/>
  <c r="N62" i="15" s="1"/>
  <c r="P62" i="15" s="1"/>
  <c r="J44" i="15"/>
  <c r="I16" i="14" l="1"/>
  <c r="J4" i="14" l="1"/>
  <c r="J5" i="14" s="1"/>
  <c r="J18" i="14"/>
  <c r="J19" i="14" s="1"/>
  <c r="J20" i="14" s="1"/>
  <c r="J21" i="14" s="1"/>
  <c r="J22" i="14" s="1"/>
  <c r="J9" i="14"/>
  <c r="J10" i="14" s="1"/>
  <c r="J11" i="14" s="1"/>
  <c r="J12" i="14" s="1"/>
  <c r="J13" i="14" s="1"/>
  <c r="J14" i="14" s="1"/>
  <c r="J15" i="14" s="1"/>
  <c r="B43" i="14" l="1"/>
  <c r="B41" i="14"/>
  <c r="C36" i="14"/>
  <c r="C35" i="14"/>
  <c r="C34" i="14"/>
  <c r="B32" i="14"/>
  <c r="B31" i="14"/>
  <c r="B29" i="14"/>
  <c r="C6" i="14"/>
  <c r="B33" i="14" l="1"/>
  <c r="H22" i="14" l="1"/>
  <c r="AH19" i="14" s="1"/>
  <c r="H20" i="14"/>
  <c r="AH17" i="14" s="1"/>
  <c r="H21" i="14"/>
  <c r="AH18" i="14" s="1"/>
  <c r="H18" i="14"/>
  <c r="AH15" i="14" s="1"/>
  <c r="H9" i="14"/>
  <c r="AH7" i="14" s="1"/>
  <c r="H11" i="14"/>
  <c r="AH9" i="14" s="1"/>
  <c r="B5" i="14"/>
  <c r="H5" i="14" s="1"/>
  <c r="AH5" i="14" s="1"/>
  <c r="D5" i="14"/>
  <c r="D3" i="14" s="1"/>
  <c r="D33" i="14" l="1"/>
  <c r="D14" i="14"/>
  <c r="D27" i="14" l="1"/>
  <c r="E27" i="14" s="1"/>
  <c r="C7" i="9" l="1"/>
  <c r="B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 l="1"/>
  <c r="F22" i="9" l="1"/>
  <c r="G23" i="9"/>
  <c r="F23" i="9"/>
  <c r="E23" i="9"/>
  <c r="D23" i="9"/>
  <c r="C23" i="9"/>
  <c r="G15" i="9"/>
  <c r="D15" i="9"/>
  <c r="G25" i="9"/>
  <c r="F25" i="9"/>
  <c r="E25" i="9"/>
  <c r="D25" i="9"/>
  <c r="C25" i="9"/>
  <c r="G24" i="9"/>
  <c r="F24" i="9"/>
  <c r="E24" i="9"/>
  <c r="D24" i="9"/>
  <c r="C24" i="9"/>
  <c r="H24" i="9" s="1"/>
  <c r="G22" i="9"/>
  <c r="E22" i="9"/>
  <c r="D22" i="9"/>
  <c r="C22" i="9"/>
  <c r="G21" i="9"/>
  <c r="F21" i="9"/>
  <c r="E21" i="9"/>
  <c r="D21" i="9"/>
  <c r="C21" i="9"/>
  <c r="G20" i="9"/>
  <c r="F20" i="9"/>
  <c r="E20" i="9"/>
  <c r="D20" i="9"/>
  <c r="C20" i="9"/>
  <c r="H20" i="9" s="1"/>
  <c r="G19" i="9"/>
  <c r="F19" i="9"/>
  <c r="E19" i="9"/>
  <c r="D19" i="9"/>
  <c r="C19" i="9"/>
  <c r="G18" i="9"/>
  <c r="F18" i="9"/>
  <c r="E18" i="9"/>
  <c r="D18" i="9"/>
  <c r="C18" i="9"/>
  <c r="H18" i="9" s="1"/>
  <c r="G17" i="9"/>
  <c r="F17" i="9"/>
  <c r="E17" i="9"/>
  <c r="D17" i="9"/>
  <c r="C17" i="9"/>
  <c r="G16" i="9"/>
  <c r="F16" i="9"/>
  <c r="E16" i="9"/>
  <c r="D16" i="9"/>
  <c r="C16" i="9"/>
  <c r="H16" i="9" s="1"/>
  <c r="F15" i="9"/>
  <c r="E15" i="9"/>
  <c r="C15" i="9"/>
  <c r="G14" i="9"/>
  <c r="F14" i="9"/>
  <c r="E14" i="9"/>
  <c r="D14" i="9"/>
  <c r="C14" i="9"/>
  <c r="H14" i="9" s="1"/>
  <c r="G13" i="9"/>
  <c r="F13" i="9"/>
  <c r="F26" i="9" s="1"/>
  <c r="E13" i="9"/>
  <c r="D13" i="9"/>
  <c r="D26" i="9" s="1"/>
  <c r="C13" i="9"/>
  <c r="C26" i="9" l="1"/>
  <c r="E26" i="9"/>
  <c r="G26" i="9"/>
  <c r="H17" i="9"/>
  <c r="H19" i="9"/>
  <c r="H21" i="9"/>
  <c r="H25" i="9"/>
  <c r="H13" i="9"/>
  <c r="H15" i="9"/>
  <c r="H22" i="9"/>
  <c r="H23" i="9"/>
  <c r="H26" i="9"/>
  <c r="H5" i="15" l="1"/>
  <c r="I9" i="14" s="1"/>
  <c r="AI7" i="14" s="1"/>
  <c r="K5" i="15"/>
  <c r="O5" i="15" l="1"/>
  <c r="N28" i="15"/>
  <c r="P28" i="15" s="1"/>
  <c r="J5" i="15" l="1"/>
  <c r="M5" i="15" s="1"/>
  <c r="P5" i="15" l="1"/>
  <c r="N26" i="15"/>
  <c r="P26" i="15" l="1"/>
  <c r="M3" i="15"/>
  <c r="J15" i="15"/>
  <c r="AA17" i="14" s="1"/>
  <c r="J16" i="15"/>
  <c r="AA18" i="14" s="1"/>
  <c r="J18" i="15"/>
  <c r="J12" i="15"/>
  <c r="AA14" i="14" s="1"/>
  <c r="J2" i="15"/>
  <c r="AA4" i="14" s="1"/>
  <c r="N41" i="15"/>
  <c r="P41" i="15" s="1"/>
  <c r="N48" i="15"/>
  <c r="P48" i="15" s="1"/>
  <c r="N50" i="15"/>
  <c r="P50" i="15" s="1"/>
  <c r="J13" i="15"/>
  <c r="AA15" i="14" s="1"/>
  <c r="N43" i="15"/>
  <c r="P43" i="15" s="1"/>
  <c r="N27" i="15"/>
  <c r="P27" i="15" s="1"/>
  <c r="P57" i="15"/>
  <c r="P51" i="15"/>
  <c r="N46" i="15"/>
  <c r="M6" i="14" s="1"/>
  <c r="M5" i="14" s="1"/>
  <c r="N44" i="15"/>
  <c r="P44" i="15" s="1"/>
  <c r="N45" i="15"/>
  <c r="P45" i="15" s="1"/>
  <c r="Q5" i="14" l="1"/>
  <c r="AI5" i="14"/>
  <c r="M18" i="15"/>
  <c r="M22" i="14" s="1"/>
  <c r="AA19" i="14"/>
  <c r="P46" i="15"/>
  <c r="M2" i="15"/>
  <c r="M12" i="15"/>
  <c r="M17" i="14" s="1"/>
  <c r="M16" i="15"/>
  <c r="M13" i="15"/>
  <c r="M15" i="15"/>
  <c r="P18" i="15"/>
  <c r="P3" i="15"/>
  <c r="Q19" i="14" l="1"/>
  <c r="AI19" i="14"/>
  <c r="M4" i="14"/>
  <c r="Q4" i="14" s="1"/>
  <c r="P16" i="15"/>
  <c r="M21" i="14"/>
  <c r="Q14" i="14"/>
  <c r="AI14" i="14"/>
  <c r="P15" i="15"/>
  <c r="M20" i="14"/>
  <c r="P12" i="15"/>
  <c r="P13" i="15"/>
  <c r="M18" i="14"/>
  <c r="AM5" i="14"/>
  <c r="V5" i="14"/>
  <c r="Q24" i="14"/>
  <c r="Q41" i="14" s="1"/>
  <c r="W14" i="14"/>
  <c r="AI4" i="14"/>
  <c r="W19" i="14"/>
  <c r="P2" i="15"/>
  <c r="N20" i="15"/>
  <c r="AM4" i="14" l="1"/>
  <c r="Q23" i="14"/>
  <c r="Q40" i="14" s="1"/>
  <c r="V4" i="14"/>
  <c r="Q33" i="14"/>
  <c r="Q50" i="14" s="1"/>
  <c r="AM14" i="14"/>
  <c r="V14" i="14"/>
  <c r="M3" i="14"/>
  <c r="Q17" i="14"/>
  <c r="AI17" i="14"/>
  <c r="Q18" i="14"/>
  <c r="AI18" i="14"/>
  <c r="W4" i="14"/>
  <c r="Q15" i="14"/>
  <c r="AI15" i="14"/>
  <c r="V19" i="14"/>
  <c r="Q38" i="14"/>
  <c r="Q55" i="14" s="1"/>
  <c r="AM19" i="14"/>
  <c r="W18" i="14"/>
  <c r="W15" i="14"/>
  <c r="W17" i="14"/>
  <c r="W5" i="14"/>
  <c r="V15" i="14" l="1"/>
  <c r="Q34" i="14"/>
  <c r="Q51" i="14" s="1"/>
  <c r="AM15" i="14"/>
  <c r="Q37" i="14"/>
  <c r="V18" i="14"/>
  <c r="Q54" i="14"/>
  <c r="AM18" i="14"/>
  <c r="V17" i="14"/>
  <c r="Q36" i="14"/>
  <c r="Q53" i="14" s="1"/>
  <c r="AM17" i="14"/>
  <c r="N31" i="15"/>
  <c r="P31" i="15" s="1"/>
  <c r="K6" i="15" l="1"/>
  <c r="AG8" i="14" l="1"/>
  <c r="J60" i="15" l="1"/>
  <c r="N60" i="15" l="1"/>
  <c r="P60" i="15" s="1"/>
  <c r="N53" i="15"/>
  <c r="P53" i="15" s="1"/>
  <c r="P61" i="15"/>
  <c r="L20" i="15" l="1"/>
  <c r="M14" i="15"/>
  <c r="M19" i="14" s="1"/>
  <c r="Q16" i="14" l="1"/>
  <c r="AI16" i="14"/>
  <c r="P14" i="15"/>
  <c r="Q35" i="14" l="1"/>
  <c r="AM16" i="14"/>
  <c r="V16" i="14"/>
  <c r="Q52" i="14"/>
  <c r="W16" i="14"/>
  <c r="M16" i="14"/>
  <c r="B10" i="14" l="1"/>
  <c r="H8" i="14" l="1"/>
  <c r="AH6" i="14" s="1"/>
  <c r="H23" i="14" l="1"/>
  <c r="C24" i="14"/>
  <c r="B44" i="14"/>
  <c r="C20" i="14"/>
  <c r="H10" i="14" l="1"/>
  <c r="AH8" i="14" s="1"/>
  <c r="C22" i="14"/>
  <c r="C21" i="14"/>
  <c r="C23" i="14"/>
  <c r="H19" i="14"/>
  <c r="AH16" i="14" s="1"/>
  <c r="B19" i="14" l="1"/>
  <c r="H15" i="14" s="1"/>
  <c r="AH13" i="14" s="1"/>
  <c r="B3" i="14"/>
  <c r="H4" i="14"/>
  <c r="AH4" i="14" s="1"/>
  <c r="B27" i="14"/>
  <c r="C27" i="14" s="1"/>
  <c r="H17" i="14"/>
  <c r="AH14" i="14" s="1"/>
  <c r="H16" i="14" l="1"/>
  <c r="H3" i="14"/>
  <c r="C15" i="14"/>
  <c r="B18" i="14" l="1"/>
  <c r="H14" i="14" s="1"/>
  <c r="AH12" i="14" s="1"/>
  <c r="B17" i="14" l="1"/>
  <c r="H13" i="14" s="1"/>
  <c r="AH11" i="14" s="1"/>
  <c r="B14" i="14" l="1"/>
  <c r="H12" i="14" s="1"/>
  <c r="H7" i="14" l="1"/>
  <c r="H2" i="14" s="1"/>
  <c r="AH10" i="14"/>
  <c r="B9" i="14"/>
  <c r="C9" i="14" s="1"/>
  <c r="C16" i="14"/>
  <c r="B2" i="14" l="1"/>
  <c r="B48" i="14" s="1"/>
  <c r="B40" i="14" l="1"/>
  <c r="B46" i="14" s="1"/>
  <c r="L2" i="14"/>
  <c r="L25" i="14" l="1"/>
  <c r="H54" i="15" l="1"/>
  <c r="H52" i="15" s="1"/>
  <c r="I54" i="15"/>
  <c r="I52" i="15" s="1"/>
  <c r="J52" i="15" l="1"/>
  <c r="J54" i="15"/>
  <c r="H56" i="15" l="1"/>
  <c r="I56" i="15"/>
  <c r="I55" i="15" s="1"/>
  <c r="J56" i="15" l="1"/>
  <c r="H55" i="15"/>
  <c r="J55" i="15" s="1"/>
  <c r="I47" i="15"/>
  <c r="I42" i="15" s="1"/>
  <c r="H47" i="15" l="1"/>
  <c r="H42" i="15" l="1"/>
  <c r="J42" i="15" s="1"/>
  <c r="J47" i="15"/>
  <c r="I40" i="15"/>
  <c r="I39" i="15" s="1"/>
  <c r="H40" i="15" l="1"/>
  <c r="H39" i="15" l="1"/>
  <c r="J39" i="15" s="1"/>
  <c r="J40" i="15"/>
  <c r="I59" i="15" l="1"/>
  <c r="J11" i="15" s="1"/>
  <c r="AA13" i="14" s="1"/>
  <c r="H59" i="15" l="1"/>
  <c r="J59" i="15" s="1"/>
  <c r="D19" i="14"/>
  <c r="D9" i="14" s="1"/>
  <c r="E9" i="14" s="1"/>
  <c r="H63" i="15"/>
  <c r="H11" i="15" l="1"/>
  <c r="O11" i="15" s="1"/>
  <c r="O20" i="15" s="1"/>
  <c r="D2" i="14"/>
  <c r="H64" i="15"/>
  <c r="H66" i="15"/>
  <c r="H20" i="15"/>
  <c r="H21" i="15" s="1"/>
  <c r="I29" i="15"/>
  <c r="I63" i="15" s="1"/>
  <c r="I66" i="15" s="1"/>
  <c r="L35" i="15"/>
  <c r="K37" i="15"/>
  <c r="J8" i="15" s="1"/>
  <c r="AA10" i="14" s="1"/>
  <c r="L37" i="15"/>
  <c r="K8" i="15" s="1"/>
  <c r="AF10" i="14" s="1"/>
  <c r="L38" i="15"/>
  <c r="L47" i="15"/>
  <c r="N47" i="15" s="1"/>
  <c r="P47" i="15" s="1"/>
  <c r="L54" i="15"/>
  <c r="L56" i="15"/>
  <c r="L55" i="15" s="1"/>
  <c r="N55" i="15" s="1"/>
  <c r="P55" i="15" s="1"/>
  <c r="K63" i="15" l="1"/>
  <c r="L40" i="15"/>
  <c r="L39" i="15" s="1"/>
  <c r="N39" i="15" s="1"/>
  <c r="P39" i="15" s="1"/>
  <c r="L36" i="15"/>
  <c r="N36" i="15" s="1"/>
  <c r="P36" i="15" s="1"/>
  <c r="I15" i="14"/>
  <c r="N56" i="15"/>
  <c r="P56" i="15" s="1"/>
  <c r="D40" i="14"/>
  <c r="D46" i="14" s="1"/>
  <c r="D48" i="14"/>
  <c r="L42" i="15"/>
  <c r="N42" i="15" s="1"/>
  <c r="P42" i="15" s="1"/>
  <c r="J6" i="15"/>
  <c r="AA8" i="14" s="1"/>
  <c r="J32" i="15"/>
  <c r="N37" i="15"/>
  <c r="P37" i="15" s="1"/>
  <c r="N40" i="15"/>
  <c r="P40" i="15" s="1"/>
  <c r="AG10" i="14"/>
  <c r="K9" i="15"/>
  <c r="AF11" i="14" s="1"/>
  <c r="N38" i="15"/>
  <c r="P38" i="15" s="1"/>
  <c r="M8" i="15"/>
  <c r="M12" i="14" s="1"/>
  <c r="N35" i="15"/>
  <c r="P35" i="15" s="1"/>
  <c r="L52" i="15"/>
  <c r="N52" i="15" s="1"/>
  <c r="P52" i="15" s="1"/>
  <c r="N54" i="15"/>
  <c r="P54" i="15" s="1"/>
  <c r="L33" i="15"/>
  <c r="L59" i="15"/>
  <c r="N59" i="15" s="1"/>
  <c r="P59" i="15" s="1"/>
  <c r="K10" i="15" l="1"/>
  <c r="AF12" i="14" s="1"/>
  <c r="Q10" i="14"/>
  <c r="AI10" i="14"/>
  <c r="I7" i="14"/>
  <c r="I2" i="14" s="1"/>
  <c r="M6" i="15"/>
  <c r="M10" i="14" s="1"/>
  <c r="J20" i="15"/>
  <c r="N32" i="15"/>
  <c r="J29" i="15"/>
  <c r="J63" i="15" s="1"/>
  <c r="W10" i="14"/>
  <c r="P8" i="15"/>
  <c r="M9" i="15"/>
  <c r="M13" i="14" s="1"/>
  <c r="M10" i="15"/>
  <c r="M14" i="14" s="1"/>
  <c r="K11" i="15"/>
  <c r="AF13" i="14" s="1"/>
  <c r="K4" i="15"/>
  <c r="AF6" i="14" s="1"/>
  <c r="N33" i="15"/>
  <c r="P33" i="15" s="1"/>
  <c r="L63" i="15"/>
  <c r="L66" i="15" s="1"/>
  <c r="P6" i="15" l="1"/>
  <c r="J21" i="15"/>
  <c r="AA20" i="14"/>
  <c r="Q11" i="14"/>
  <c r="AI11" i="14"/>
  <c r="Q12" i="14"/>
  <c r="AI12" i="14"/>
  <c r="Q8" i="14"/>
  <c r="AI8" i="14"/>
  <c r="V10" i="14"/>
  <c r="AM10" i="14"/>
  <c r="Q29" i="14"/>
  <c r="Q46" i="14" s="1"/>
  <c r="AF20" i="14"/>
  <c r="P32" i="15"/>
  <c r="N29" i="15"/>
  <c r="P29" i="15" s="1"/>
  <c r="P63" i="15" s="1"/>
  <c r="W8" i="14"/>
  <c r="M4" i="15"/>
  <c r="K20" i="15"/>
  <c r="K21" i="15" s="1"/>
  <c r="AG12" i="14"/>
  <c r="AG11" i="14"/>
  <c r="M11" i="15"/>
  <c r="M15" i="14" s="1"/>
  <c r="P10" i="15"/>
  <c r="P9" i="15"/>
  <c r="V8" i="14" l="1"/>
  <c r="AM8" i="14"/>
  <c r="Q27" i="14"/>
  <c r="Q44" i="14" s="1"/>
  <c r="AM11" i="14"/>
  <c r="V11" i="14"/>
  <c r="Q30" i="14"/>
  <c r="Q47" i="14" s="1"/>
  <c r="Q13" i="14"/>
  <c r="AI13" i="14"/>
  <c r="M8" i="14"/>
  <c r="M20" i="15"/>
  <c r="AM12" i="14"/>
  <c r="V12" i="14"/>
  <c r="Q31" i="14"/>
  <c r="Q48" i="14" s="1"/>
  <c r="N63" i="15"/>
  <c r="N66" i="15" s="1"/>
  <c r="P11" i="15"/>
  <c r="W11" i="14"/>
  <c r="W12" i="14"/>
  <c r="P4" i="15"/>
  <c r="AG13" i="14"/>
  <c r="AG6" i="14"/>
  <c r="AM13" i="14" l="1"/>
  <c r="V13" i="14"/>
  <c r="Q32" i="14"/>
  <c r="Q49" i="14" s="1"/>
  <c r="Q6" i="14"/>
  <c r="AI6" i="14"/>
  <c r="M21" i="15"/>
  <c r="M7" i="14"/>
  <c r="M25" i="14" s="1"/>
  <c r="W6" i="14"/>
  <c r="W13" i="14"/>
  <c r="P20" i="15"/>
  <c r="AM6" i="14" l="1"/>
  <c r="V6" i="14"/>
  <c r="Q25" i="14"/>
  <c r="Q42" i="14" s="1"/>
  <c r="M2" i="14"/>
</calcChain>
</file>

<file path=xl/comments1.xml><?xml version="1.0" encoding="utf-8"?>
<comments xmlns="http://schemas.openxmlformats.org/spreadsheetml/2006/main">
  <authors>
    <author>MEUNIER Laurent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</commentList>
</comments>
</file>

<file path=xl/comments2.xml><?xml version="1.0" encoding="utf-8"?>
<comments xmlns="http://schemas.openxmlformats.org/spreadsheetml/2006/main">
  <authors>
    <author>MEUNIER Laurent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application du ratio bilan de l'énergie SOeS
</t>
        </r>
      </text>
    </comment>
  </commentList>
</comments>
</file>

<file path=xl/comments3.xml><?xml version="1.0" encoding="utf-8"?>
<comments xmlns="http://schemas.openxmlformats.org/spreadsheetml/2006/main">
  <authors>
    <author>Gaël CALLONNEC</author>
  </authors>
  <commentList>
    <comment ref="K35" author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pertes des step</t>
        </r>
      </text>
    </comment>
  </commentList>
</comments>
</file>

<file path=xl/comments4.xml><?xml version="1.0" encoding="utf-8"?>
<comments xmlns="http://schemas.openxmlformats.org/spreadsheetml/2006/main">
  <authors>
    <author>Gaël CALLONNEC</author>
  </authors>
  <commentList>
    <comment ref="K35" author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pertes des step</t>
        </r>
      </text>
    </comment>
  </commentList>
</comments>
</file>

<file path=xl/sharedStrings.xml><?xml version="1.0" encoding="utf-8"?>
<sst xmlns="http://schemas.openxmlformats.org/spreadsheetml/2006/main" count="1016" uniqueCount="407">
  <si>
    <t>Observé</t>
  </si>
  <si>
    <t>Visions ADEME</t>
  </si>
  <si>
    <t>Niveau en Mtep EF</t>
  </si>
  <si>
    <t>Consommation d'énergie finale</t>
  </si>
  <si>
    <t xml:space="preserve">dont EnR </t>
  </si>
  <si>
    <t>dont électricité</t>
  </si>
  <si>
    <t>dont combustibles</t>
  </si>
  <si>
    <t>dont EnR</t>
  </si>
  <si>
    <t>dont carburants</t>
  </si>
  <si>
    <t>dont chaleur PAC EnR</t>
  </si>
  <si>
    <t>Part</t>
  </si>
  <si>
    <t>Consommation d'énergie finale(Mtep)</t>
  </si>
  <si>
    <t>Production énergie pour injection réseau</t>
  </si>
  <si>
    <t>Flux réseaux</t>
  </si>
  <si>
    <t>Usages finals énergétiques</t>
  </si>
  <si>
    <t>Utilisation</t>
  </si>
  <si>
    <t>Injections</t>
  </si>
  <si>
    <t>Soutirages</t>
  </si>
  <si>
    <t xml:space="preserve">Conso finale nationale </t>
  </si>
  <si>
    <t xml:space="preserve">Pertes </t>
  </si>
  <si>
    <t>Prod.nette</t>
  </si>
  <si>
    <t>Réseau</t>
  </si>
  <si>
    <t>source</t>
  </si>
  <si>
    <t>Total</t>
  </si>
  <si>
    <t>Pertes</t>
  </si>
  <si>
    <t>Exports</t>
  </si>
  <si>
    <t>RG</t>
  </si>
  <si>
    <t>RC</t>
  </si>
  <si>
    <t>RE</t>
  </si>
  <si>
    <t>Conso fin.nat.</t>
  </si>
  <si>
    <t>Agr</t>
  </si>
  <si>
    <t>Ind</t>
  </si>
  <si>
    <t>Rés</t>
  </si>
  <si>
    <t>Ter</t>
  </si>
  <si>
    <t>Tra</t>
  </si>
  <si>
    <t xml:space="preserve">         Total</t>
  </si>
  <si>
    <t>Eolien</t>
  </si>
  <si>
    <t>Hydroélectricité</t>
  </si>
  <si>
    <t>PV</t>
  </si>
  <si>
    <t>Nucléaire</t>
  </si>
  <si>
    <t>Méthanisation</t>
  </si>
  <si>
    <t>UIOM</t>
  </si>
  <si>
    <t>Bois énergie</t>
  </si>
  <si>
    <t>Géothermie</t>
  </si>
  <si>
    <t>Energies marines</t>
  </si>
  <si>
    <t>Chaleur fatale</t>
  </si>
  <si>
    <t>Réseau de gaz</t>
  </si>
  <si>
    <t>BtG</t>
  </si>
  <si>
    <t>Hydrogène</t>
  </si>
  <si>
    <t>Gaz naturel</t>
  </si>
  <si>
    <t>Solaire thermique</t>
  </si>
  <si>
    <t>Usage direct</t>
  </si>
  <si>
    <t>Calories PAC Géothermiques</t>
  </si>
  <si>
    <t>Calories PAC Aérothermiques</t>
  </si>
  <si>
    <t>Biocarburants</t>
  </si>
  <si>
    <t>Ess/Dies/Jet</t>
  </si>
  <si>
    <t>Autres PP</t>
  </si>
  <si>
    <t>Déchets</t>
  </si>
  <si>
    <t>Charbon</t>
  </si>
  <si>
    <t>Chaleur PAC géothermiques</t>
  </si>
  <si>
    <t>Chaleur PAC aérothermiques</t>
  </si>
  <si>
    <t>Bilan primaire</t>
  </si>
  <si>
    <t xml:space="preserve">Source énergétiques primaires </t>
  </si>
  <si>
    <t>EnR</t>
  </si>
  <si>
    <t>Combustible solide biosourcé</t>
  </si>
  <si>
    <t>Biogaz</t>
  </si>
  <si>
    <t>Calories air</t>
  </si>
  <si>
    <t>Energie marines</t>
  </si>
  <si>
    <t>Non renouvelable</t>
  </si>
  <si>
    <t>Pétrole</t>
  </si>
  <si>
    <t>Production</t>
  </si>
  <si>
    <t>GPL</t>
  </si>
  <si>
    <t>Essence</t>
  </si>
  <si>
    <t>Gazole</t>
  </si>
  <si>
    <t>FOD</t>
  </si>
  <si>
    <t>Jet</t>
  </si>
  <si>
    <t>Fioul lourd</t>
  </si>
  <si>
    <t>Gas Naturel</t>
  </si>
  <si>
    <t>Electricité</t>
  </si>
  <si>
    <t>Biomasse</t>
  </si>
  <si>
    <t>Chaleur</t>
  </si>
  <si>
    <t>Sol. Ther.</t>
  </si>
  <si>
    <t>PAC Géo</t>
  </si>
  <si>
    <t>PAC Aéro</t>
  </si>
  <si>
    <t>Biocarb</t>
  </si>
  <si>
    <t xml:space="preserve">Résidentiel </t>
  </si>
  <si>
    <t>Tertiaire</t>
  </si>
  <si>
    <t>Transports</t>
  </si>
  <si>
    <t>Agriculture</t>
  </si>
  <si>
    <t>Usages non énergétiques</t>
  </si>
  <si>
    <t>Industrie</t>
  </si>
  <si>
    <t>PAC géo</t>
  </si>
  <si>
    <t>H2</t>
  </si>
  <si>
    <t>Electricité réseau</t>
  </si>
  <si>
    <t>Gaz réseau</t>
  </si>
  <si>
    <t>Chaleur réseau</t>
  </si>
  <si>
    <t>Résidentiel</t>
  </si>
  <si>
    <t>Biogaz direct</t>
  </si>
  <si>
    <t>Usages directs</t>
  </si>
  <si>
    <t xml:space="preserve">Chaleur </t>
  </si>
  <si>
    <t xml:space="preserve">Gaz </t>
  </si>
  <si>
    <t xml:space="preserve">Electricité </t>
  </si>
  <si>
    <t>Réseau de</t>
  </si>
  <si>
    <t>Réseau d'</t>
  </si>
  <si>
    <t>Bilan par énergie</t>
  </si>
  <si>
    <t>Bilan par secteur</t>
  </si>
  <si>
    <t>Consommation finale d'énergie par source</t>
  </si>
  <si>
    <t>Matières biocarburants hors bois</t>
  </si>
  <si>
    <t>Total par source (mtep)</t>
  </si>
  <si>
    <t xml:space="preserve">   &gt; Renouvelables</t>
  </si>
  <si>
    <t xml:space="preserve">   &gt; Fossiles</t>
  </si>
  <si>
    <t>Pétrole brut</t>
  </si>
  <si>
    <t xml:space="preserve">   &gt; Autres</t>
  </si>
  <si>
    <t>soit % EnR</t>
  </si>
  <si>
    <t>Biocarburants liquides</t>
  </si>
  <si>
    <t>&gt;55%</t>
  </si>
  <si>
    <t>ND</t>
  </si>
  <si>
    <t>Population</t>
  </si>
  <si>
    <t>Consommation énergétique primaire</t>
  </si>
  <si>
    <t>Consommatioin énergétique finale</t>
  </si>
  <si>
    <t>M</t>
  </si>
  <si>
    <t>Mtep</t>
  </si>
  <si>
    <t>Consommation énergie primaire/habitant</t>
  </si>
  <si>
    <t>tep/hab</t>
  </si>
  <si>
    <t>Consommation énergie finale/habitant</t>
  </si>
  <si>
    <t>Ratio</t>
  </si>
  <si>
    <t>Biocarburants liquides et gazeux</t>
  </si>
  <si>
    <t>Produits pétroliers et biocarburants</t>
  </si>
  <si>
    <t>Produits pétroliers</t>
  </si>
  <si>
    <t>Fioul</t>
  </si>
  <si>
    <t>Eolien &amp; énergie marine</t>
  </si>
  <si>
    <t>Photovoltaïque</t>
  </si>
  <si>
    <t>Autres (méthanisation, UIOM, bois, géothermie, énergie fatale)</t>
  </si>
  <si>
    <t>Gaz et chaleur</t>
  </si>
  <si>
    <t>Gaz naturel (réseau de gaz et de chaleur)</t>
  </si>
  <si>
    <t>UIOM et déchets directs</t>
  </si>
  <si>
    <t xml:space="preserve">Géothermie </t>
  </si>
  <si>
    <t>Bois énergie direct et réseau chaleur</t>
  </si>
  <si>
    <t>Biogaz, biométhane, BtG et H2 direct et réseau de chaleur</t>
  </si>
  <si>
    <t>Autres (solaire thermique, chaleur fatale)</t>
  </si>
  <si>
    <t>Vérification</t>
  </si>
  <si>
    <t>PAC aérothermiques</t>
  </si>
  <si>
    <t>Total calculé onglet flux</t>
  </si>
  <si>
    <t>GNV</t>
  </si>
  <si>
    <t>Chaleur fatale -  élec</t>
  </si>
  <si>
    <t>Chaleur fatale - réseau chaleur</t>
  </si>
  <si>
    <t>Matière pour production biocarburants liquides</t>
  </si>
  <si>
    <t xml:space="preserve">Biocarburants liquides </t>
  </si>
  <si>
    <t>Biocarburants gazeux</t>
  </si>
  <si>
    <t>Bois</t>
  </si>
  <si>
    <t>Energie fatale</t>
  </si>
  <si>
    <t>Biométhane</t>
  </si>
  <si>
    <t>Bois énergie (direct et réseau chaleur)</t>
  </si>
  <si>
    <t>Biogaz, biométhane, BtG direct et réseau de chaleur</t>
  </si>
  <si>
    <t>Autres (solaire thermique, chaleur fatale, PAC aéro)</t>
  </si>
  <si>
    <t>Potentiel</t>
  </si>
  <si>
    <t>Total primaire</t>
  </si>
  <si>
    <t>Géothermie et  PAC géothermique</t>
  </si>
  <si>
    <t>Géothermie et PAC géothermique</t>
  </si>
  <si>
    <t>Autres (méthanisation, UIOM, bois, géothermie, énergie fatale, PAC aérothermique)</t>
  </si>
  <si>
    <t>alpha_int_uses_2201</t>
  </si>
  <si>
    <t>alpha_int_uses_2202</t>
  </si>
  <si>
    <t>alpha_int_uses_2301</t>
  </si>
  <si>
    <t>alpha_int_uses_2302</t>
  </si>
  <si>
    <t>alpha_int_uses_2303</t>
  </si>
  <si>
    <t>alpha_int_uses_2304</t>
  </si>
  <si>
    <t>alpha_int_uses_2305</t>
  </si>
  <si>
    <t>alpha_int_uses_2306</t>
  </si>
  <si>
    <t>alpha_int_uses_2307</t>
  </si>
  <si>
    <t>alpha_int_uses_2308</t>
  </si>
  <si>
    <t>alpha_int_uses_2401</t>
  </si>
  <si>
    <t>alpha_int_uses_2402</t>
  </si>
  <si>
    <t>alpha_int_uses_2403</t>
  </si>
  <si>
    <t>alpha_int_uses_2404</t>
  </si>
  <si>
    <t>alpha_int_uses_2405</t>
  </si>
  <si>
    <t>alpha_int_uses_2406</t>
  </si>
  <si>
    <t>Q_Mtep_int_uses</t>
  </si>
  <si>
    <t>Q_Mtep_int_uses_2201</t>
  </si>
  <si>
    <t>Q_Mtep_int_uses_2202</t>
  </si>
  <si>
    <t>Q_Mtep_int_uses_2301</t>
  </si>
  <si>
    <t>Q_Mtep_int_uses_2302</t>
  </si>
  <si>
    <t>Q_Mtep_int_uses_2303</t>
  </si>
  <si>
    <t>Q_Mtep_int_uses_2304</t>
  </si>
  <si>
    <t>Q_Mtep_int_uses_2305</t>
  </si>
  <si>
    <t>Q_Mtep_int_uses_2306</t>
  </si>
  <si>
    <t>Q_Mtep_int_uses_2307</t>
  </si>
  <si>
    <t>Q_Mtep_int_uses_2308</t>
  </si>
  <si>
    <t>Q_Mtep_int_uses_2401</t>
  </si>
  <si>
    <t>Q_Mtep_int_uses_2402</t>
  </si>
  <si>
    <t>Q_Mtep_int_uses_2403</t>
  </si>
  <si>
    <t>Q_Mtep_int_uses_2404</t>
  </si>
  <si>
    <t>Q_Mtep_int_uses_2405</t>
  </si>
  <si>
    <t>Q_Mtep_int_uses_2406</t>
  </si>
  <si>
    <t>verif</t>
  </si>
  <si>
    <t>Q_Mtep_losses_losses</t>
  </si>
  <si>
    <t>Q_Mtep_losses_2201</t>
  </si>
  <si>
    <t>Q_Mtep_losses_2202</t>
  </si>
  <si>
    <t>Q_Mtep_losses_2301</t>
  </si>
  <si>
    <t>Q_Mtep_losses_2302</t>
  </si>
  <si>
    <t>Q_Mtep_losses_2303</t>
  </si>
  <si>
    <t>Q_Mtep_losses_2304</t>
  </si>
  <si>
    <t>Q_Mtep_losses_2305</t>
  </si>
  <si>
    <t>Q_Mtep_losses_2306</t>
  </si>
  <si>
    <t>Q_Mtep_losses_2307</t>
  </si>
  <si>
    <t>Q_Mtep_losses_2308</t>
  </si>
  <si>
    <t>Q_Mtep_losses_2401</t>
  </si>
  <si>
    <t>Q_Mtep_losses_2402</t>
  </si>
  <si>
    <t>Q_Mtep_losses_2403</t>
  </si>
  <si>
    <t>Q_Mtep_losses_2404</t>
  </si>
  <si>
    <t>Q_Mtep_losses_2405</t>
  </si>
  <si>
    <t>Q_Mtep_losses_2406</t>
  </si>
  <si>
    <t>Autres (solaire thermique, chaleur fatale, pac AEROTHERMIQUE)</t>
  </si>
  <si>
    <t>2050 redressé</t>
  </si>
  <si>
    <t xml:space="preserve">Primaire </t>
  </si>
  <si>
    <t xml:space="preserve">Tableau entrée de ThreeME </t>
  </si>
  <si>
    <t>Energie primaire nette des CI</t>
  </si>
  <si>
    <t>perte et autoconsommations</t>
  </si>
  <si>
    <t>Pertes de distribution et stockage</t>
  </si>
  <si>
    <t>Consommation intermédiaire</t>
  </si>
  <si>
    <t>final avec industrie</t>
  </si>
  <si>
    <t>final Iors MP</t>
  </si>
  <si>
    <t xml:space="preserve"> primaire en Mtep </t>
  </si>
  <si>
    <t>final en Mtep</t>
  </si>
  <si>
    <t>TOTAL</t>
  </si>
  <si>
    <t xml:space="preserve">Liquid Fuel  </t>
  </si>
  <si>
    <t>fuel</t>
  </si>
  <si>
    <t>biofuel and biogaz</t>
  </si>
  <si>
    <t>nuclear power</t>
  </si>
  <si>
    <t>Centrale Combiné gaz  et cogé gaz nat</t>
  </si>
  <si>
    <t>fuel power</t>
  </si>
  <si>
    <t>gaz power</t>
  </si>
  <si>
    <t>Eolien, hydrolien</t>
  </si>
  <si>
    <t>Electricity</t>
  </si>
  <si>
    <t>coal power</t>
  </si>
  <si>
    <t>Solaire</t>
  </si>
  <si>
    <t>wind power</t>
  </si>
  <si>
    <t>Hydraulique et step, énergies marines</t>
  </si>
  <si>
    <t>solar power</t>
  </si>
  <si>
    <t>Cogénération</t>
  </si>
  <si>
    <t>hydrolic</t>
  </si>
  <si>
    <t>other</t>
  </si>
  <si>
    <t>Combustibles gazeux, distribution de vapeur et bois</t>
  </si>
  <si>
    <t>natural gaz</t>
  </si>
  <si>
    <t>Incinération (UIOM)</t>
  </si>
  <si>
    <t>Natural gaz and heating</t>
  </si>
  <si>
    <t>wood and biomass</t>
  </si>
  <si>
    <t>biogaz</t>
  </si>
  <si>
    <t>waste</t>
  </si>
  <si>
    <t>geothermal</t>
  </si>
  <si>
    <t xml:space="preserve">coal </t>
  </si>
  <si>
    <t>coal</t>
  </si>
  <si>
    <t xml:space="preserve">TOTAL </t>
  </si>
  <si>
    <t>primaire</t>
  </si>
  <si>
    <t>pertes et autoconsommation</t>
  </si>
  <si>
    <t>primaire hors autoconsommation</t>
  </si>
  <si>
    <t>perte de tranformation</t>
  </si>
  <si>
    <t>perte stockage et distribution</t>
  </si>
  <si>
    <t>MP</t>
  </si>
  <si>
    <t>final hors MP</t>
  </si>
  <si>
    <t>charbon</t>
  </si>
  <si>
    <t xml:space="preserve">pétrole </t>
  </si>
  <si>
    <t>pétrole hors CI des centrales électriques</t>
  </si>
  <si>
    <t>dont CI centrale électrique</t>
  </si>
  <si>
    <t>gaz fossile</t>
  </si>
  <si>
    <t>gaz fossile hors CI des centrales électriques</t>
  </si>
  <si>
    <t>gaz fossile  CI des centrales électriques</t>
  </si>
  <si>
    <t>gaz fossile cogé électrique</t>
  </si>
  <si>
    <t>uranium</t>
  </si>
  <si>
    <t xml:space="preserve">solaire thermique </t>
  </si>
  <si>
    <t>hydraulique</t>
  </si>
  <si>
    <t xml:space="preserve">énergies marine </t>
  </si>
  <si>
    <t>éolien</t>
  </si>
  <si>
    <t>solaire PV</t>
  </si>
  <si>
    <t xml:space="preserve">géothermie </t>
  </si>
  <si>
    <t>géothermie cogé élec</t>
  </si>
  <si>
    <t>géothermie (chaleur)</t>
  </si>
  <si>
    <t xml:space="preserve">biomasse solide </t>
  </si>
  <si>
    <t>biomasse solide gazeïfié</t>
  </si>
  <si>
    <t>dont combustible gazeux</t>
  </si>
  <si>
    <t>dont gaz carburant</t>
  </si>
  <si>
    <t>cogénération électrique</t>
  </si>
  <si>
    <t>cogénération gaz</t>
  </si>
  <si>
    <t>biomasse liquide</t>
  </si>
  <si>
    <t>combustible liquide</t>
  </si>
  <si>
    <t>carburant liquide</t>
  </si>
  <si>
    <t xml:space="preserve">biogaz </t>
  </si>
  <si>
    <t xml:space="preserve"> gaz réseaux</t>
  </si>
  <si>
    <t>Cogé électricité</t>
  </si>
  <si>
    <t xml:space="preserve">Déchets </t>
  </si>
  <si>
    <t xml:space="preserve"> Cogé élec </t>
  </si>
  <si>
    <t>Cogé chaleur</t>
  </si>
  <si>
    <t xml:space="preserve">Chaleur récupérée </t>
  </si>
  <si>
    <t>Cogénération électricité in situ</t>
  </si>
  <si>
    <t>combustible gazeux</t>
  </si>
  <si>
    <t>gaz carburant</t>
  </si>
  <si>
    <t xml:space="preserve">Primaire hors cogé </t>
  </si>
  <si>
    <t>SANKEY 2050 en Mtep</t>
  </si>
  <si>
    <t>Méthanation/hydrogene</t>
  </si>
  <si>
    <t>primaire en Mtep</t>
  </si>
  <si>
    <t>Biocarburants et biogaz +GNV</t>
  </si>
  <si>
    <t>Alpha_losses_losses</t>
  </si>
  <si>
    <t>Alpha_losses_2201</t>
  </si>
  <si>
    <t>Alpha_losses_2202</t>
  </si>
  <si>
    <t>Alpha_losses_2301</t>
  </si>
  <si>
    <t>Alpha_losses_2302</t>
  </si>
  <si>
    <t>Alpha_losses_2303</t>
  </si>
  <si>
    <t>Alpha_losses_2304</t>
  </si>
  <si>
    <t>Alpha_losses_2305</t>
  </si>
  <si>
    <t>Alpha_losses_2306</t>
  </si>
  <si>
    <t>Alpha_losses_2307</t>
  </si>
  <si>
    <t>Alpha_losses_2308</t>
  </si>
  <si>
    <t>Alpha_losses_2401</t>
  </si>
  <si>
    <t>Alpha_losses_2402</t>
  </si>
  <si>
    <t>Alpha_losses_2403</t>
  </si>
  <si>
    <t>Alpha_losses_2404</t>
  </si>
  <si>
    <t>Alpha_losses_2405</t>
  </si>
  <si>
    <t>Alpha_losses_2406</t>
  </si>
  <si>
    <t>Méthanation</t>
  </si>
  <si>
    <t>Réseau de gaz + élec</t>
  </si>
  <si>
    <t>Pertes rés gaz</t>
  </si>
  <si>
    <t>Pertes de rendement (% énergie primaire)</t>
  </si>
  <si>
    <t>Conso hors usages non énergétiques</t>
  </si>
  <si>
    <t>Produits pétroliers et biocarburants (hors consommation non énergétiques)</t>
  </si>
  <si>
    <t>Total final, export inclus hors conso non énergétique</t>
  </si>
  <si>
    <t>final (exportations incluses)</t>
  </si>
  <si>
    <t xml:space="preserve">production nette </t>
  </si>
  <si>
    <t>Q_MTEP_2201_2</t>
  </si>
  <si>
    <t>Q_MTEP_2202_2</t>
  </si>
  <si>
    <t>Q_MTEP_EP_2301_2</t>
  </si>
  <si>
    <t>Q_MTEP_2302_2</t>
  </si>
  <si>
    <t>Q_MTEP_2303_2</t>
  </si>
  <si>
    <t>Q_MTEP_2304_2</t>
  </si>
  <si>
    <t>Q_MTEP_2305_2</t>
  </si>
  <si>
    <t>Q_MTEP_2306_2</t>
  </si>
  <si>
    <t>Q_MTEP_2307_2</t>
  </si>
  <si>
    <t>Q_MTEP_2308_2</t>
  </si>
  <si>
    <t>Q_MTEP_2401_2</t>
  </si>
  <si>
    <t>Q_MTEP_2402_2</t>
  </si>
  <si>
    <t>Q_MTEP_2403_2</t>
  </si>
  <si>
    <t>Q_MTEP_2404_2</t>
  </si>
  <si>
    <t>Q_MTEP_2405_2</t>
  </si>
  <si>
    <t>Q_MTEP_2406_2</t>
  </si>
  <si>
    <t>Q_Mtep_ef_2201+Q_Mtep_X_2201</t>
  </si>
  <si>
    <t>Q_Mtep_ef_2202+Q_Mtep_X_2202</t>
  </si>
  <si>
    <t>Q_Mtep_ef_2301+Q_Mtep_X_2301</t>
  </si>
  <si>
    <t>Q_Mtep_ef_2302+Q_Mtep_X_2302</t>
  </si>
  <si>
    <t>Q_Mtep_ef_2303+Q_Mtep_X_2303</t>
  </si>
  <si>
    <t>Q_Mtep_ef_2304+Q_Mtep_X_2304</t>
  </si>
  <si>
    <t>Q_Mtep_ef_2305+Q_Mtep_X_2305</t>
  </si>
  <si>
    <t>Q_Mtep_ef_2306+Q_Mtep_X_2306</t>
  </si>
  <si>
    <t>Q_Mtep_ef_2307+Q_Mtep_X_2307</t>
  </si>
  <si>
    <t>Q_Mtep_ef_2308+Q_Mtep_X_2308</t>
  </si>
  <si>
    <t>Q_Mtep_ef_2401+Q_Mtep_X_2401</t>
  </si>
  <si>
    <t>Q_Mtep_ef_2402+Q_Mtep_X_2402</t>
  </si>
  <si>
    <t>Q_Mtep_ef_2403+Q_Mtep_X_2403</t>
  </si>
  <si>
    <t>Q_Mtep_ef_2404+Q_Mtep_X_2404</t>
  </si>
  <si>
    <t>Q_Mtep_ef_2405+Q_Mtep_X_2405</t>
  </si>
  <si>
    <t>Q_Mtep_ef_2406+Q_Mtep_X_2406</t>
  </si>
  <si>
    <t>Q_Mtep_ef_2201</t>
  </si>
  <si>
    <t>Q_Mtep_ef_2202</t>
  </si>
  <si>
    <t>Q_Mtep_ef_2301</t>
  </si>
  <si>
    <t>Q_Mtep_ef_2302</t>
  </si>
  <si>
    <t>Q_Mtep_ef_2303</t>
  </si>
  <si>
    <t>Q_Mtep_ef_2304</t>
  </si>
  <si>
    <t>Q_Mtep_ef_2305</t>
  </si>
  <si>
    <t>Q_Mtep_ef_2306</t>
  </si>
  <si>
    <t>Q_Mtep_ef_2307</t>
  </si>
  <si>
    <t>Q_Mtep_ef_2308</t>
  </si>
  <si>
    <t>Q_Mtep_ef_2401</t>
  </si>
  <si>
    <t>Q_Mtep_ef_2402</t>
  </si>
  <si>
    <t>Q_Mtep_ef_2403</t>
  </si>
  <si>
    <t>Q_Mtep_ef_2404</t>
  </si>
  <si>
    <t>Q_Mtep_ef_2405</t>
  </si>
  <si>
    <t>Q_Mtep_ef_2406</t>
  </si>
  <si>
    <t>Q_Mtep_X_2201</t>
  </si>
  <si>
    <t>Q_Mtep_X_2202</t>
  </si>
  <si>
    <t>Q_Mtep_X_2301</t>
  </si>
  <si>
    <t>Q_Mtep_X_2302</t>
  </si>
  <si>
    <t>Q_Mtep_X_2303</t>
  </si>
  <si>
    <t>Q_Mtep_X_2304</t>
  </si>
  <si>
    <t>Q_Mtep_X_2305</t>
  </si>
  <si>
    <t>Q_Mtep_X_2306</t>
  </si>
  <si>
    <t>Q_Mtep_X_2401</t>
  </si>
  <si>
    <t>Q_Mtep_X_2402</t>
  </si>
  <si>
    <t>Q_Mtep_X_2403</t>
  </si>
  <si>
    <t>Q_Mtep_X_2404</t>
  </si>
  <si>
    <t>Q_Mtep_X_2405</t>
  </si>
  <si>
    <t>Q_Mtep_X_2406</t>
  </si>
  <si>
    <t>Q_Mtep_X_2407</t>
  </si>
  <si>
    <t>Q_Mtep_X_2408</t>
  </si>
  <si>
    <t>Q_Mtep_indus_2201</t>
  </si>
  <si>
    <t>Q_Mtep_indus_2202</t>
  </si>
  <si>
    <t>Q_Mtep_indus_2301</t>
  </si>
  <si>
    <t>Q_Mtep_indus_2302</t>
  </si>
  <si>
    <t>Q_Mtep_indus_2303</t>
  </si>
  <si>
    <t>Q_Mtep_indus_2304</t>
  </si>
  <si>
    <t>Q_Mtep_indus_2305</t>
  </si>
  <si>
    <t>Q_Mtep_indus_2306</t>
  </si>
  <si>
    <t>Q_Mtep_indus_2401</t>
  </si>
  <si>
    <t>Q_Mtep_indus_2402</t>
  </si>
  <si>
    <t>Q_Mtep_indus_2403</t>
  </si>
  <si>
    <t>Q_Mtep_indus_2404</t>
  </si>
  <si>
    <t>Q_Mtep_indus_2405</t>
  </si>
  <si>
    <t>Q_Mtep_indus_2406</t>
  </si>
  <si>
    <t>Q_Mtep_indus_2407</t>
  </si>
  <si>
    <t>Q_Mtep_indus_2408</t>
  </si>
  <si>
    <t>Q_Mtep_2305_2403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</si>
</sst>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\ _€_-;\-* #,##0.00\ _€_-;_-* &quot;-&quot;??\ _€_-;_-@_-"/>
    <numFmt numFmtId="164" formatCode="0.0"/>
    <numFmt numFmtId="165" formatCode="0.000"/>
    <numFmt numFmtId="166" formatCode="0.00000000000000"/>
    <numFmt numFmtId="167" formatCode="#,##0.00\ &quot;€&quot;"/>
    <numFmt numFmtId="168" formatCode="0.000000000000"/>
    <numFmt numFmtId="169" formatCode="0.0000000000000"/>
    <numFmt numFmtId="170" formatCode="0.00000"/>
    <numFmt numFmtId="171" formatCode="0.0000"/>
    <numFmt numFmtId="172" formatCode="0.00000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11"/>
      <color theme="3" tint="0.3999755851924192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i/>
      <sz val="11"/>
      <color rgb="FF00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color theme="0" tint="-0.499984740745262"/>
      <name val="Arial"/>
      <family val="2"/>
    </font>
    <font>
      <i/>
      <sz val="10"/>
      <color theme="0" tint="-0.34998626667073579"/>
      <name val="Arial"/>
      <family val="2"/>
    </font>
    <font>
      <i/>
      <sz val="9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sz val="10"/>
      <color theme="0" tint="-0.34998626667073579"/>
      <name val="Arial"/>
      <family val="2"/>
    </font>
    <font>
      <sz val="10"/>
      <color theme="9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26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0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2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493">
    <xf numFmtId="0" fontId="0" fillId="0" borderId="0" xfId="0"/>
    <xf numFmtId="0" fontId="5" fillId="0" borderId="0" xfId="7" applyFont="1"/>
    <xf numFmtId="9" fontId="6" fillId="0" borderId="15" xfId="7" applyNumberFormat="1" applyFont="1" applyBorder="1"/>
    <xf numFmtId="9" fontId="6" fillId="0" borderId="13" xfId="7" applyNumberFormat="1" applyFont="1" applyBorder="1"/>
    <xf numFmtId="9" fontId="6" fillId="0" borderId="14" xfId="7" applyNumberFormat="1" applyFont="1" applyBorder="1"/>
    <xf numFmtId="0" fontId="4" fillId="0" borderId="13" xfId="7" applyFont="1" applyBorder="1"/>
    <xf numFmtId="0" fontId="4" fillId="0" borderId="12" xfId="7" applyFont="1" applyBorder="1" applyAlignment="1">
      <alignment horizontal="right"/>
    </xf>
    <xf numFmtId="9" fontId="5" fillId="0" borderId="7" xfId="7" applyNumberFormat="1" applyFont="1" applyBorder="1"/>
    <xf numFmtId="9" fontId="5" fillId="0" borderId="0" xfId="7" applyNumberFormat="1" applyFont="1" applyBorder="1"/>
    <xf numFmtId="9" fontId="5" fillId="0" borderId="6" xfId="7" applyNumberFormat="1" applyFont="1" applyBorder="1"/>
    <xf numFmtId="0" fontId="5" fillId="0" borderId="0" xfId="7" applyFont="1" applyBorder="1" applyAlignment="1">
      <alignment horizontal="right"/>
    </xf>
    <xf numFmtId="0" fontId="5" fillId="0" borderId="5" xfId="7" applyFont="1" applyBorder="1"/>
    <xf numFmtId="9" fontId="5" fillId="0" borderId="11" xfId="7" applyNumberFormat="1" applyFont="1" applyBorder="1"/>
    <xf numFmtId="9" fontId="5" fillId="0" borderId="9" xfId="7" applyNumberFormat="1" applyFont="1" applyBorder="1"/>
    <xf numFmtId="9" fontId="5" fillId="0" borderId="10" xfId="7" applyNumberFormat="1" applyFont="1" applyBorder="1"/>
    <xf numFmtId="0" fontId="5" fillId="0" borderId="9" xfId="7" applyFont="1" applyBorder="1" applyAlignment="1">
      <alignment horizontal="right"/>
    </xf>
    <xf numFmtId="0" fontId="5" fillId="0" borderId="8" xfId="7" applyFont="1" applyBorder="1"/>
    <xf numFmtId="9" fontId="6" fillId="0" borderId="7" xfId="7" applyNumberFormat="1" applyFont="1" applyBorder="1"/>
    <xf numFmtId="9" fontId="6" fillId="0" borderId="0" xfId="7" applyNumberFormat="1" applyFont="1" applyBorder="1"/>
    <xf numFmtId="9" fontId="6" fillId="0" borderId="6" xfId="7" applyNumberFormat="1" applyFont="1" applyBorder="1"/>
    <xf numFmtId="0" fontId="6" fillId="0" borderId="0" xfId="7" applyFont="1" applyBorder="1" applyAlignment="1">
      <alignment horizontal="right"/>
    </xf>
    <xf numFmtId="0" fontId="6" fillId="0" borderId="5" xfId="7" applyFont="1" applyBorder="1" applyAlignment="1">
      <alignment horizontal="right"/>
    </xf>
    <xf numFmtId="0" fontId="5" fillId="0" borderId="8" xfId="7" applyFont="1" applyBorder="1" applyAlignment="1">
      <alignment horizontal="right"/>
    </xf>
    <xf numFmtId="9" fontId="6" fillId="0" borderId="4" xfId="7" applyNumberFormat="1" applyFont="1" applyBorder="1"/>
    <xf numFmtId="9" fontId="6" fillId="0" borderId="2" xfId="7" applyNumberFormat="1" applyFont="1" applyBorder="1"/>
    <xf numFmtId="9" fontId="6" fillId="0" borderId="3" xfId="7" applyNumberFormat="1" applyFont="1" applyBorder="1"/>
    <xf numFmtId="0" fontId="6" fillId="0" borderId="2" xfId="7" applyFont="1" applyBorder="1" applyAlignment="1">
      <alignment horizontal="right"/>
    </xf>
    <xf numFmtId="0" fontId="6" fillId="0" borderId="1" xfId="7" applyFont="1" applyBorder="1" applyAlignment="1">
      <alignment horizontal="right"/>
    </xf>
    <xf numFmtId="0" fontId="5" fillId="0" borderId="5" xfId="7" applyFont="1" applyBorder="1" applyAlignment="1">
      <alignment horizontal="right"/>
    </xf>
    <xf numFmtId="9" fontId="5" fillId="2" borderId="11" xfId="7" applyNumberFormat="1" applyFont="1" applyFill="1" applyBorder="1"/>
    <xf numFmtId="9" fontId="5" fillId="2" borderId="9" xfId="7" applyNumberFormat="1" applyFont="1" applyFill="1" applyBorder="1"/>
    <xf numFmtId="9" fontId="5" fillId="2" borderId="10" xfId="7" applyNumberFormat="1" applyFont="1" applyFill="1" applyBorder="1"/>
    <xf numFmtId="0" fontId="5" fillId="2" borderId="9" xfId="7" applyFont="1" applyFill="1" applyBorder="1"/>
    <xf numFmtId="1" fontId="6" fillId="0" borderId="4" xfId="7" applyNumberFormat="1" applyFont="1" applyBorder="1"/>
    <xf numFmtId="1" fontId="6" fillId="0" borderId="2" xfId="7" applyNumberFormat="1" applyFont="1" applyBorder="1"/>
    <xf numFmtId="1" fontId="6" fillId="0" borderId="3" xfId="7" applyNumberFormat="1" applyFont="1" applyBorder="1"/>
    <xf numFmtId="0" fontId="5" fillId="0" borderId="7" xfId="7" applyFont="1" applyBorder="1"/>
    <xf numFmtId="0" fontId="5" fillId="0" borderId="0" xfId="7" applyFont="1" applyBorder="1"/>
    <xf numFmtId="0" fontId="5" fillId="0" borderId="6" xfId="7" applyFont="1" applyBorder="1"/>
    <xf numFmtId="0" fontId="5" fillId="0" borderId="3" xfId="7" applyFont="1" applyBorder="1"/>
    <xf numFmtId="0" fontId="5" fillId="0" borderId="2" xfId="7" applyFont="1" applyBorder="1"/>
    <xf numFmtId="0" fontId="5" fillId="0" borderId="1" xfId="7" applyFont="1" applyBorder="1"/>
    <xf numFmtId="0" fontId="4" fillId="0" borderId="0" xfId="7" applyFont="1" applyBorder="1"/>
    <xf numFmtId="164" fontId="4" fillId="0" borderId="0" xfId="7" applyNumberFormat="1" applyFont="1" applyBorder="1"/>
    <xf numFmtId="1" fontId="6" fillId="0" borderId="0" xfId="7" applyNumberFormat="1" applyFont="1" applyFill="1" applyBorder="1"/>
    <xf numFmtId="0" fontId="4" fillId="0" borderId="0" xfId="7" applyFont="1" applyBorder="1" applyAlignment="1">
      <alignment horizontal="right"/>
    </xf>
    <xf numFmtId="0" fontId="4" fillId="0" borderId="11" xfId="7" applyFont="1" applyBorder="1"/>
    <xf numFmtId="164" fontId="4" fillId="0" borderId="9" xfId="7" applyNumberFormat="1" applyFont="1" applyBorder="1"/>
    <xf numFmtId="1" fontId="6" fillId="0" borderId="10" xfId="7" applyNumberFormat="1" applyFont="1" applyFill="1" applyBorder="1"/>
    <xf numFmtId="0" fontId="4" fillId="0" borderId="9" xfId="7" applyFont="1" applyBorder="1"/>
    <xf numFmtId="0" fontId="4" fillId="0" borderId="8" xfId="7" applyFont="1" applyBorder="1" applyAlignment="1">
      <alignment horizontal="right"/>
    </xf>
    <xf numFmtId="1" fontId="5" fillId="0" borderId="11" xfId="7" applyNumberFormat="1" applyFont="1" applyBorder="1"/>
    <xf numFmtId="1" fontId="5" fillId="0" borderId="9" xfId="7" applyNumberFormat="1" applyFont="1" applyBorder="1"/>
    <xf numFmtId="1" fontId="5" fillId="0" borderId="10" xfId="7" applyNumberFormat="1" applyFont="1" applyBorder="1"/>
    <xf numFmtId="1" fontId="6" fillId="0" borderId="7" xfId="7" applyNumberFormat="1" applyFont="1" applyBorder="1"/>
    <xf numFmtId="1" fontId="6" fillId="0" borderId="0" xfId="7" applyNumberFormat="1" applyFont="1" applyBorder="1"/>
    <xf numFmtId="1" fontId="6" fillId="0" borderId="6" xfId="7" applyNumberFormat="1" applyFont="1" applyBorder="1"/>
    <xf numFmtId="1" fontId="5" fillId="0" borderId="7" xfId="7" applyNumberFormat="1" applyFont="1" applyBorder="1"/>
    <xf numFmtId="1" fontId="5" fillId="0" borderId="0" xfId="7" applyNumberFormat="1" applyFont="1" applyBorder="1"/>
    <xf numFmtId="1" fontId="5" fillId="0" borderId="6" xfId="7" applyNumberFormat="1" applyFont="1" applyBorder="1"/>
    <xf numFmtId="164" fontId="5" fillId="2" borderId="11" xfId="7" applyNumberFormat="1" applyFont="1" applyFill="1" applyBorder="1"/>
    <xf numFmtId="164" fontId="5" fillId="2" borderId="9" xfId="7" applyNumberFormat="1" applyFont="1" applyFill="1" applyBorder="1"/>
    <xf numFmtId="1" fontId="5" fillId="2" borderId="10" xfId="7" applyNumberFormat="1" applyFont="1" applyFill="1" applyBorder="1"/>
    <xf numFmtId="0" fontId="4" fillId="0" borderId="0" xfId="7" applyFont="1"/>
    <xf numFmtId="0" fontId="5" fillId="0" borderId="0" xfId="8" applyFont="1" applyBorder="1"/>
    <xf numFmtId="164" fontId="5" fillId="0" borderId="0" xfId="8" applyNumberFormat="1" applyFont="1" applyBorder="1"/>
    <xf numFmtId="0" fontId="4" fillId="0" borderId="0" xfId="8" applyFont="1" applyBorder="1"/>
    <xf numFmtId="0" fontId="5" fillId="0" borderId="0" xfId="8" applyFont="1" applyBorder="1" applyAlignment="1">
      <alignment horizontal="center" vertical="center" wrapText="1"/>
    </xf>
    <xf numFmtId="2" fontId="5" fillId="0" borderId="0" xfId="8" applyNumberFormat="1" applyFont="1" applyBorder="1"/>
    <xf numFmtId="164" fontId="4" fillId="0" borderId="0" xfId="8" applyNumberFormat="1" applyFont="1" applyBorder="1"/>
    <xf numFmtId="2" fontId="5" fillId="0" borderId="0" xfId="7" applyNumberFormat="1" applyFont="1" applyBorder="1"/>
    <xf numFmtId="164" fontId="5" fillId="0" borderId="0" xfId="8" applyNumberFormat="1" applyFont="1" applyBorder="1" applyAlignment="1">
      <alignment horizontal="center" vertical="center"/>
    </xf>
    <xf numFmtId="164" fontId="8" fillId="0" borderId="5" xfId="8" applyNumberFormat="1" applyFont="1" applyBorder="1"/>
    <xf numFmtId="0" fontId="8" fillId="0" borderId="0" xfId="8" applyFont="1" applyBorder="1"/>
    <xf numFmtId="164" fontId="9" fillId="0" borderId="7" xfId="8" applyNumberFormat="1" applyFont="1" applyBorder="1"/>
    <xf numFmtId="0" fontId="8" fillId="0" borderId="7" xfId="8" applyFont="1" applyBorder="1"/>
    <xf numFmtId="0" fontId="8" fillId="0" borderId="6" xfId="8" applyFont="1" applyBorder="1"/>
    <xf numFmtId="0" fontId="8" fillId="0" borderId="5" xfId="8" applyFont="1" applyBorder="1"/>
    <xf numFmtId="164" fontId="8" fillId="0" borderId="5" xfId="8" applyNumberFormat="1" applyFont="1" applyBorder="1" applyAlignment="1">
      <alignment horizontal="center"/>
    </xf>
    <xf numFmtId="164" fontId="8" fillId="0" borderId="0" xfId="8" applyNumberFormat="1" applyFont="1" applyBorder="1" applyAlignment="1">
      <alignment horizontal="center"/>
    </xf>
    <xf numFmtId="0" fontId="5" fillId="0" borderId="0" xfId="8" applyFont="1" applyBorder="1" applyAlignment="1">
      <alignment horizontal="right"/>
    </xf>
    <xf numFmtId="0" fontId="4" fillId="0" borderId="5" xfId="8" applyFont="1" applyBorder="1" applyAlignment="1">
      <alignment horizontal="right"/>
    </xf>
    <xf numFmtId="0" fontId="4" fillId="0" borderId="0" xfId="8" applyFont="1" applyBorder="1" applyAlignment="1">
      <alignment horizontal="right"/>
    </xf>
    <xf numFmtId="0" fontId="8" fillId="6" borderId="5" xfId="8" applyFont="1" applyFill="1" applyBorder="1"/>
    <xf numFmtId="0" fontId="8" fillId="3" borderId="5" xfId="8" applyFont="1" applyFill="1" applyBorder="1" applyAlignment="1">
      <alignment horizontal="center" vertical="center" wrapText="1"/>
    </xf>
    <xf numFmtId="0" fontId="8" fillId="4" borderId="0" xfId="8" applyFont="1" applyFill="1" applyBorder="1"/>
    <xf numFmtId="2" fontId="5" fillId="0" borderId="6" xfId="8" applyNumberFormat="1" applyFont="1" applyBorder="1"/>
    <xf numFmtId="2" fontId="5" fillId="0" borderId="7" xfId="8" applyNumberFormat="1" applyFont="1" applyBorder="1"/>
    <xf numFmtId="0" fontId="5" fillId="0" borderId="0" xfId="8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1" fontId="5" fillId="0" borderId="0" xfId="0" applyNumberFormat="1" applyFont="1" applyBorder="1"/>
    <xf numFmtId="164" fontId="5" fillId="0" borderId="0" xfId="0" applyNumberFormat="1" applyFont="1" applyBorder="1"/>
    <xf numFmtId="0" fontId="5" fillId="0" borderId="0" xfId="0" applyFont="1" applyBorder="1" applyAlignment="1"/>
    <xf numFmtId="0" fontId="8" fillId="0" borderId="0" xfId="0" applyFont="1" applyBorder="1"/>
    <xf numFmtId="0" fontId="5" fillId="3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3" borderId="0" xfId="0" applyFont="1" applyFill="1" applyBorder="1"/>
    <xf numFmtId="0" fontId="4" fillId="3" borderId="0" xfId="0" applyFont="1" applyFill="1" applyBorder="1"/>
    <xf numFmtId="164" fontId="4" fillId="0" borderId="0" xfId="8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vertical="center"/>
    </xf>
    <xf numFmtId="2" fontId="5" fillId="0" borderId="0" xfId="0" applyNumberFormat="1" applyFont="1" applyBorder="1"/>
    <xf numFmtId="0" fontId="5" fillId="0" borderId="5" xfId="0" applyFont="1" applyBorder="1"/>
    <xf numFmtId="164" fontId="5" fillId="0" borderId="0" xfId="0" applyNumberFormat="1" applyFont="1" applyBorder="1" applyAlignment="1">
      <alignment horizontal="right" vertical="center"/>
    </xf>
    <xf numFmtId="164" fontId="5" fillId="0" borderId="7" xfId="0" applyNumberFormat="1" applyFont="1" applyBorder="1"/>
    <xf numFmtId="0" fontId="3" fillId="0" borderId="0" xfId="0" applyFont="1"/>
    <xf numFmtId="2" fontId="0" fillId="0" borderId="0" xfId="0" applyNumberFormat="1"/>
    <xf numFmtId="2" fontId="11" fillId="0" borderId="0" xfId="0" applyNumberFormat="1" applyFont="1"/>
    <xf numFmtId="2" fontId="3" fillId="0" borderId="0" xfId="0" applyNumberFormat="1" applyFont="1"/>
    <xf numFmtId="1" fontId="0" fillId="8" borderId="0" xfId="0" applyNumberForma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" fontId="0" fillId="14" borderId="0" xfId="0" applyNumberFormat="1" applyFill="1" applyAlignment="1">
      <alignment horizontal="center"/>
    </xf>
    <xf numFmtId="2" fontId="12" fillId="15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0" fillId="1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5" borderId="0" xfId="0" applyFont="1" applyFill="1"/>
    <xf numFmtId="0" fontId="3" fillId="8" borderId="0" xfId="0" applyFont="1" applyFill="1"/>
    <xf numFmtId="0" fontId="3" fillId="7" borderId="0" xfId="0" applyFont="1" applyFill="1"/>
    <xf numFmtId="0" fontId="3" fillId="13" borderId="0" xfId="8" applyFont="1" applyFill="1" applyBorder="1"/>
    <xf numFmtId="0" fontId="0" fillId="5" borderId="0" xfId="0" applyFill="1"/>
    <xf numFmtId="0" fontId="0" fillId="12" borderId="0" xfId="0" applyFill="1"/>
    <xf numFmtId="0" fontId="0" fillId="8" borderId="0" xfId="0" applyFill="1"/>
    <xf numFmtId="0" fontId="0" fillId="7" borderId="0" xfId="0" applyFill="1"/>
    <xf numFmtId="2" fontId="10" fillId="10" borderId="0" xfId="0" applyNumberFormat="1" applyFont="1" applyFill="1" applyAlignment="1">
      <alignment horizontal="center"/>
    </xf>
    <xf numFmtId="2" fontId="12" fillId="10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8" applyFont="1" applyFill="1" applyBorder="1"/>
    <xf numFmtId="0" fontId="5" fillId="0" borderId="14" xfId="8" applyFont="1" applyBorder="1"/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5" fillId="0" borderId="14" xfId="8" applyFont="1" applyBorder="1" applyAlignment="1">
      <alignment horizontal="center" vertical="center" wrapText="1"/>
    </xf>
    <xf numFmtId="164" fontId="4" fillId="0" borderId="0" xfId="8" applyNumberFormat="1" applyFont="1" applyBorder="1" applyAlignment="1">
      <alignment horizontal="right" vertical="center"/>
    </xf>
    <xf numFmtId="0" fontId="4" fillId="16" borderId="0" xfId="8" quotePrefix="1" applyFont="1" applyFill="1" applyBorder="1"/>
    <xf numFmtId="0" fontId="5" fillId="16" borderId="0" xfId="8" applyFont="1" applyFill="1" applyBorder="1"/>
    <xf numFmtId="164" fontId="4" fillId="16" borderId="0" xfId="8" applyNumberFormat="1" applyFont="1" applyFill="1" applyBorder="1"/>
    <xf numFmtId="0" fontId="4" fillId="17" borderId="0" xfId="8" quotePrefix="1" applyFont="1" applyFill="1" applyBorder="1"/>
    <xf numFmtId="0" fontId="5" fillId="17" borderId="0" xfId="8" applyFont="1" applyFill="1" applyBorder="1"/>
    <xf numFmtId="164" fontId="4" fillId="17" borderId="0" xfId="8" applyNumberFormat="1" applyFont="1" applyFill="1" applyBorder="1"/>
    <xf numFmtId="0" fontId="4" fillId="8" borderId="0" xfId="8" quotePrefix="1" applyFont="1" applyFill="1" applyBorder="1"/>
    <xf numFmtId="0" fontId="5" fillId="8" borderId="0" xfId="8" applyFont="1" applyFill="1" applyBorder="1"/>
    <xf numFmtId="164" fontId="4" fillId="8" borderId="0" xfId="8" applyNumberFormat="1" applyFont="1" applyFill="1" applyBorder="1"/>
    <xf numFmtId="0" fontId="13" fillId="12" borderId="0" xfId="8" applyFont="1" applyFill="1" applyBorder="1"/>
    <xf numFmtId="9" fontId="13" fillId="12" borderId="0" xfId="9" applyFont="1" applyFill="1" applyBorder="1"/>
    <xf numFmtId="2" fontId="0" fillId="0" borderId="14" xfId="0" applyNumberFormat="1" applyBorder="1" applyAlignment="1">
      <alignment horizontal="center"/>
    </xf>
    <xf numFmtId="9" fontId="5" fillId="2" borderId="11" xfId="7" applyNumberFormat="1" applyFont="1" applyFill="1" applyBorder="1" applyAlignment="1">
      <alignment horizontal="right"/>
    </xf>
    <xf numFmtId="9" fontId="5" fillId="0" borderId="7" xfId="7" applyNumberFormat="1" applyFont="1" applyBorder="1" applyAlignment="1">
      <alignment horizontal="right"/>
    </xf>
    <xf numFmtId="1" fontId="5" fillId="2" borderId="11" xfId="7" applyNumberFormat="1" applyFont="1" applyFill="1" applyBorder="1" applyAlignment="1">
      <alignment horizontal="right"/>
    </xf>
    <xf numFmtId="1" fontId="5" fillId="0" borderId="7" xfId="7" applyNumberFormat="1" applyFont="1" applyBorder="1" applyAlignment="1">
      <alignment horizontal="right"/>
    </xf>
    <xf numFmtId="0" fontId="5" fillId="0" borderId="0" xfId="0" applyFont="1"/>
    <xf numFmtId="164" fontId="5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 applyBorder="1"/>
    <xf numFmtId="0" fontId="16" fillId="0" borderId="0" xfId="0" applyFont="1"/>
    <xf numFmtId="164" fontId="16" fillId="0" borderId="0" xfId="0" applyNumberFormat="1" applyFont="1"/>
    <xf numFmtId="164" fontId="8" fillId="18" borderId="14" xfId="0" applyNumberFormat="1" applyFont="1" applyFill="1" applyBorder="1"/>
    <xf numFmtId="164" fontId="5" fillId="7" borderId="6" xfId="8" applyNumberFormat="1" applyFont="1" applyFill="1" applyBorder="1" applyAlignment="1">
      <alignment horizontal="center" vertical="center"/>
    </xf>
    <xf numFmtId="164" fontId="5" fillId="7" borderId="5" xfId="8" applyNumberFormat="1" applyFont="1" applyFill="1" applyBorder="1" applyAlignment="1">
      <alignment horizontal="center" vertical="center"/>
    </xf>
    <xf numFmtId="164" fontId="5" fillId="18" borderId="14" xfId="0" applyNumberFormat="1" applyFont="1" applyFill="1" applyBorder="1"/>
    <xf numFmtId="164" fontId="5" fillId="0" borderId="14" xfId="0" applyNumberFormat="1" applyFont="1" applyBorder="1"/>
    <xf numFmtId="164" fontId="18" fillId="0" borderId="0" xfId="0" applyNumberFormat="1" applyFont="1" applyBorder="1"/>
    <xf numFmtId="164" fontId="5" fillId="0" borderId="14" xfId="0" quotePrefix="1" applyNumberFormat="1" applyFont="1" applyBorder="1"/>
    <xf numFmtId="164" fontId="18" fillId="0" borderId="0" xfId="0" applyNumberFormat="1" applyFont="1" applyBorder="1" applyAlignment="1">
      <alignment horizontal="right"/>
    </xf>
    <xf numFmtId="164" fontId="19" fillId="0" borderId="0" xfId="0" applyNumberFormat="1" applyFont="1" applyBorder="1"/>
    <xf numFmtId="0" fontId="18" fillId="0" borderId="0" xfId="0" applyFont="1" applyAlignment="1">
      <alignment horizontal="right"/>
    </xf>
    <xf numFmtId="164" fontId="8" fillId="18" borderId="15" xfId="0" applyNumberFormat="1" applyFont="1" applyFill="1" applyBorder="1"/>
    <xf numFmtId="164" fontId="5" fillId="18" borderId="15" xfId="0" applyNumberFormat="1" applyFont="1" applyFill="1" applyBorder="1"/>
    <xf numFmtId="164" fontId="5" fillId="0" borderId="15" xfId="0" applyNumberFormat="1" applyFont="1" applyBorder="1"/>
    <xf numFmtId="164" fontId="5" fillId="0" borderId="15" xfId="0" quotePrefix="1" applyNumberFormat="1" applyFont="1" applyBorder="1"/>
    <xf numFmtId="164" fontId="18" fillId="0" borderId="7" xfId="0" applyNumberFormat="1" applyFont="1" applyBorder="1"/>
    <xf numFmtId="164" fontId="18" fillId="0" borderId="7" xfId="0" quotePrefix="1" applyNumberFormat="1" applyFont="1" applyBorder="1"/>
    <xf numFmtId="0" fontId="17" fillId="0" borderId="0" xfId="0" applyFont="1" applyBorder="1"/>
    <xf numFmtId="0" fontId="16" fillId="0" borderId="7" xfId="0" applyFont="1" applyBorder="1"/>
    <xf numFmtId="164" fontId="16" fillId="0" borderId="7" xfId="0" applyNumberFormat="1" applyFont="1" applyBorder="1"/>
    <xf numFmtId="164" fontId="8" fillId="18" borderId="12" xfId="0" applyNumberFormat="1" applyFont="1" applyFill="1" applyBorder="1"/>
    <xf numFmtId="164" fontId="5" fillId="18" borderId="12" xfId="0" applyNumberFormat="1" applyFont="1" applyFill="1" applyBorder="1"/>
    <xf numFmtId="164" fontId="5" fillId="0" borderId="12" xfId="0" applyNumberFormat="1" applyFont="1" applyBorder="1"/>
    <xf numFmtId="164" fontId="19" fillId="0" borderId="5" xfId="0" applyNumberFormat="1" applyFont="1" applyBorder="1"/>
    <xf numFmtId="0" fontId="17" fillId="0" borderId="5" xfId="0" applyFont="1" applyBorder="1"/>
    <xf numFmtId="164" fontId="5" fillId="0" borderId="14" xfId="0" applyNumberFormat="1" applyFont="1" applyFill="1" applyBorder="1"/>
    <xf numFmtId="2" fontId="8" fillId="0" borderId="0" xfId="8" applyNumberFormat="1" applyFont="1" applyBorder="1" applyAlignment="1">
      <alignment horizontal="right"/>
    </xf>
    <xf numFmtId="2" fontId="5" fillId="0" borderId="0" xfId="7" applyNumberFormat="1" applyFont="1" applyBorder="1" applyAlignment="1"/>
    <xf numFmtId="2" fontId="8" fillId="0" borderId="0" xfId="7" applyNumberFormat="1" applyFont="1" applyBorder="1"/>
    <xf numFmtId="2" fontId="5" fillId="0" borderId="0" xfId="0" applyNumberFormat="1" applyFont="1" applyBorder="1" applyAlignment="1">
      <alignment horizontal="center" vertical="center" wrapText="1"/>
    </xf>
    <xf numFmtId="2" fontId="5" fillId="0" borderId="0" xfId="7" applyNumberFormat="1" applyFont="1" applyBorder="1" applyAlignment="1">
      <alignment horizontal="center" vertical="center" wrapText="1"/>
    </xf>
    <xf numFmtId="2" fontId="5" fillId="0" borderId="0" xfId="8" applyNumberFormat="1" applyFont="1" applyBorder="1" applyAlignment="1">
      <alignment horizontal="center" vertical="center" wrapText="1"/>
    </xf>
    <xf numFmtId="2" fontId="5" fillId="3" borderId="0" xfId="7" applyNumberFormat="1" applyFont="1" applyFill="1" applyBorder="1" applyAlignment="1">
      <alignment horizontal="center" vertical="center" wrapText="1"/>
    </xf>
    <xf numFmtId="2" fontId="8" fillId="0" borderId="0" xfId="7" applyNumberFormat="1" applyFont="1" applyBorder="1" applyAlignment="1">
      <alignment horizontal="center" vertical="center" wrapText="1"/>
    </xf>
    <xf numFmtId="2" fontId="8" fillId="4" borderId="0" xfId="8" applyNumberFormat="1" applyFont="1" applyFill="1" applyBorder="1"/>
    <xf numFmtId="2" fontId="5" fillId="3" borderId="0" xfId="7" applyNumberFormat="1" applyFont="1" applyFill="1" applyBorder="1"/>
    <xf numFmtId="2" fontId="4" fillId="3" borderId="0" xfId="7" applyNumberFormat="1" applyFont="1" applyFill="1" applyBorder="1"/>
    <xf numFmtId="2" fontId="8" fillId="3" borderId="5" xfId="8" applyNumberFormat="1" applyFont="1" applyFill="1" applyBorder="1" applyAlignment="1">
      <alignment horizontal="center" vertical="center" wrapText="1"/>
    </xf>
    <xf numFmtId="2" fontId="8" fillId="0" borderId="5" xfId="8" applyNumberFormat="1" applyFont="1" applyBorder="1"/>
    <xf numFmtId="2" fontId="8" fillId="0" borderId="6" xfId="8" applyNumberFormat="1" applyFont="1" applyBorder="1"/>
    <xf numFmtId="2" fontId="8" fillId="0" borderId="7" xfId="8" applyNumberFormat="1" applyFont="1" applyBorder="1"/>
    <xf numFmtId="2" fontId="8" fillId="0" borderId="0" xfId="8" applyNumberFormat="1" applyFont="1" applyBorder="1"/>
    <xf numFmtId="2" fontId="8" fillId="6" borderId="5" xfId="8" applyNumberFormat="1" applyFont="1" applyFill="1" applyBorder="1"/>
    <xf numFmtId="2" fontId="4" fillId="0" borderId="0" xfId="8" applyNumberFormat="1" applyFont="1" applyBorder="1" applyAlignment="1">
      <alignment horizontal="right"/>
    </xf>
    <xf numFmtId="2" fontId="4" fillId="0" borderId="5" xfId="8" applyNumberFormat="1" applyFont="1" applyBorder="1" applyAlignment="1">
      <alignment horizontal="right"/>
    </xf>
    <xf numFmtId="2" fontId="5" fillId="0" borderId="0" xfId="8" applyNumberFormat="1" applyFont="1" applyBorder="1" applyAlignment="1">
      <alignment horizontal="right"/>
    </xf>
    <xf numFmtId="2" fontId="8" fillId="0" borderId="5" xfId="8" applyNumberFormat="1" applyFont="1" applyBorder="1" applyAlignment="1">
      <alignment horizontal="center"/>
    </xf>
    <xf numFmtId="2" fontId="9" fillId="0" borderId="7" xfId="8" applyNumberFormat="1" applyFont="1" applyBorder="1"/>
    <xf numFmtId="2" fontId="9" fillId="0" borderId="5" xfId="8" applyNumberFormat="1" applyFont="1" applyBorder="1"/>
    <xf numFmtId="2" fontId="5" fillId="0" borderId="0" xfId="7" applyNumberFormat="1" applyFont="1" applyBorder="1" applyAlignment="1">
      <alignment horizontal="center"/>
    </xf>
    <xf numFmtId="2" fontId="5" fillId="0" borderId="5" xfId="8" applyNumberFormat="1" applyFont="1" applyBorder="1"/>
    <xf numFmtId="2" fontId="5" fillId="7" borderId="5" xfId="8" applyNumberFormat="1" applyFont="1" applyFill="1" applyBorder="1" applyAlignment="1">
      <alignment horizontal="center" vertical="center"/>
    </xf>
    <xf numFmtId="2" fontId="5" fillId="7" borderId="7" xfId="8" applyNumberFormat="1" applyFont="1" applyFill="1" applyBorder="1" applyAlignment="1">
      <alignment horizontal="center" vertical="center"/>
    </xf>
    <xf numFmtId="2" fontId="5" fillId="0" borderId="0" xfId="8" applyNumberFormat="1" applyFont="1" applyBorder="1" applyAlignment="1">
      <alignment horizontal="center" vertical="center"/>
    </xf>
    <xf numFmtId="2" fontId="5" fillId="0" borderId="0" xfId="7" applyNumberFormat="1" applyFont="1" applyBorder="1" applyAlignment="1">
      <alignment vertical="center"/>
    </xf>
    <xf numFmtId="2" fontId="4" fillId="0" borderId="0" xfId="8" applyNumberFormat="1" applyFont="1" applyBorder="1"/>
    <xf numFmtId="2" fontId="5" fillId="0" borderId="5" xfId="7" applyNumberFormat="1" applyFont="1" applyBorder="1"/>
    <xf numFmtId="2" fontId="5" fillId="9" borderId="5" xfId="8" applyNumberFormat="1" applyFont="1" applyFill="1" applyBorder="1" applyAlignment="1">
      <alignment horizontal="center" vertical="center"/>
    </xf>
    <xf numFmtId="2" fontId="5" fillId="0" borderId="0" xfId="7" applyNumberFormat="1" applyFont="1" applyBorder="1" applyAlignment="1">
      <alignment horizontal="right" vertical="center"/>
    </xf>
    <xf numFmtId="2" fontId="5" fillId="0" borderId="6" xfId="7" applyNumberFormat="1" applyFont="1" applyBorder="1"/>
    <xf numFmtId="2" fontId="5" fillId="0" borderId="7" xfId="7" applyNumberFormat="1" applyFont="1" applyBorder="1"/>
    <xf numFmtId="2" fontId="4" fillId="0" borderId="0" xfId="8" applyNumberFormat="1" applyFont="1" applyBorder="1" applyAlignment="1">
      <alignment horizontal="right" vertical="center"/>
    </xf>
    <xf numFmtId="2" fontId="4" fillId="16" borderId="0" xfId="8" quotePrefix="1" applyNumberFormat="1" applyFont="1" applyFill="1" applyBorder="1"/>
    <xf numFmtId="2" fontId="5" fillId="16" borderId="0" xfId="8" applyNumberFormat="1" applyFont="1" applyFill="1" applyBorder="1"/>
    <xf numFmtId="2" fontId="4" fillId="16" borderId="0" xfId="8" applyNumberFormat="1" applyFont="1" applyFill="1" applyBorder="1"/>
    <xf numFmtId="2" fontId="4" fillId="17" borderId="0" xfId="8" quotePrefix="1" applyNumberFormat="1" applyFont="1" applyFill="1" applyBorder="1"/>
    <xf numFmtId="2" fontId="5" fillId="17" borderId="0" xfId="8" applyNumberFormat="1" applyFont="1" applyFill="1" applyBorder="1"/>
    <xf numFmtId="2" fontId="4" fillId="17" borderId="0" xfId="8" applyNumberFormat="1" applyFont="1" applyFill="1" applyBorder="1"/>
    <xf numFmtId="2" fontId="4" fillId="8" borderId="0" xfId="8" quotePrefix="1" applyNumberFormat="1" applyFont="1" applyFill="1" applyBorder="1"/>
    <xf numFmtId="2" fontId="5" fillId="8" borderId="0" xfId="8" applyNumberFormat="1" applyFont="1" applyFill="1" applyBorder="1"/>
    <xf numFmtId="2" fontId="4" fillId="8" borderId="0" xfId="8" applyNumberFormat="1" applyFont="1" applyFill="1" applyBorder="1"/>
    <xf numFmtId="2" fontId="13" fillId="12" borderId="0" xfId="8" applyNumberFormat="1" applyFont="1" applyFill="1" applyBorder="1"/>
    <xf numFmtId="2" fontId="13" fillId="12" borderId="0" xfId="9" applyNumberFormat="1" applyFont="1" applyFill="1" applyBorder="1"/>
    <xf numFmtId="0" fontId="16" fillId="0" borderId="14" xfId="0" applyFont="1" applyBorder="1"/>
    <xf numFmtId="2" fontId="16" fillId="0" borderId="14" xfId="0" applyNumberFormat="1" applyFont="1" applyBorder="1"/>
    <xf numFmtId="0" fontId="0" fillId="0" borderId="12" xfId="0" applyBorder="1"/>
    <xf numFmtId="0" fontId="16" fillId="0" borderId="0" xfId="0" applyFont="1" applyBorder="1"/>
    <xf numFmtId="2" fontId="16" fillId="0" borderId="0" xfId="0" applyNumberFormat="1" applyFont="1"/>
    <xf numFmtId="166" fontId="16" fillId="0" borderId="0" xfId="0" applyNumberFormat="1" applyFont="1"/>
    <xf numFmtId="164" fontId="16" fillId="0" borderId="14" xfId="0" applyNumberFormat="1" applyFont="1" applyBorder="1"/>
    <xf numFmtId="164" fontId="16" fillId="0" borderId="0" xfId="0" applyNumberFormat="1" applyFont="1" applyBorder="1"/>
    <xf numFmtId="0" fontId="0" fillId="19" borderId="0" xfId="0" applyFill="1"/>
    <xf numFmtId="0" fontId="0" fillId="19" borderId="19" xfId="0" applyFill="1" applyBorder="1"/>
    <xf numFmtId="0" fontId="0" fillId="19" borderId="20" xfId="0" applyFill="1" applyBorder="1"/>
    <xf numFmtId="167" fontId="0" fillId="0" borderId="14" xfId="0" applyNumberFormat="1" applyBorder="1" applyAlignment="1">
      <alignment wrapText="1" shrinkToFit="1"/>
    </xf>
    <xf numFmtId="0" fontId="0" fillId="0" borderId="14" xfId="0" applyBorder="1" applyAlignment="1">
      <alignment wrapText="1" shrinkToFit="1"/>
    </xf>
    <xf numFmtId="167" fontId="0" fillId="0" borderId="14" xfId="0" applyNumberFormat="1" applyFill="1" applyBorder="1" applyAlignment="1">
      <alignment wrapText="1" shrinkToFit="1"/>
    </xf>
    <xf numFmtId="164" fontId="0" fillId="0" borderId="14" xfId="0" applyNumberFormat="1" applyFill="1" applyBorder="1" applyAlignment="1">
      <alignment wrapText="1" shrinkToFit="1"/>
    </xf>
    <xf numFmtId="0" fontId="20" fillId="19" borderId="20" xfId="0" applyFont="1" applyFill="1" applyBorder="1" applyAlignment="1">
      <alignment vertical="center"/>
    </xf>
    <xf numFmtId="164" fontId="0" fillId="0" borderId="14" xfId="0" applyNumberFormat="1" applyBorder="1"/>
    <xf numFmtId="164" fontId="21" fillId="0" borderId="0" xfId="0" applyNumberFormat="1" applyFont="1"/>
    <xf numFmtId="164" fontId="0" fillId="0" borderId="0" xfId="0" applyNumberFormat="1"/>
    <xf numFmtId="0" fontId="20" fillId="19" borderId="22" xfId="0" applyFont="1" applyFill="1" applyBorder="1" applyAlignment="1">
      <alignment vertical="center"/>
    </xf>
    <xf numFmtId="0" fontId="0" fillId="19" borderId="23" xfId="0" applyFont="1" applyFill="1" applyBorder="1" applyAlignment="1">
      <alignment vertical="center" wrapText="1"/>
    </xf>
    <xf numFmtId="0" fontId="20" fillId="19" borderId="24" xfId="0" applyFont="1" applyFill="1" applyBorder="1" applyAlignment="1">
      <alignment vertical="center"/>
    </xf>
    <xf numFmtId="0" fontId="0" fillId="19" borderId="25" xfId="0" applyFont="1" applyFill="1" applyBorder="1" applyAlignment="1">
      <alignment vertical="center" wrapText="1"/>
    </xf>
    <xf numFmtId="0" fontId="21" fillId="0" borderId="0" xfId="0" applyFont="1"/>
    <xf numFmtId="0" fontId="20" fillId="19" borderId="26" xfId="0" applyFont="1" applyFill="1" applyBorder="1" applyAlignment="1">
      <alignment vertical="center" wrapText="1"/>
    </xf>
    <xf numFmtId="0" fontId="20" fillId="19" borderId="23" xfId="0" applyFont="1" applyFill="1" applyBorder="1" applyAlignment="1">
      <alignment vertical="center" wrapText="1"/>
    </xf>
    <xf numFmtId="164" fontId="0" fillId="0" borderId="0" xfId="0" applyNumberFormat="1" applyBorder="1"/>
    <xf numFmtId="0" fontId="20" fillId="19" borderId="25" xfId="0" applyFont="1" applyFill="1" applyBorder="1" applyAlignment="1">
      <alignment vertical="center" wrapText="1"/>
    </xf>
    <xf numFmtId="0" fontId="22" fillId="0" borderId="0" xfId="0" applyFont="1"/>
    <xf numFmtId="164" fontId="22" fillId="0" borderId="0" xfId="0" applyNumberFormat="1" applyFont="1"/>
    <xf numFmtId="0" fontId="20" fillId="19" borderId="21" xfId="0" applyFont="1" applyFill="1" applyBorder="1"/>
    <xf numFmtId="0" fontId="20" fillId="19" borderId="27" xfId="0" applyFont="1" applyFill="1" applyBorder="1"/>
    <xf numFmtId="0" fontId="20" fillId="19" borderId="24" xfId="0" applyFont="1" applyFill="1" applyBorder="1"/>
    <xf numFmtId="0" fontId="20" fillId="19" borderId="28" xfId="0" applyFont="1" applyFill="1" applyBorder="1"/>
    <xf numFmtId="0" fontId="20" fillId="19" borderId="29" xfId="0" applyFont="1" applyFill="1" applyBorder="1"/>
    <xf numFmtId="0" fontId="0" fillId="0" borderId="14" xfId="0" applyFill="1" applyBorder="1" applyAlignment="1">
      <alignment wrapText="1" shrinkToFit="1"/>
    </xf>
    <xf numFmtId="0" fontId="0" fillId="0" borderId="0" xfId="0" applyBorder="1" applyAlignment="1">
      <alignment wrapText="1" shrinkToFit="1"/>
    </xf>
    <xf numFmtId="0" fontId="0" fillId="19" borderId="14" xfId="0" applyFill="1" applyBorder="1"/>
    <xf numFmtId="0" fontId="23" fillId="0" borderId="14" xfId="0" applyFont="1" applyBorder="1"/>
    <xf numFmtId="0" fontId="0" fillId="19" borderId="14" xfId="0" applyFont="1" applyFill="1" applyBorder="1" applyAlignment="1"/>
    <xf numFmtId="164" fontId="24" fillId="0" borderId="14" xfId="0" applyNumberFormat="1" applyFont="1" applyBorder="1"/>
    <xf numFmtId="0" fontId="0" fillId="19" borderId="14" xfId="0" applyFont="1" applyFill="1" applyBorder="1" applyAlignment="1">
      <alignment horizontal="left" indent="3"/>
    </xf>
    <xf numFmtId="164" fontId="23" fillId="0" borderId="14" xfId="0" applyNumberFormat="1" applyFont="1" applyBorder="1"/>
    <xf numFmtId="164" fontId="25" fillId="0" borderId="14" xfId="0" applyNumberFormat="1" applyFont="1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right"/>
    </xf>
    <xf numFmtId="2" fontId="0" fillId="0" borderId="14" xfId="0" applyNumberFormat="1" applyBorder="1"/>
    <xf numFmtId="0" fontId="0" fillId="0" borderId="14" xfId="0" applyFill="1" applyBorder="1" applyAlignment="1">
      <alignment horizontal="left"/>
    </xf>
    <xf numFmtId="164" fontId="0" fillId="0" borderId="6" xfId="0" applyNumberFormat="1" applyFill="1" applyBorder="1"/>
    <xf numFmtId="1" fontId="0" fillId="0" borderId="0" xfId="0" applyNumberFormat="1"/>
    <xf numFmtId="1" fontId="0" fillId="0" borderId="0" xfId="0" applyNumberFormat="1" applyBorder="1"/>
    <xf numFmtId="164" fontId="26" fillId="0" borderId="0" xfId="0" applyNumberFormat="1" applyFont="1"/>
    <xf numFmtId="168" fontId="0" fillId="0" borderId="0" xfId="0" applyNumberFormat="1"/>
    <xf numFmtId="164" fontId="3" fillId="0" borderId="14" xfId="0" applyNumberFormat="1" applyFont="1" applyBorder="1"/>
    <xf numFmtId="0" fontId="3" fillId="0" borderId="14" xfId="0" applyFont="1" applyBorder="1"/>
    <xf numFmtId="164" fontId="29" fillId="0" borderId="0" xfId="0" applyNumberFormat="1" applyFont="1"/>
    <xf numFmtId="167" fontId="3" fillId="0" borderId="14" xfId="0" applyNumberFormat="1" applyFont="1" applyBorder="1" applyAlignment="1">
      <alignment wrapText="1" shrinkToFit="1"/>
    </xf>
    <xf numFmtId="0" fontId="3" fillId="19" borderId="14" xfId="0" applyFont="1" applyFill="1" applyBorder="1" applyAlignment="1">
      <alignment horizontal="left" indent="3"/>
    </xf>
    <xf numFmtId="0" fontId="3" fillId="0" borderId="12" xfId="0" applyFont="1" applyBorder="1"/>
    <xf numFmtId="169" fontId="0" fillId="0" borderId="0" xfId="0" applyNumberFormat="1"/>
    <xf numFmtId="2" fontId="5" fillId="0" borderId="5" xfId="0" applyNumberFormat="1" applyFont="1" applyBorder="1"/>
    <xf numFmtId="170" fontId="5" fillId="0" borderId="0" xfId="8" applyNumberFormat="1" applyFont="1" applyBorder="1"/>
    <xf numFmtId="0" fontId="11" fillId="0" borderId="0" xfId="0" applyFont="1"/>
    <xf numFmtId="165" fontId="5" fillId="0" borderId="0" xfId="8" applyNumberFormat="1" applyFont="1" applyBorder="1"/>
    <xf numFmtId="165" fontId="8" fillId="0" borderId="5" xfId="8" applyNumberFormat="1" applyFont="1" applyBorder="1"/>
    <xf numFmtId="165" fontId="4" fillId="7" borderId="6" xfId="8" applyNumberFormat="1" applyFont="1" applyFill="1" applyBorder="1" applyAlignment="1">
      <alignment vertical="center"/>
    </xf>
    <xf numFmtId="165" fontId="4" fillId="7" borderId="5" xfId="8" applyNumberFormat="1" applyFont="1" applyFill="1" applyBorder="1" applyAlignment="1">
      <alignment vertical="center"/>
    </xf>
    <xf numFmtId="165" fontId="4" fillId="7" borderId="6" xfId="8" applyNumberFormat="1" applyFont="1" applyFill="1" applyBorder="1" applyAlignment="1">
      <alignment horizontal="center" vertical="center"/>
    </xf>
    <xf numFmtId="165" fontId="4" fillId="7" borderId="5" xfId="8" applyNumberFormat="1" applyFont="1" applyFill="1" applyBorder="1" applyAlignment="1">
      <alignment horizontal="center" vertical="center"/>
    </xf>
    <xf numFmtId="165" fontId="5" fillId="9" borderId="6" xfId="8" applyNumberFormat="1" applyFont="1" applyFill="1" applyBorder="1" applyAlignment="1">
      <alignment vertical="center"/>
    </xf>
    <xf numFmtId="165" fontId="5" fillId="9" borderId="5" xfId="8" applyNumberFormat="1" applyFont="1" applyFill="1" applyBorder="1" applyAlignment="1">
      <alignment vertical="center"/>
    </xf>
    <xf numFmtId="165" fontId="5" fillId="9" borderId="6" xfId="8" applyNumberFormat="1" applyFont="1" applyFill="1" applyBorder="1" applyAlignment="1">
      <alignment horizontal="center" vertical="center"/>
    </xf>
    <xf numFmtId="165" fontId="5" fillId="0" borderId="5" xfId="0" applyNumberFormat="1" applyFont="1" applyBorder="1"/>
    <xf numFmtId="165" fontId="5" fillId="0" borderId="6" xfId="0" applyNumberFormat="1" applyFont="1" applyBorder="1"/>
    <xf numFmtId="165" fontId="5" fillId="0" borderId="7" xfId="0" applyNumberFormat="1" applyFont="1" applyBorder="1"/>
    <xf numFmtId="165" fontId="5" fillId="0" borderId="5" xfId="8" applyNumberFormat="1" applyFont="1" applyBorder="1"/>
    <xf numFmtId="165" fontId="5" fillId="0" borderId="6" xfId="8" applyNumberFormat="1" applyFont="1" applyBorder="1"/>
    <xf numFmtId="165" fontId="5" fillId="0" borderId="7" xfId="8" applyNumberFormat="1" applyFont="1" applyBorder="1"/>
    <xf numFmtId="165" fontId="0" fillId="0" borderId="0" xfId="0" applyNumberFormat="1"/>
    <xf numFmtId="165" fontId="0" fillId="0" borderId="0" xfId="0" applyNumberFormat="1" applyFill="1"/>
    <xf numFmtId="165" fontId="0" fillId="16" borderId="0" xfId="0" applyNumberFormat="1" applyFill="1"/>
    <xf numFmtId="164" fontId="5" fillId="8" borderId="6" xfId="8" applyNumberFormat="1" applyFont="1" applyFill="1" applyBorder="1" applyAlignment="1">
      <alignment vertical="center"/>
    </xf>
    <xf numFmtId="0" fontId="5" fillId="0" borderId="5" xfId="8" applyFont="1" applyFill="1" applyBorder="1"/>
    <xf numFmtId="164" fontId="5" fillId="0" borderId="5" xfId="8" applyNumberFormat="1" applyFont="1" applyFill="1" applyBorder="1"/>
    <xf numFmtId="0" fontId="5" fillId="0" borderId="0" xfId="8" applyFont="1" applyFill="1" applyBorder="1"/>
    <xf numFmtId="0" fontId="5" fillId="0" borderId="0" xfId="0" applyFont="1" applyFill="1" applyBorder="1"/>
    <xf numFmtId="164" fontId="5" fillId="0" borderId="0" xfId="0" applyNumberFormat="1" applyFont="1" applyFill="1" applyBorder="1"/>
    <xf numFmtId="2" fontId="5" fillId="0" borderId="5" xfId="0" applyNumberFormat="1" applyFont="1" applyFill="1" applyBorder="1"/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64" fontId="5" fillId="8" borderId="6" xfId="8" applyNumberFormat="1" applyFont="1" applyFill="1" applyBorder="1" applyAlignment="1">
      <alignment horizontal="center" vertical="center"/>
    </xf>
    <xf numFmtId="171" fontId="0" fillId="0" borderId="0" xfId="0" applyNumberFormat="1"/>
    <xf numFmtId="2" fontId="30" fillId="0" borderId="0" xfId="0" applyNumberFormat="1" applyFont="1" applyFill="1"/>
    <xf numFmtId="2" fontId="29" fillId="0" borderId="0" xfId="0" applyNumberFormat="1" applyFont="1"/>
    <xf numFmtId="164" fontId="3" fillId="0" borderId="14" xfId="0" applyNumberFormat="1" applyFont="1" applyFill="1" applyBorder="1"/>
    <xf numFmtId="0" fontId="0" fillId="0" borderId="14" xfId="0" applyFill="1" applyBorder="1"/>
    <xf numFmtId="164" fontId="0" fillId="0" borderId="14" xfId="0" applyNumberFormat="1" applyFill="1" applyBorder="1"/>
    <xf numFmtId="2" fontId="5" fillId="0" borderId="0" xfId="7" applyNumberFormat="1" applyFont="1" applyBorder="1" applyAlignment="1">
      <alignment horizontal="right"/>
    </xf>
    <xf numFmtId="2" fontId="5" fillId="8" borderId="6" xfId="8" applyNumberFormat="1" applyFont="1" applyFill="1" applyBorder="1" applyAlignment="1">
      <alignment vertical="center"/>
    </xf>
    <xf numFmtId="2" fontId="5" fillId="7" borderId="6" xfId="8" applyNumberFormat="1" applyFont="1" applyFill="1" applyBorder="1" applyAlignment="1">
      <alignment vertical="center"/>
    </xf>
    <xf numFmtId="164" fontId="4" fillId="8" borderId="0" xfId="8" applyNumberFormat="1" applyFont="1" applyFill="1" applyBorder="1" applyAlignment="1">
      <alignment vertical="center"/>
    </xf>
    <xf numFmtId="164" fontId="5" fillId="8" borderId="0" xfId="0" applyNumberFormat="1" applyFont="1" applyFill="1" applyAlignment="1">
      <alignment vertical="center"/>
    </xf>
    <xf numFmtId="164" fontId="31" fillId="0" borderId="0" xfId="0" applyNumberFormat="1" applyFont="1"/>
    <xf numFmtId="0" fontId="31" fillId="0" borderId="0" xfId="0" applyFont="1"/>
    <xf numFmtId="164" fontId="31" fillId="0" borderId="7" xfId="0" applyNumberFormat="1" applyFont="1" applyBorder="1"/>
    <xf numFmtId="164" fontId="5" fillId="8" borderId="15" xfId="0" applyNumberFormat="1" applyFont="1" applyFill="1" applyBorder="1"/>
    <xf numFmtId="164" fontId="32" fillId="0" borderId="7" xfId="0" applyNumberFormat="1" applyFont="1" applyBorder="1"/>
    <xf numFmtId="1" fontId="16" fillId="0" borderId="0" xfId="0" applyNumberFormat="1" applyFont="1"/>
    <xf numFmtId="164" fontId="18" fillId="8" borderId="7" xfId="0" applyNumberFormat="1" applyFont="1" applyFill="1" applyBorder="1"/>
    <xf numFmtId="164" fontId="5" fillId="8" borderId="14" xfId="0" applyNumberFormat="1" applyFont="1" applyFill="1" applyBorder="1"/>
    <xf numFmtId="0" fontId="18" fillId="0" borderId="0" xfId="0" applyFont="1" applyFill="1" applyAlignment="1">
      <alignment horizontal="right"/>
    </xf>
    <xf numFmtId="2" fontId="5" fillId="9" borderId="6" xfId="8" applyNumberFormat="1" applyFont="1" applyFill="1" applyBorder="1" applyAlignment="1">
      <alignment horizontal="center" vertical="center"/>
    </xf>
    <xf numFmtId="2" fontId="5" fillId="0" borderId="0" xfId="7" applyNumberFormat="1" applyFont="1" applyAlignment="1">
      <alignment horizontal="center" vertical="center"/>
    </xf>
    <xf numFmtId="2" fontId="5" fillId="9" borderId="7" xfId="8" applyNumberFormat="1" applyFont="1" applyFill="1" applyBorder="1" applyAlignment="1">
      <alignment horizontal="center" vertical="center"/>
    </xf>
    <xf numFmtId="2" fontId="5" fillId="7" borderId="6" xfId="8" applyNumberFormat="1" applyFont="1" applyFill="1" applyBorder="1" applyAlignment="1">
      <alignment horizontal="center" vertical="center"/>
    </xf>
    <xf numFmtId="2" fontId="4" fillId="0" borderId="0" xfId="7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9" borderId="5" xfId="8" applyNumberFormat="1" applyFont="1" applyFill="1" applyBorder="1" applyAlignment="1">
      <alignment horizontal="center" vertical="center"/>
    </xf>
    <xf numFmtId="164" fontId="5" fillId="7" borderId="7" xfId="8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2" fontId="16" fillId="0" borderId="14" xfId="0" applyNumberFormat="1" applyFont="1" applyBorder="1"/>
    <xf numFmtId="164" fontId="33" fillId="0" borderId="0" xfId="0" applyNumberFormat="1" applyFont="1"/>
    <xf numFmtId="2" fontId="24" fillId="0" borderId="14" xfId="0" applyNumberFormat="1" applyFont="1" applyBorder="1"/>
    <xf numFmtId="2" fontId="34" fillId="0" borderId="5" xfId="7" applyNumberFormat="1" applyFont="1" applyBorder="1"/>
    <xf numFmtId="164" fontId="30" fillId="0" borderId="0" xfId="0" applyNumberFormat="1" applyFont="1" applyFill="1"/>
    <xf numFmtId="164" fontId="10" fillId="0" borderId="0" xfId="0" applyNumberFormat="1" applyFont="1"/>
    <xf numFmtId="2" fontId="31" fillId="0" borderId="0" xfId="0" applyNumberFormat="1" applyFont="1"/>
    <xf numFmtId="164" fontId="5" fillId="0" borderId="15" xfId="0" applyNumberFormat="1" applyFont="1" applyFill="1" applyBorder="1"/>
    <xf numFmtId="164" fontId="18" fillId="0" borderId="7" xfId="0" applyNumberFormat="1" applyFont="1" applyFill="1" applyBorder="1"/>
    <xf numFmtId="2" fontId="1" fillId="3" borderId="0" xfId="8" applyNumberFormat="1" applyFont="1" applyFill="1" applyBorder="1" applyAlignment="1">
      <alignment horizontal="center" vertical="center" wrapText="1"/>
    </xf>
    <xf numFmtId="9" fontId="5" fillId="0" borderId="0" xfId="9" applyFont="1" applyBorder="1"/>
    <xf numFmtId="0" fontId="1" fillId="3" borderId="0" xfId="8" applyFont="1" applyFill="1" applyBorder="1" applyAlignment="1">
      <alignment horizontal="center" vertical="center" wrapText="1"/>
    </xf>
    <xf numFmtId="165" fontId="9" fillId="0" borderId="5" xfId="8" applyNumberFormat="1" applyFont="1" applyBorder="1"/>
    <xf numFmtId="165" fontId="5" fillId="0" borderId="0" xfId="9" applyNumberFormat="1" applyFont="1" applyBorder="1" applyAlignment="1">
      <alignment horizontal="center"/>
    </xf>
    <xf numFmtId="1" fontId="5" fillId="0" borderId="5" xfId="8" applyNumberFormat="1" applyFont="1" applyFill="1" applyBorder="1"/>
    <xf numFmtId="165" fontId="5" fillId="0" borderId="0" xfId="9" applyNumberFormat="1" applyFont="1" applyBorder="1"/>
    <xf numFmtId="165" fontId="5" fillId="0" borderId="0" xfId="0" applyNumberFormat="1" applyFont="1" applyBorder="1" applyAlignment="1">
      <alignment horizontal="right" vertical="center"/>
    </xf>
    <xf numFmtId="172" fontId="0" fillId="16" borderId="0" xfId="0" applyNumberFormat="1" applyFill="1"/>
    <xf numFmtId="165" fontId="12" fillId="15" borderId="0" xfId="0" applyNumberFormat="1" applyFont="1" applyFill="1" applyAlignment="1">
      <alignment horizontal="center"/>
    </xf>
    <xf numFmtId="0" fontId="16" fillId="0" borderId="8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" xfId="7" applyFont="1" applyBorder="1" applyAlignment="1"/>
    <xf numFmtId="0" fontId="3" fillId="0" borderId="4" xfId="7" applyBorder="1" applyAlignment="1"/>
    <xf numFmtId="0" fontId="5" fillId="0" borderId="2" xfId="7" applyFont="1" applyBorder="1" applyAlignment="1">
      <alignment horizontal="center" vertical="center"/>
    </xf>
    <xf numFmtId="0" fontId="5" fillId="0" borderId="4" xfId="7" applyFont="1" applyBorder="1" applyAlignment="1">
      <alignment horizontal="center" vertical="center"/>
    </xf>
    <xf numFmtId="0" fontId="5" fillId="0" borderId="1" xfId="7" applyFont="1" applyBorder="1" applyAlignment="1">
      <alignment horizontal="center" vertical="center"/>
    </xf>
    <xf numFmtId="2" fontId="4" fillId="0" borderId="0" xfId="8" applyNumberFormat="1" applyFont="1" applyBorder="1" applyAlignment="1">
      <alignment horizontal="center" vertical="center"/>
    </xf>
    <xf numFmtId="2" fontId="4" fillId="0" borderId="0" xfId="7" applyNumberFormat="1" applyFont="1" applyBorder="1" applyAlignment="1">
      <alignment horizontal="center" vertical="center"/>
    </xf>
    <xf numFmtId="2" fontId="5" fillId="0" borderId="0" xfId="7" applyNumberFormat="1" applyFont="1" applyAlignment="1">
      <alignment horizontal="center" vertical="center"/>
    </xf>
    <xf numFmtId="2" fontId="1" fillId="3" borderId="0" xfId="8" applyNumberFormat="1" applyFont="1" applyFill="1" applyBorder="1" applyAlignment="1">
      <alignment horizontal="center" vertical="center"/>
    </xf>
    <xf numFmtId="2" fontId="5" fillId="3" borderId="0" xfId="7" applyNumberFormat="1" applyFont="1" applyFill="1" applyBorder="1" applyAlignment="1">
      <alignment horizontal="center" vertical="center"/>
    </xf>
    <xf numFmtId="2" fontId="5" fillId="3" borderId="5" xfId="7" applyNumberFormat="1" applyFont="1" applyFill="1" applyBorder="1" applyAlignment="1">
      <alignment horizontal="center" vertical="center"/>
    </xf>
    <xf numFmtId="2" fontId="8" fillId="4" borderId="0" xfId="8" applyNumberFormat="1" applyFont="1" applyFill="1" applyBorder="1" applyAlignment="1">
      <alignment horizontal="center" vertical="center"/>
    </xf>
    <xf numFmtId="2" fontId="5" fillId="0" borderId="0" xfId="7" applyNumberFormat="1" applyFont="1" applyAlignment="1"/>
    <xf numFmtId="2" fontId="8" fillId="4" borderId="5" xfId="8" applyNumberFormat="1" applyFont="1" applyFill="1" applyBorder="1" applyAlignment="1">
      <alignment horizontal="center" vertical="center"/>
    </xf>
    <xf numFmtId="2" fontId="5" fillId="0" borderId="0" xfId="7" applyNumberFormat="1" applyFont="1" applyBorder="1" applyAlignment="1">
      <alignment horizontal="center" vertical="center"/>
    </xf>
    <xf numFmtId="2" fontId="5" fillId="0" borderId="7" xfId="7" applyNumberFormat="1" applyFont="1" applyBorder="1" applyAlignment="1">
      <alignment horizontal="center" vertical="center"/>
    </xf>
    <xf numFmtId="2" fontId="5" fillId="0" borderId="5" xfId="7" applyNumberFormat="1" applyFont="1" applyBorder="1" applyAlignment="1">
      <alignment horizontal="center" vertical="center"/>
    </xf>
    <xf numFmtId="2" fontId="8" fillId="5" borderId="5" xfId="8" applyNumberFormat="1" applyFont="1" applyFill="1" applyBorder="1" applyAlignment="1">
      <alignment horizontal="center" vertical="center"/>
    </xf>
    <xf numFmtId="2" fontId="8" fillId="3" borderId="5" xfId="8" applyNumberFormat="1" applyFont="1" applyFill="1" applyBorder="1" applyAlignment="1">
      <alignment horizontal="center" vertical="center"/>
    </xf>
    <xf numFmtId="2" fontId="5" fillId="11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5" fillId="7" borderId="0" xfId="8" applyNumberFormat="1" applyFont="1" applyFill="1" applyBorder="1" applyAlignment="1">
      <alignment horizontal="center" vertical="center" wrapText="1"/>
    </xf>
    <xf numFmtId="2" fontId="5" fillId="7" borderId="0" xfId="8" applyNumberFormat="1" applyFont="1" applyFill="1" applyBorder="1" applyAlignment="1">
      <alignment horizontal="center" vertical="center"/>
    </xf>
    <xf numFmtId="2" fontId="4" fillId="7" borderId="7" xfId="8" applyNumberFormat="1" applyFont="1" applyFill="1" applyBorder="1" applyAlignment="1">
      <alignment horizontal="center" vertical="center"/>
    </xf>
    <xf numFmtId="2" fontId="4" fillId="7" borderId="6" xfId="8" applyNumberFormat="1" applyFont="1" applyFill="1" applyBorder="1" applyAlignment="1">
      <alignment horizontal="center" vertical="center"/>
    </xf>
    <xf numFmtId="2" fontId="5" fillId="7" borderId="6" xfId="8" applyNumberFormat="1" applyFont="1" applyFill="1" applyBorder="1" applyAlignment="1">
      <alignment horizontal="center" vertical="center"/>
    </xf>
    <xf numFmtId="2" fontId="4" fillId="8" borderId="6" xfId="8" applyNumberFormat="1" applyFont="1" applyFill="1" applyBorder="1" applyAlignment="1">
      <alignment horizontal="center" vertical="center"/>
    </xf>
    <xf numFmtId="2" fontId="5" fillId="8" borderId="6" xfId="8" applyNumberFormat="1" applyFont="1" applyFill="1" applyBorder="1" applyAlignment="1">
      <alignment horizontal="center" vertical="center"/>
    </xf>
    <xf numFmtId="2" fontId="4" fillId="8" borderId="7" xfId="8" applyNumberFormat="1" applyFont="1" applyFill="1" applyBorder="1" applyAlignment="1">
      <alignment horizontal="center" vertical="center"/>
    </xf>
    <xf numFmtId="2" fontId="4" fillId="8" borderId="0" xfId="8" applyNumberFormat="1" applyFont="1" applyFill="1" applyBorder="1" applyAlignment="1">
      <alignment horizontal="center" vertical="center"/>
    </xf>
    <xf numFmtId="2" fontId="4" fillId="8" borderId="0" xfId="6" applyNumberFormat="1" applyFont="1" applyFill="1" applyBorder="1" applyAlignment="1">
      <alignment horizontal="center" vertical="center"/>
    </xf>
    <xf numFmtId="2" fontId="4" fillId="9" borderId="7" xfId="8" applyNumberFormat="1" applyFont="1" applyFill="1" applyBorder="1" applyAlignment="1">
      <alignment horizontal="center" vertical="center"/>
    </xf>
    <xf numFmtId="2" fontId="4" fillId="10" borderId="0" xfId="8" applyNumberFormat="1" applyFont="1" applyFill="1" applyBorder="1" applyAlignment="1">
      <alignment horizontal="center" vertical="center"/>
    </xf>
    <xf numFmtId="2" fontId="5" fillId="9" borderId="7" xfId="8" applyNumberFormat="1" applyFont="1" applyFill="1" applyBorder="1" applyAlignment="1">
      <alignment horizontal="center" vertical="center"/>
    </xf>
    <xf numFmtId="2" fontId="5" fillId="8" borderId="0" xfId="8" applyNumberFormat="1" applyFont="1" applyFill="1" applyBorder="1" applyAlignment="1">
      <alignment horizontal="center" vertical="center" wrapText="1"/>
    </xf>
    <xf numFmtId="2" fontId="5" fillId="9" borderId="6" xfId="8" applyNumberFormat="1" applyFont="1" applyFill="1" applyBorder="1" applyAlignment="1">
      <alignment horizontal="center" vertical="center"/>
    </xf>
    <xf numFmtId="2" fontId="4" fillId="10" borderId="0" xfId="7" applyNumberFormat="1" applyFont="1" applyFill="1" applyBorder="1" applyAlignment="1"/>
    <xf numFmtId="2" fontId="5" fillId="9" borderId="0" xfId="8" applyNumberFormat="1" applyFont="1" applyFill="1" applyBorder="1" applyAlignment="1">
      <alignment horizontal="center" vertical="center" wrapText="1"/>
    </xf>
    <xf numFmtId="2" fontId="5" fillId="9" borderId="0" xfId="8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4" fillId="9" borderId="6" xfId="8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8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64" fontId="4" fillId="8" borderId="0" xfId="8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8" fillId="5" borderId="5" xfId="8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4" fillId="7" borderId="5" xfId="8" applyNumberFormat="1" applyFont="1" applyFill="1" applyBorder="1" applyAlignment="1">
      <alignment horizontal="center" vertical="center"/>
    </xf>
    <xf numFmtId="165" fontId="5" fillId="8" borderId="5" xfId="8" applyNumberFormat="1" applyFont="1" applyFill="1" applyBorder="1" applyAlignment="1">
      <alignment horizontal="center" vertical="center"/>
    </xf>
    <xf numFmtId="0" fontId="4" fillId="0" borderId="0" xfId="8" applyFont="1" applyBorder="1" applyAlignment="1">
      <alignment horizontal="center" vertical="center"/>
    </xf>
    <xf numFmtId="164" fontId="5" fillId="9" borderId="6" xfId="8" applyNumberFormat="1" applyFont="1" applyFill="1" applyBorder="1" applyAlignment="1">
      <alignment horizontal="center" vertical="center"/>
    </xf>
    <xf numFmtId="164" fontId="5" fillId="9" borderId="7" xfId="8" applyNumberFormat="1" applyFont="1" applyFill="1" applyBorder="1" applyAlignment="1">
      <alignment horizontal="center" vertical="center"/>
    </xf>
    <xf numFmtId="0" fontId="8" fillId="4" borderId="5" xfId="8" applyFont="1" applyFill="1" applyBorder="1" applyAlignment="1">
      <alignment horizontal="center" vertical="center"/>
    </xf>
    <xf numFmtId="164" fontId="5" fillId="7" borderId="7" xfId="8" applyNumberFormat="1" applyFont="1" applyFill="1" applyBorder="1" applyAlignment="1">
      <alignment horizontal="center" vertical="center"/>
    </xf>
    <xf numFmtId="164" fontId="5" fillId="8" borderId="5" xfId="8" applyNumberFormat="1" applyFont="1" applyFill="1" applyBorder="1" applyAlignment="1">
      <alignment horizontal="center" vertical="center"/>
    </xf>
    <xf numFmtId="1" fontId="5" fillId="8" borderId="6" xfId="8" applyNumberFormat="1" applyFont="1" applyFill="1" applyBorder="1" applyAlignment="1">
      <alignment horizontal="center" vertical="center"/>
    </xf>
    <xf numFmtId="164" fontId="5" fillId="8" borderId="7" xfId="8" applyNumberFormat="1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0" xfId="8" applyFont="1" applyFill="1" applyBorder="1" applyAlignment="1">
      <alignment horizontal="center" vertical="center" wrapText="1"/>
    </xf>
    <xf numFmtId="164" fontId="5" fillId="7" borderId="0" xfId="8" applyNumberFormat="1" applyFont="1" applyFill="1" applyBorder="1" applyAlignment="1">
      <alignment horizontal="center" vertical="center"/>
    </xf>
    <xf numFmtId="164" fontId="4" fillId="7" borderId="0" xfId="8" applyNumberFormat="1" applyFont="1" applyFill="1" applyBorder="1" applyAlignment="1">
      <alignment horizontal="center" vertical="center"/>
    </xf>
    <xf numFmtId="0" fontId="8" fillId="4" borderId="0" xfId="8" applyFont="1" applyFill="1" applyBorder="1" applyAlignment="1">
      <alignment horizontal="center" vertical="center"/>
    </xf>
    <xf numFmtId="0" fontId="5" fillId="0" borderId="0" xfId="0" applyFont="1" applyAlignment="1"/>
    <xf numFmtId="0" fontId="8" fillId="3" borderId="5" xfId="8" applyFont="1" applyFill="1" applyBorder="1" applyAlignment="1">
      <alignment horizontal="center" vertical="center"/>
    </xf>
    <xf numFmtId="165" fontId="5" fillId="9" borderId="7" xfId="8" applyNumberFormat="1" applyFont="1" applyFill="1" applyBorder="1" applyAlignment="1">
      <alignment horizontal="center" vertical="center"/>
    </xf>
    <xf numFmtId="172" fontId="4" fillId="9" borderId="5" xfId="8" applyNumberFormat="1" applyFont="1" applyFill="1" applyBorder="1" applyAlignment="1">
      <alignment horizontal="center" vertical="center"/>
    </xf>
    <xf numFmtId="165" fontId="5" fillId="9" borderId="5" xfId="8" applyNumberFormat="1" applyFont="1" applyFill="1" applyBorder="1" applyAlignment="1">
      <alignment horizontal="center" vertical="center"/>
    </xf>
    <xf numFmtId="165" fontId="4" fillId="8" borderId="5" xfId="8" applyNumberFormat="1" applyFont="1" applyFill="1" applyBorder="1" applyAlignment="1">
      <alignment horizontal="center" vertical="center"/>
    </xf>
    <xf numFmtId="164" fontId="4" fillId="10" borderId="0" xfId="8" applyNumberFormat="1" applyFont="1" applyFill="1" applyBorder="1" applyAlignment="1">
      <alignment horizontal="center" vertical="center"/>
    </xf>
    <xf numFmtId="0" fontId="4" fillId="10" borderId="0" xfId="0" applyFont="1" applyFill="1" applyBorder="1" applyAlignment="1"/>
    <xf numFmtId="164" fontId="4" fillId="10" borderId="7" xfId="8" applyNumberFormat="1" applyFont="1" applyFill="1" applyBorder="1" applyAlignment="1">
      <alignment horizontal="center" vertical="center"/>
    </xf>
    <xf numFmtId="0" fontId="4" fillId="10" borderId="7" xfId="0" applyFont="1" applyFill="1" applyBorder="1" applyAlignment="1"/>
    <xf numFmtId="0" fontId="5" fillId="8" borderId="0" xfId="8" applyFont="1" applyFill="1" applyBorder="1" applyAlignment="1">
      <alignment horizontal="center" vertical="center" wrapText="1"/>
    </xf>
    <xf numFmtId="0" fontId="5" fillId="9" borderId="0" xfId="8" applyFont="1" applyFill="1" applyBorder="1" applyAlignment="1">
      <alignment horizontal="center" vertical="center" wrapText="1"/>
    </xf>
    <xf numFmtId="164" fontId="4" fillId="9" borderId="0" xfId="8" applyNumberFormat="1" applyFont="1" applyFill="1" applyBorder="1" applyAlignment="1">
      <alignment horizontal="center" vertical="center"/>
    </xf>
    <xf numFmtId="164" fontId="5" fillId="9" borderId="0" xfId="8" applyNumberFormat="1" applyFont="1" applyFill="1" applyBorder="1" applyAlignment="1">
      <alignment horizontal="center" vertical="center"/>
    </xf>
    <xf numFmtId="164" fontId="5" fillId="9" borderId="5" xfId="8" applyNumberFormat="1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5" fillId="8" borderId="3" xfId="8" applyFont="1" applyFill="1" applyBorder="1" applyAlignment="1">
      <alignment horizontal="center" vertical="center" wrapText="1"/>
    </xf>
    <xf numFmtId="0" fontId="5" fillId="8" borderId="6" xfId="8" applyFont="1" applyFill="1" applyBorder="1" applyAlignment="1">
      <alignment horizontal="center" vertical="center" wrapText="1"/>
    </xf>
    <xf numFmtId="0" fontId="5" fillId="8" borderId="10" xfId="8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5" fillId="7" borderId="3" xfId="8" applyFont="1" applyFill="1" applyBorder="1" applyAlignment="1">
      <alignment horizontal="center" vertical="center" wrapText="1"/>
    </xf>
    <xf numFmtId="0" fontId="5" fillId="7" borderId="6" xfId="8" applyFont="1" applyFill="1" applyBorder="1" applyAlignment="1">
      <alignment horizontal="center" vertical="center" wrapText="1"/>
    </xf>
    <xf numFmtId="0" fontId="5" fillId="7" borderId="10" xfId="8" applyFon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3" fillId="14" borderId="9" xfId="0" applyFon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5" fillId="9" borderId="3" xfId="8" applyFont="1" applyFill="1" applyBorder="1" applyAlignment="1">
      <alignment horizontal="center" vertical="center" wrapText="1"/>
    </xf>
    <xf numFmtId="0" fontId="5" fillId="9" borderId="6" xfId="8" applyFont="1" applyFill="1" applyBorder="1" applyAlignment="1">
      <alignment horizontal="center" vertical="center" wrapText="1"/>
    </xf>
    <xf numFmtId="0" fontId="5" fillId="9" borderId="10" xfId="8" applyFont="1" applyFill="1" applyBorder="1" applyAlignment="1">
      <alignment horizontal="center" vertical="center" wrapText="1"/>
    </xf>
    <xf numFmtId="164" fontId="4" fillId="10" borderId="3" xfId="8" applyNumberFormat="1" applyFont="1" applyFill="1" applyBorder="1" applyAlignment="1">
      <alignment horizontal="center" vertical="center"/>
    </xf>
    <xf numFmtId="164" fontId="4" fillId="10" borderId="6" xfId="8" applyNumberFormat="1" applyFont="1" applyFill="1" applyBorder="1" applyAlignment="1">
      <alignment horizontal="center" vertical="center"/>
    </xf>
    <xf numFmtId="164" fontId="4" fillId="10" borderId="10" xfId="8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0" fillId="19" borderId="21" xfId="0" applyFont="1" applyFill="1" applyBorder="1" applyAlignment="1">
      <alignment vertical="center"/>
    </xf>
    <xf numFmtId="0" fontId="20" fillId="19" borderId="21" xfId="0" applyFont="1" applyFill="1" applyBorder="1" applyAlignment="1">
      <alignment vertical="center" wrapText="1"/>
    </xf>
    <xf numFmtId="0" fontId="20" fillId="19" borderId="19" xfId="0" applyFont="1" applyFill="1" applyBorder="1" applyAlignment="1">
      <alignment vertical="center"/>
    </xf>
  </cellXfs>
  <cellStyles count="10">
    <cellStyle name="Milliers 2" xfId="1"/>
    <cellStyle name="Milliers 3" xfId="6"/>
    <cellStyle name="Normal" xfId="0" builtinId="0"/>
    <cellStyle name="Normal 2" xfId="2"/>
    <cellStyle name="Normal 2 2" xfId="8"/>
    <cellStyle name="Normal 3" xfId="3"/>
    <cellStyle name="Normal 4" xfId="4"/>
    <cellStyle name="Normal 5" xfId="7"/>
    <cellStyle name="Pourcentage 2" xfId="5"/>
    <cellStyle name="Pourcentage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eptabilit&#233;%20mod&#233;r&#233;e%20ENR%20-%20tableau%20de%20flu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eme.intra\PARIS$\windows\temp\notes39779E\summaryvADEME_20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bles THREEME"/>
      <sheetName val="Indicateurs"/>
      <sheetName val="BILAN ENR Energie finale "/>
      <sheetName val="FLUX 2030"/>
      <sheetName val="FLUX 2050"/>
      <sheetName val="Détail 2010"/>
      <sheetName val="Détail 2030"/>
      <sheetName val="Détail 2050"/>
      <sheetName val="Primaire et final"/>
      <sheetName val="Sankey 2050"/>
    </sheetNames>
    <sheetDataSet>
      <sheetData sheetId="0"/>
      <sheetData sheetId="1"/>
      <sheetData sheetId="2">
        <row r="4">
          <cell r="C4">
            <v>150.90734760939765</v>
          </cell>
          <cell r="D4">
            <v>123.12387168308</v>
          </cell>
          <cell r="E4">
            <v>82.3</v>
          </cell>
        </row>
      </sheetData>
      <sheetData sheetId="3">
        <row r="5">
          <cell r="C5">
            <v>185.46950727357458</v>
          </cell>
        </row>
        <row r="7">
          <cell r="C7">
            <v>17.790614390095044</v>
          </cell>
          <cell r="K7">
            <v>9.8811809465741511</v>
          </cell>
          <cell r="N7">
            <v>44.503783170452913</v>
          </cell>
          <cell r="T7">
            <v>37.19133242311154</v>
          </cell>
          <cell r="W7">
            <v>1.016531561718043</v>
          </cell>
          <cell r="X7">
            <v>10.311534772019041</v>
          </cell>
          <cell r="Y7">
            <v>12.41847498431887</v>
          </cell>
          <cell r="Z7">
            <v>11.337844736770206</v>
          </cell>
          <cell r="AA7">
            <v>2.1069463682853788</v>
          </cell>
        </row>
        <row r="8">
          <cell r="C8">
            <v>9.8811809465741511</v>
          </cell>
          <cell r="K8">
            <v>5.6060607451821554</v>
          </cell>
        </row>
        <row r="9">
          <cell r="C9">
            <v>5.2402783603977552</v>
          </cell>
          <cell r="K9">
            <v>4.9805941041412307</v>
          </cell>
        </row>
        <row r="10">
          <cell r="C10">
            <v>2.9728770060540635</v>
          </cell>
          <cell r="K10">
            <v>18.770720483192708</v>
          </cell>
        </row>
        <row r="11">
          <cell r="C11">
            <v>5.6060607451821554</v>
          </cell>
          <cell r="K11">
            <v>0.38701501216518369</v>
          </cell>
        </row>
        <row r="12">
          <cell r="C12">
            <v>4.9805941041412307</v>
          </cell>
          <cell r="K12">
            <v>0.24780556162703113</v>
          </cell>
        </row>
        <row r="13">
          <cell r="C13">
            <v>3</v>
          </cell>
          <cell r="K13">
            <v>0.9999322943089699</v>
          </cell>
        </row>
        <row r="14">
          <cell r="C14">
            <v>1.8351839637785343</v>
          </cell>
          <cell r="K14">
            <v>4.728770060540629E-2</v>
          </cell>
        </row>
        <row r="15">
          <cell r="C15">
            <v>0.9710985890996503</v>
          </cell>
          <cell r="K15">
            <v>0.97194045275411034</v>
          </cell>
        </row>
        <row r="16">
          <cell r="C16">
            <v>1.4764726960921883</v>
          </cell>
          <cell r="K16">
            <v>4.5866694214482053E-55</v>
          </cell>
        </row>
        <row r="17">
          <cell r="C17">
            <v>0.97194045275411034</v>
          </cell>
        </row>
        <row r="19">
          <cell r="C19">
            <v>56.880971161190033</v>
          </cell>
          <cell r="K19">
            <v>1.4397864104424805</v>
          </cell>
        </row>
        <row r="20">
          <cell r="C20">
            <v>21.764525227351164</v>
          </cell>
        </row>
        <row r="21">
          <cell r="C21">
            <v>42.902964288492512</v>
          </cell>
          <cell r="K21">
            <v>3.8522516721040949</v>
          </cell>
          <cell r="N21">
            <v>27.175566957398235</v>
          </cell>
          <cell r="T21">
            <v>21.503648613169407</v>
          </cell>
          <cell r="W21">
            <v>0.96458100088211896</v>
          </cell>
          <cell r="X21">
            <v>8.9236666721468829</v>
          </cell>
          <cell r="Y21">
            <v>8.2001969126280194</v>
          </cell>
          <cell r="Z21">
            <v>3.4152040275123836</v>
          </cell>
        </row>
        <row r="22">
          <cell r="C22">
            <v>7.718272646279785</v>
          </cell>
        </row>
        <row r="23">
          <cell r="C23">
            <v>1.4764726960921883</v>
          </cell>
          <cell r="K23">
            <v>1.5587900579429763</v>
          </cell>
        </row>
        <row r="24">
          <cell r="K24">
            <v>21.764525227351164</v>
          </cell>
        </row>
        <row r="26">
          <cell r="G26">
            <v>0.4</v>
          </cell>
          <cell r="H26">
            <v>8.8794183697658475</v>
          </cell>
          <cell r="T26">
            <v>6.3485925652398123</v>
          </cell>
        </row>
        <row r="27">
          <cell r="G27">
            <v>0.76570000000000005</v>
          </cell>
        </row>
        <row r="28">
          <cell r="G28">
            <v>0.4</v>
          </cell>
        </row>
        <row r="29">
          <cell r="G29">
            <v>3.9619410319015076</v>
          </cell>
        </row>
        <row r="30">
          <cell r="G30">
            <v>1</v>
          </cell>
        </row>
        <row r="31">
          <cell r="G31">
            <v>0.155</v>
          </cell>
        </row>
        <row r="32">
          <cell r="G32">
            <v>2.1967773378643396</v>
          </cell>
        </row>
        <row r="34">
          <cell r="K34">
            <v>0.3</v>
          </cell>
          <cell r="X34">
            <v>0.3</v>
          </cell>
        </row>
        <row r="35">
          <cell r="K35">
            <v>10.125220416308462</v>
          </cell>
        </row>
        <row r="36">
          <cell r="K36">
            <v>0.81609858909965027</v>
          </cell>
        </row>
        <row r="37">
          <cell r="K37">
            <v>1.5</v>
          </cell>
        </row>
        <row r="38">
          <cell r="K38">
            <v>1.8351839637785343</v>
          </cell>
        </row>
        <row r="39">
          <cell r="K39">
            <v>3</v>
          </cell>
        </row>
        <row r="40">
          <cell r="K40">
            <v>31.288317962314391</v>
          </cell>
        </row>
        <row r="41">
          <cell r="K41">
            <v>7.9369031994480084</v>
          </cell>
        </row>
        <row r="42">
          <cell r="K42">
            <v>0.86944701578796535</v>
          </cell>
        </row>
        <row r="43">
          <cell r="K43">
            <v>5.0588131868202808</v>
          </cell>
          <cell r="X43">
            <v>5.0087892394540097</v>
          </cell>
          <cell r="Y43">
            <v>7.830094102733021E-3</v>
          </cell>
          <cell r="Z43">
            <v>4.2193853263537952E-2</v>
          </cell>
        </row>
      </sheetData>
      <sheetData sheetId="4">
        <row r="5">
          <cell r="C5">
            <v>103.36836145177814</v>
          </cell>
        </row>
        <row r="7">
          <cell r="C7">
            <v>22.223518090888057</v>
          </cell>
          <cell r="K7">
            <v>19.904163043287927</v>
          </cell>
          <cell r="L7">
            <v>42.148069557916514</v>
          </cell>
          <cell r="T7">
            <v>33.870771535719463</v>
          </cell>
        </row>
        <row r="8">
          <cell r="C8">
            <v>19.904163043287927</v>
          </cell>
          <cell r="K8">
            <v>5.268713384767346</v>
          </cell>
        </row>
        <row r="9">
          <cell r="C9">
            <v>8.7049110195726911</v>
          </cell>
          <cell r="K9">
            <v>10.388370354887599</v>
          </cell>
        </row>
        <row r="10">
          <cell r="C10">
            <v>5.1170360000000015</v>
          </cell>
          <cell r="K10">
            <v>0</v>
          </cell>
        </row>
        <row r="11">
          <cell r="C11">
            <v>5.268713384767346</v>
          </cell>
          <cell r="K11">
            <v>0.69056208237301209</v>
          </cell>
        </row>
        <row r="12">
          <cell r="C12">
            <v>10.388370354887599</v>
          </cell>
          <cell r="K12">
            <v>0.32319143999999994</v>
          </cell>
          <cell r="W12">
            <v>0.94515090536000534</v>
          </cell>
          <cell r="X12">
            <v>7.7588297049098616</v>
          </cell>
          <cell r="Y12">
            <v>9.4772858964735089</v>
          </cell>
          <cell r="Z12">
            <v>10.516951892369516</v>
          </cell>
          <cell r="AA12">
            <v>5.1725531366065756</v>
          </cell>
        </row>
        <row r="13">
          <cell r="C13">
            <v>2.9995839860144065</v>
          </cell>
          <cell r="K13">
            <v>2.0040977482282001</v>
          </cell>
        </row>
        <row r="14">
          <cell r="C14">
            <v>2.3611427691146649</v>
          </cell>
          <cell r="K14">
            <v>0.10170360000000001</v>
          </cell>
        </row>
        <row r="15">
          <cell r="C15">
            <v>1.8119253317839281</v>
          </cell>
          <cell r="K15">
            <v>2.0777339018465657</v>
          </cell>
        </row>
        <row r="16">
          <cell r="C16">
            <v>1.5992791903454238</v>
          </cell>
          <cell r="K16">
            <v>0</v>
          </cell>
        </row>
        <row r="19">
          <cell r="C19">
            <v>0</v>
          </cell>
          <cell r="K19">
            <v>6.7772450953540027</v>
          </cell>
        </row>
        <row r="20">
          <cell r="W20"/>
          <cell r="X20"/>
          <cell r="Y20"/>
          <cell r="Z20"/>
          <cell r="AA20"/>
        </row>
        <row r="21">
          <cell r="C21">
            <v>5.9074343177858619</v>
          </cell>
          <cell r="K21">
            <v>3.3934142841662536</v>
          </cell>
          <cell r="L21"/>
          <cell r="S21"/>
          <cell r="T21"/>
        </row>
        <row r="22">
          <cell r="C22">
            <v>4.0201856086575631</v>
          </cell>
          <cell r="K22">
            <v>9.3850852624806684</v>
          </cell>
        </row>
        <row r="23">
          <cell r="C23">
            <v>1.5992791903454238</v>
          </cell>
          <cell r="K23"/>
          <cell r="O23"/>
        </row>
        <row r="24">
          <cell r="K24">
            <v>0.34</v>
          </cell>
        </row>
        <row r="26">
          <cell r="G26">
            <v>0.5</v>
          </cell>
          <cell r="H26"/>
          <cell r="T26"/>
        </row>
        <row r="27">
          <cell r="G27">
            <v>3.7764924876660331</v>
          </cell>
        </row>
        <row r="28">
          <cell r="G28">
            <v>2.2999999999999998</v>
          </cell>
        </row>
        <row r="29">
          <cell r="G29">
            <v>0.2</v>
          </cell>
          <cell r="X29"/>
          <cell r="Y29"/>
          <cell r="Z29"/>
        </row>
        <row r="30">
          <cell r="G30">
            <v>0</v>
          </cell>
        </row>
        <row r="31">
          <cell r="G31"/>
        </row>
        <row r="32">
          <cell r="G32">
            <v>0.30000000000000004</v>
          </cell>
        </row>
        <row r="34">
          <cell r="K34">
            <v>1.6119253317839282</v>
          </cell>
          <cell r="X34">
            <v>0.49</v>
          </cell>
        </row>
        <row r="35">
          <cell r="K35">
            <v>1.8</v>
          </cell>
          <cell r="W35"/>
          <cell r="X35"/>
          <cell r="Y35">
            <v>0.75</v>
          </cell>
          <cell r="Z35">
            <v>1.05</v>
          </cell>
        </row>
        <row r="36">
          <cell r="K36">
            <v>2.3611427691146649</v>
          </cell>
          <cell r="X36"/>
          <cell r="Y36">
            <v>2.3611427691146649</v>
          </cell>
          <cell r="Z36"/>
        </row>
        <row r="37">
          <cell r="K37">
            <v>2.9995839860144065</v>
          </cell>
          <cell r="Y37"/>
          <cell r="Z37"/>
        </row>
        <row r="38">
          <cell r="K38">
            <v>0</v>
          </cell>
          <cell r="Y38"/>
        </row>
        <row r="39">
          <cell r="K39">
            <v>5.4939139155408521</v>
          </cell>
          <cell r="W39">
            <v>0.6</v>
          </cell>
          <cell r="AA39"/>
        </row>
        <row r="40">
          <cell r="K40">
            <v>0.80155304735751465</v>
          </cell>
        </row>
        <row r="41">
          <cell r="K41">
            <v>4.0201856086575631</v>
          </cell>
          <cell r="W41"/>
          <cell r="X41">
            <v>4.0201856086575631</v>
          </cell>
        </row>
        <row r="42">
          <cell r="K42"/>
          <cell r="X42"/>
        </row>
        <row r="43">
          <cell r="K43"/>
          <cell r="X43"/>
        </row>
      </sheetData>
      <sheetData sheetId="5"/>
      <sheetData sheetId="6"/>
      <sheetData sheetId="7"/>
      <sheetData sheetId="8">
        <row r="5">
          <cell r="C5">
            <v>185.46950727357458</v>
          </cell>
          <cell r="M5">
            <v>103.36836145177814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5"/>
      <sheetName val="Feuil3"/>
      <sheetName val="tab_labor"/>
      <sheetName val="Shock_data"/>
      <sheetName val="Baseline_data"/>
      <sheetName val="t_Macro_B"/>
      <sheetName val="t_Macro_S"/>
      <sheetName val="Feuil1"/>
      <sheetName val="t_Emp_ProdSect_B"/>
      <sheetName val="t_Emp_ProdSect_S"/>
      <sheetName val="t_CO2Sect_B"/>
      <sheetName val="t_CO2Sect_S"/>
      <sheetName val="tCO2Sect_10"/>
      <sheetName val="t_PartNRJ_B"/>
      <sheetName val="t_PartNRJ_S"/>
      <sheetName val="t_Mtep_B"/>
      <sheetName val="Graph8"/>
      <sheetName val="Graph3"/>
      <sheetName val="Feuil2"/>
      <sheetName val="EN_buil"/>
      <sheetName val="Graph4"/>
      <sheetName val="coût de prod énergie"/>
      <sheetName val="t_Mtep_S"/>
      <sheetName val="d INV"/>
      <sheetName val="prix énergie"/>
      <sheetName val="EMS"/>
      <sheetName val="voiture"/>
      <sheetName val="ex élasticité"/>
      <sheetName val="tab_PIB"/>
      <sheetName val="scénario ADEME"/>
      <sheetName val="Feuil4"/>
      <sheetName val="Feuil5"/>
      <sheetName val="SIock_data"/>
      <sheetName val="SNock_data"/>
    </sheetNames>
    <sheetDataSet>
      <sheetData sheetId="0" refreshError="1"/>
      <sheetData sheetId="1" refreshError="1"/>
      <sheetData sheetId="2" refreshError="1"/>
      <sheetData sheetId="3" refreshError="1">
        <row r="1">
          <cell r="B1">
            <v>2004</v>
          </cell>
        </row>
        <row r="143">
          <cell r="A143" t="str">
            <v>Q_MTEP_22_2</v>
          </cell>
        </row>
        <row r="144">
          <cell r="A144" t="str">
            <v>Q_MTEP_2201_2</v>
          </cell>
        </row>
        <row r="145">
          <cell r="A145" t="str">
            <v>Q_MTEP_2202_2</v>
          </cell>
        </row>
        <row r="146">
          <cell r="A146" t="str">
            <v>Q_MTEP_23_2</v>
          </cell>
        </row>
        <row r="147">
          <cell r="A147" t="str">
            <v>Q_MTEP_EP_2301_2</v>
          </cell>
        </row>
        <row r="148">
          <cell r="A148" t="str">
            <v>Q_MTEP_2302_2</v>
          </cell>
        </row>
        <row r="149">
          <cell r="A149" t="str">
            <v>Q_MTEP_2303_2</v>
          </cell>
        </row>
        <row r="150">
          <cell r="A150" t="str">
            <v>Q_MTEP_2304_2</v>
          </cell>
        </row>
        <row r="151">
          <cell r="A151" t="str">
            <v>Q_MTEP_2305_2</v>
          </cell>
        </row>
        <row r="152">
          <cell r="A152" t="str">
            <v>Q_MTEP_2306_2</v>
          </cell>
        </row>
        <row r="153">
          <cell r="A153" t="str">
            <v>Q_MTEP_2307_2</v>
          </cell>
        </row>
        <row r="154">
          <cell r="A154" t="str">
            <v>Q_MTEP_2308_2</v>
          </cell>
        </row>
        <row r="155">
          <cell r="A155" t="str">
            <v>Q_MTEP_24_2</v>
          </cell>
        </row>
        <row r="156">
          <cell r="A156" t="str">
            <v>Q_MTEP_2401_2</v>
          </cell>
        </row>
        <row r="157">
          <cell r="A157" t="str">
            <v>Q_MTEP_2402_2</v>
          </cell>
        </row>
        <row r="158">
          <cell r="A158" t="str">
            <v>Q_MTEP_2403_2</v>
          </cell>
        </row>
        <row r="159">
          <cell r="A159" t="str">
            <v>Q_MTEP_2404_2</v>
          </cell>
        </row>
        <row r="160">
          <cell r="A160" t="str">
            <v>Q_MTEP_2405_2</v>
          </cell>
        </row>
        <row r="161">
          <cell r="A161" t="str">
            <v>Q_MTEP_2406_2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75"/>
  <sheetViews>
    <sheetView topLeftCell="N55" workbookViewId="0">
      <selection activeCell="P81" sqref="P81"/>
    </sheetView>
  </sheetViews>
  <sheetFormatPr baseColWidth="10" defaultRowHeight="12" x14ac:dyDescent="0.2"/>
  <cols>
    <col min="1" max="1" width="53.7109375" style="159" bestFit="1" customWidth="1"/>
    <col min="2" max="2" width="5.5703125" style="159" bestFit="1" customWidth="1"/>
    <col min="3" max="3" width="4.5703125" style="159" bestFit="1" customWidth="1"/>
    <col min="4" max="4" width="5.5703125" style="159" customWidth="1"/>
    <col min="5" max="5" width="4.5703125" style="159" customWidth="1"/>
    <col min="6" max="6" width="6.5703125" style="159" customWidth="1"/>
    <col min="7" max="7" width="42" style="159" customWidth="1"/>
    <col min="8" max="9" width="5.5703125" style="159" bestFit="1" customWidth="1"/>
    <col min="10" max="10" width="11.42578125" style="159"/>
    <col min="11" max="11" width="40.28515625" style="159" customWidth="1"/>
    <col min="12" max="14" width="11.42578125" style="159"/>
    <col min="15" max="15" width="35.7109375" style="159" customWidth="1"/>
    <col min="16" max="17" width="11.42578125" style="159"/>
    <col min="18" max="18" width="17.5703125" style="159" customWidth="1"/>
    <col min="19" max="19" width="11.42578125" style="159" customWidth="1"/>
    <col min="20" max="20" width="19.42578125" style="159" customWidth="1"/>
    <col min="21" max="22" width="11.42578125" style="159"/>
    <col min="23" max="23" width="0" style="159" hidden="1" customWidth="1"/>
    <col min="24" max="24" width="20.42578125" style="159" customWidth="1"/>
    <col min="25" max="25" width="20" style="159" customWidth="1"/>
    <col min="26" max="27" width="11.42578125" style="159" customWidth="1"/>
    <col min="28" max="28" width="19.140625" style="159" customWidth="1"/>
    <col min="29" max="29" width="11.42578125" style="159" customWidth="1"/>
    <col min="30" max="30" width="18.5703125" style="159" customWidth="1"/>
    <col min="31" max="32" width="11.42578125" style="159" customWidth="1"/>
    <col min="33" max="33" width="11.42578125" style="159" hidden="1" customWidth="1"/>
    <col min="34" max="36" width="11.42578125" style="159"/>
    <col min="37" max="37" width="16.85546875" style="159" customWidth="1"/>
    <col min="38" max="16384" width="11.42578125" style="159"/>
  </cols>
  <sheetData>
    <row r="1" spans="1:39" ht="12.75" x14ac:dyDescent="0.2">
      <c r="B1" s="372">
        <v>2030</v>
      </c>
      <c r="C1" s="373"/>
      <c r="D1" s="374">
        <v>2050</v>
      </c>
      <c r="E1" s="375"/>
      <c r="H1" s="159">
        <v>2030</v>
      </c>
      <c r="I1" s="159">
        <v>2050</v>
      </c>
    </row>
    <row r="2" spans="1:39" ht="15" x14ac:dyDescent="0.25">
      <c r="A2" s="180" t="s">
        <v>23</v>
      </c>
      <c r="B2" s="161">
        <f>B3+B9+B27+B37</f>
        <v>185.46950727357455</v>
      </c>
      <c r="C2" s="175"/>
      <c r="D2" s="171">
        <f>D3+D9+D27+D37</f>
        <v>103.36836145177813</v>
      </c>
      <c r="E2" s="175"/>
      <c r="G2" s="161" t="s">
        <v>156</v>
      </c>
      <c r="H2" s="161">
        <f>H3+H7+H16+H23</f>
        <v>185.46950727357455</v>
      </c>
      <c r="I2" s="161">
        <f>I3+I7+I16+I23</f>
        <v>103.36836145177813</v>
      </c>
      <c r="K2" s="161" t="s">
        <v>323</v>
      </c>
      <c r="L2" s="161">
        <f>L3+L7+L16+L23</f>
        <v>130.02220658372664</v>
      </c>
      <c r="M2" s="161">
        <f>M3+M7+M16+M23</f>
        <v>83.121006674047209</v>
      </c>
    </row>
    <row r="3" spans="1:39" ht="12.75" x14ac:dyDescent="0.2">
      <c r="A3" s="181" t="s">
        <v>322</v>
      </c>
      <c r="B3" s="164">
        <f>SUM(B4:B5)</f>
        <v>45.177657163185373</v>
      </c>
      <c r="C3" s="175"/>
      <c r="D3" s="172">
        <f>SUM(D4:D8)</f>
        <v>16.23633877476766</v>
      </c>
      <c r="E3" s="175"/>
      <c r="G3" s="164" t="s">
        <v>127</v>
      </c>
      <c r="H3" s="164">
        <f>SUM(H4:H6)</f>
        <v>45.177657163185373</v>
      </c>
      <c r="I3" s="164">
        <f>SUM(I4:I5)</f>
        <v>13.563292485356024</v>
      </c>
      <c r="K3" s="164" t="s">
        <v>127</v>
      </c>
      <c r="L3" s="164">
        <f>SUM(L4:L6)</f>
        <v>42.225221161762398</v>
      </c>
      <c r="M3" s="164">
        <f>SUM(M4:M6)</f>
        <v>10.821634992333136</v>
      </c>
      <c r="O3" s="233"/>
      <c r="P3" s="233">
        <v>2030</v>
      </c>
      <c r="Q3" s="233">
        <v>2050</v>
      </c>
      <c r="T3" s="233"/>
      <c r="U3" s="233">
        <v>2030</v>
      </c>
      <c r="V3" s="233">
        <v>2050</v>
      </c>
      <c r="W3" s="233" t="s">
        <v>212</v>
      </c>
      <c r="Y3" s="233" t="s">
        <v>176</v>
      </c>
      <c r="Z3" s="233">
        <v>2030</v>
      </c>
      <c r="AA3" s="233">
        <v>2050</v>
      </c>
      <c r="AB3" s="236"/>
      <c r="AD3" s="233" t="s">
        <v>194</v>
      </c>
      <c r="AE3" s="233">
        <v>2030</v>
      </c>
      <c r="AF3" s="233">
        <v>2050</v>
      </c>
      <c r="AG3" s="233" t="s">
        <v>212</v>
      </c>
      <c r="AH3" s="159" t="s">
        <v>193</v>
      </c>
      <c r="AK3" s="233" t="s">
        <v>300</v>
      </c>
      <c r="AL3" s="233">
        <v>2030</v>
      </c>
      <c r="AM3" s="233">
        <v>2050</v>
      </c>
    </row>
    <row r="4" spans="1:39" ht="12.75" x14ac:dyDescent="0.2">
      <c r="A4" s="182" t="s">
        <v>128</v>
      </c>
      <c r="B4" s="165">
        <f>'FLUX 2030'!G40+'FLUX 2030'!G41</f>
        <v>42.177657163185373</v>
      </c>
      <c r="C4" s="339">
        <f>B4-('FLUX 2030'!G40+'FLUX 2030'!G41)</f>
        <v>0</v>
      </c>
      <c r="D4" s="338">
        <f>'FLUX 2050'!G40+'FLUX 2050'!G41</f>
        <v>5.9074343177858619</v>
      </c>
      <c r="E4" s="339">
        <f>D4-('FLUX 2050'!G40+'FLUX 2050'!G41)</f>
        <v>0</v>
      </c>
      <c r="G4" s="165" t="s">
        <v>128</v>
      </c>
      <c r="H4" s="165">
        <f>B4</f>
        <v>42.177657163185373</v>
      </c>
      <c r="I4" s="165">
        <f>'Sankey 2050'!H2</f>
        <v>5.9074343177858619</v>
      </c>
      <c r="J4" s="236">
        <f>2201</f>
        <v>2201</v>
      </c>
      <c r="K4" s="165" t="s">
        <v>128</v>
      </c>
      <c r="L4" s="185">
        <f>'Sankey 2030'!$M2</f>
        <v>39.225221161762398</v>
      </c>
      <c r="M4" s="185">
        <f>'Sankey 2050'!$M2</f>
        <v>5.4939139155408521</v>
      </c>
      <c r="N4" s="160"/>
      <c r="O4" s="135" t="s">
        <v>342</v>
      </c>
      <c r="P4" s="239">
        <f>L4</f>
        <v>39.225221161762398</v>
      </c>
      <c r="Q4" s="239">
        <f>M4</f>
        <v>5.4939139155408521</v>
      </c>
      <c r="R4" s="160"/>
      <c r="S4" s="160"/>
      <c r="T4" s="135" t="s">
        <v>160</v>
      </c>
      <c r="U4" s="233">
        <f>Z4/P4</f>
        <v>7.5268817204301008E-2</v>
      </c>
      <c r="V4" s="233">
        <f>IF(Q4&gt;0,AA4/Q4,U4)</f>
        <v>7.5268817204301008E-2</v>
      </c>
      <c r="W4" s="233">
        <f>AB4/M4</f>
        <v>0</v>
      </c>
      <c r="Y4" s="235" t="s">
        <v>177</v>
      </c>
      <c r="Z4" s="233">
        <f>'Sankey 2030'!$J2</f>
        <v>2.9524360014229734</v>
      </c>
      <c r="AA4" s="233">
        <f>'Sankey 2050'!$J2</f>
        <v>0.41352040224501002</v>
      </c>
      <c r="AB4" s="240"/>
      <c r="AD4" s="235" t="s">
        <v>195</v>
      </c>
      <c r="AE4" s="233">
        <f>'Sankey 2030'!K2</f>
        <v>0</v>
      </c>
      <c r="AF4" s="233">
        <f>'Sankey 2050'!$K2</f>
        <v>0</v>
      </c>
      <c r="AG4" s="233">
        <f>AF4</f>
        <v>0</v>
      </c>
      <c r="AH4" s="335">
        <f>L4+Z4+AE4-H4-'Sankey 2030'!$L2</f>
        <v>0</v>
      </c>
      <c r="AI4" s="335">
        <f>M4+AA4+AF4-I4-'Sankey 2050'!L2</f>
        <v>0</v>
      </c>
      <c r="AJ4" s="160"/>
      <c r="AK4" s="291" t="s">
        <v>301</v>
      </c>
      <c r="AL4" s="233">
        <f>AE4/P4</f>
        <v>0</v>
      </c>
      <c r="AM4" s="233">
        <f>IF(Q4&gt;0,AF4/Q4,AL4)</f>
        <v>0</v>
      </c>
    </row>
    <row r="5" spans="1:39" ht="12.75" x14ac:dyDescent="0.2">
      <c r="A5" s="182" t="s">
        <v>126</v>
      </c>
      <c r="B5" s="165">
        <f>C6+C7</f>
        <v>3</v>
      </c>
      <c r="C5" s="176"/>
      <c r="D5" s="173">
        <f>E6+E7</f>
        <v>7.3000946370306705</v>
      </c>
      <c r="E5" s="176"/>
      <c r="G5" s="165" t="s">
        <v>126</v>
      </c>
      <c r="H5" s="165">
        <f>B5</f>
        <v>3</v>
      </c>
      <c r="I5" s="165">
        <f>'Sankey 2050'!H3</f>
        <v>7.6558581675701625</v>
      </c>
      <c r="J5" s="236">
        <f>J4+1</f>
        <v>2202</v>
      </c>
      <c r="K5" s="165" t="s">
        <v>126</v>
      </c>
      <c r="L5" s="342">
        <f>'Sankey 2030'!$M3-L6</f>
        <v>3</v>
      </c>
      <c r="M5" s="342">
        <f>'Sankey 2050'!$M3-M6</f>
        <v>2.9995839860144069</v>
      </c>
      <c r="N5" s="160"/>
      <c r="O5" s="135" t="s">
        <v>343</v>
      </c>
      <c r="P5" s="239">
        <f>L5</f>
        <v>3</v>
      </c>
      <c r="Q5" s="239">
        <f>M5</f>
        <v>2.9995839860144069</v>
      </c>
      <c r="T5" s="135" t="s">
        <v>161</v>
      </c>
      <c r="U5" s="233">
        <f t="shared" ref="U5:U19" si="0">Z5/P5</f>
        <v>0</v>
      </c>
      <c r="V5" s="233">
        <f t="shared" ref="V5:V19" si="1">IF(Q5&gt;0,AA5/Q5,U5)</f>
        <v>0.77615332713897744</v>
      </c>
      <c r="W5" s="233">
        <f>AB5/M5</f>
        <v>0</v>
      </c>
      <c r="Y5" s="235" t="s">
        <v>178</v>
      </c>
      <c r="Z5" s="233">
        <f>'Sankey 2030'!$J3</f>
        <v>0</v>
      </c>
      <c r="AA5" s="233">
        <f>'Sankey 2050'!$J3</f>
        <v>2.328137090777878</v>
      </c>
      <c r="AB5" s="240"/>
      <c r="AD5" s="235" t="s">
        <v>196</v>
      </c>
      <c r="AE5" s="233">
        <f>'Sankey 2030'!K3</f>
        <v>0</v>
      </c>
      <c r="AF5" s="233">
        <f>'Sankey 2050'!$K3</f>
        <v>0</v>
      </c>
      <c r="AG5" s="233">
        <f t="shared" ref="AG5:AG19" si="2">AF5</f>
        <v>0</v>
      </c>
      <c r="AH5" s="335">
        <f>L5+L6++Z5+AE5-H5-'Sankey 2030'!$L3</f>
        <v>0</v>
      </c>
      <c r="AI5" s="335">
        <f>M5+M6++AA5+AF5-I5-'Sankey 2050'!L3</f>
        <v>0</v>
      </c>
      <c r="AJ5" s="160"/>
      <c r="AK5" s="235" t="s">
        <v>302</v>
      </c>
      <c r="AL5" s="233">
        <f t="shared" ref="AL5:AL19" si="3">AE5/P5</f>
        <v>0</v>
      </c>
      <c r="AM5" s="233">
        <f t="shared" ref="AM5:AM19" si="4">IF(Q5&gt;0,AF5/Q5,AL5)</f>
        <v>0</v>
      </c>
    </row>
    <row r="6" spans="1:39" ht="12.75" x14ac:dyDescent="0.2">
      <c r="A6" s="168" t="s">
        <v>147</v>
      </c>
      <c r="B6" s="183"/>
      <c r="C6" s="175">
        <f>'FLUX 2030'!$G39</f>
        <v>3</v>
      </c>
      <c r="D6" s="169"/>
      <c r="E6" s="175">
        <f>'FLUX 2050'!$G39</f>
        <v>2.9995839860144065</v>
      </c>
      <c r="G6" s="165" t="s">
        <v>143</v>
      </c>
      <c r="H6" s="165"/>
      <c r="I6" s="165"/>
      <c r="J6" s="236"/>
      <c r="K6" s="165" t="s">
        <v>143</v>
      </c>
      <c r="L6" s="342">
        <f>'Sankey 2030'!$N46</f>
        <v>0</v>
      </c>
      <c r="M6" s="342">
        <f>'Sankey 2050'!$N46</f>
        <v>2.328137090777878</v>
      </c>
      <c r="N6" s="160"/>
      <c r="O6" s="135" t="s">
        <v>344</v>
      </c>
      <c r="P6" s="239">
        <f>L8</f>
        <v>17.456770049369222</v>
      </c>
      <c r="Q6" s="239">
        <f>M8</f>
        <v>0</v>
      </c>
      <c r="T6" s="135" t="s">
        <v>162</v>
      </c>
      <c r="U6" s="233">
        <f t="shared" si="0"/>
        <v>2.1831215379602473</v>
      </c>
      <c r="V6" s="233">
        <f t="shared" si="1"/>
        <v>2.1831215379602473</v>
      </c>
      <c r="W6" s="233" t="e">
        <f>AB6/M8</f>
        <v>#DIV/0!</v>
      </c>
      <c r="Y6" s="235" t="s">
        <v>179</v>
      </c>
      <c r="Z6" s="233">
        <f>'Sankey 2030'!$J4</f>
        <v>38.110250677997321</v>
      </c>
      <c r="AA6" s="233">
        <f>'Sankey 2050'!$J4</f>
        <v>0</v>
      </c>
      <c r="AB6" s="240"/>
      <c r="AD6" s="235" t="s">
        <v>197</v>
      </c>
      <c r="AE6" s="233">
        <f>'Sankey 2030'!K4</f>
        <v>1.3139504338234897</v>
      </c>
      <c r="AF6" s="233">
        <f>'Sankey 2050'!$K4</f>
        <v>0</v>
      </c>
      <c r="AG6" s="233">
        <f t="shared" si="2"/>
        <v>0</v>
      </c>
      <c r="AH6" s="335">
        <f>L8+Z6+AE6-H8-'Sankey 2030'!$L4</f>
        <v>0</v>
      </c>
      <c r="AI6" s="335">
        <f>M8+AA6+AF6-I8-'Sankey 2050'!L4</f>
        <v>0</v>
      </c>
      <c r="AJ6" s="160"/>
      <c r="AK6" s="235" t="s">
        <v>303</v>
      </c>
      <c r="AL6" s="233">
        <f t="shared" si="3"/>
        <v>7.5268817204301064E-2</v>
      </c>
      <c r="AM6" s="233">
        <f t="shared" si="4"/>
        <v>7.5268817204301064E-2</v>
      </c>
    </row>
    <row r="7" spans="1:39" ht="12.75" x14ac:dyDescent="0.2">
      <c r="A7" s="170" t="s">
        <v>148</v>
      </c>
      <c r="B7" s="184"/>
      <c r="C7" s="341">
        <f>'FLUX 2030'!$AA21*(SUM('FLUX 2030'!K21:K23)/'FLUX 2030'!L21)</f>
        <v>0</v>
      </c>
      <c r="D7" s="177"/>
      <c r="E7" s="341">
        <f>'FLUX 2050'!$AA21*(SUM('FLUX 2050'!K21:K23)/'FLUX 2050'!L21)</f>
        <v>4.3005106510162641</v>
      </c>
      <c r="G7" s="164" t="s">
        <v>78</v>
      </c>
      <c r="H7" s="164">
        <f>SUM(H8:H15)</f>
        <v>90.778609373963207</v>
      </c>
      <c r="I7" s="164">
        <f>SUM(I8:I15)</f>
        <v>51.679349915097603</v>
      </c>
      <c r="J7" s="236"/>
      <c r="K7" s="164" t="s">
        <v>78</v>
      </c>
      <c r="L7" s="164">
        <f>SUM(L8:L15)</f>
        <v>39.504461046362763</v>
      </c>
      <c r="M7" s="164">
        <f>SUM(M8:M15)</f>
        <v>37.317528387176267</v>
      </c>
      <c r="N7" s="160"/>
      <c r="O7" s="135" t="s">
        <v>345</v>
      </c>
      <c r="P7" s="239">
        <f t="shared" ref="P7:Q13" si="5">L9</f>
        <v>0.23345513513513905</v>
      </c>
      <c r="Q7" s="239">
        <f t="shared" si="5"/>
        <v>0</v>
      </c>
      <c r="T7" s="135" t="s">
        <v>163</v>
      </c>
      <c r="U7" s="233">
        <f t="shared" si="0"/>
        <v>2.0315684981851523</v>
      </c>
      <c r="V7" s="233">
        <f t="shared" si="1"/>
        <v>2.0315684981851523</v>
      </c>
      <c r="W7" s="233">
        <v>0</v>
      </c>
      <c r="Y7" s="235" t="s">
        <v>180</v>
      </c>
      <c r="Z7" s="234">
        <f>'Sankey 2030'!$J5</f>
        <v>0.47428009828010625</v>
      </c>
      <c r="AA7" s="234">
        <f>'Sankey 2050'!$J5</f>
        <v>0</v>
      </c>
      <c r="AB7" s="240"/>
      <c r="AD7" s="235" t="s">
        <v>198</v>
      </c>
      <c r="AE7" s="233">
        <f>'Sankey 2030'!K5</f>
        <v>1.7571891891892188E-2</v>
      </c>
      <c r="AF7" s="233">
        <f>'Sankey 2050'!$K5</f>
        <v>0</v>
      </c>
      <c r="AG7" s="233">
        <f t="shared" si="2"/>
        <v>0</v>
      </c>
      <c r="AH7" s="335">
        <f>L9+Z7+AE7-H9-'Sankey 2030'!$L5</f>
        <v>1.1102230246251565E-16</v>
      </c>
      <c r="AI7" s="335">
        <f>M9+AA7+AF7-I9-'Sankey 2050'!L5</f>
        <v>0</v>
      </c>
      <c r="AJ7" s="160"/>
      <c r="AK7" s="235" t="s">
        <v>304</v>
      </c>
      <c r="AL7" s="233">
        <f t="shared" si="3"/>
        <v>7.5268817204301078E-2</v>
      </c>
      <c r="AM7" s="233">
        <f t="shared" si="4"/>
        <v>7.5268817204301078E-2</v>
      </c>
    </row>
    <row r="8" spans="1:39" ht="12.75" x14ac:dyDescent="0.2">
      <c r="A8" s="182" t="s">
        <v>143</v>
      </c>
      <c r="B8" s="165"/>
      <c r="C8" s="175"/>
      <c r="D8" s="338">
        <f>'FLUX 2050'!AA21-E7</f>
        <v>3.0288098199511282</v>
      </c>
      <c r="E8" s="105"/>
      <c r="G8" s="165" t="s">
        <v>39</v>
      </c>
      <c r="H8" s="165">
        <f>B10</f>
        <v>56.880971161190033</v>
      </c>
      <c r="I8" s="165">
        <f>'Sankey 2050'!H4</f>
        <v>0</v>
      </c>
      <c r="J8" s="236">
        <v>2301</v>
      </c>
      <c r="K8" s="165" t="s">
        <v>39</v>
      </c>
      <c r="L8" s="185">
        <f>'Sankey 2030'!$M4</f>
        <v>17.456770049369222</v>
      </c>
      <c r="M8" s="185">
        <f>'Sankey 2050'!$M4</f>
        <v>0</v>
      </c>
      <c r="N8" s="160"/>
      <c r="O8" s="135" t="s">
        <v>346</v>
      </c>
      <c r="P8" s="239">
        <f t="shared" si="5"/>
        <v>1.3390013617115069</v>
      </c>
      <c r="Q8" s="239">
        <f t="shared" si="5"/>
        <v>4.7829482866921147</v>
      </c>
      <c r="T8" s="135" t="s">
        <v>164</v>
      </c>
      <c r="U8" s="233">
        <f t="shared" si="0"/>
        <v>1.3824884792626728</v>
      </c>
      <c r="V8" s="233">
        <f t="shared" si="1"/>
        <v>0.3735235278424518</v>
      </c>
      <c r="W8" s="233">
        <f>AB8/M10</f>
        <v>0</v>
      </c>
      <c r="Y8" s="235" t="s">
        <v>181</v>
      </c>
      <c r="Z8" s="233">
        <f>'Sankey 2030'!$J6</f>
        <v>1.8511539562831894</v>
      </c>
      <c r="AA8" s="233">
        <f>'Sankey 2050'!$J6</f>
        <v>1.7865437175332493</v>
      </c>
      <c r="AB8" s="240"/>
      <c r="AD8" s="235" t="s">
        <v>199</v>
      </c>
      <c r="AE8" s="233">
        <f>'Sankey 2030'!K6</f>
        <v>0.10078504873097363</v>
      </c>
      <c r="AF8" s="233">
        <f>'Sankey 2050'!$K6</f>
        <v>0</v>
      </c>
      <c r="AG8" s="233">
        <f t="shared" si="2"/>
        <v>0</v>
      </c>
      <c r="AH8" s="335">
        <f>L10+Z8+AE8-'Sankey 2030'!$L6-H10</f>
        <v>0</v>
      </c>
      <c r="AI8" s="335">
        <f>M10+AA8+AF8-I10-'Sankey 2050'!L6</f>
        <v>0</v>
      </c>
      <c r="AJ8" s="160"/>
      <c r="AK8" s="235" t="s">
        <v>305</v>
      </c>
      <c r="AL8" s="233">
        <f t="shared" si="3"/>
        <v>7.5268817204301078E-2</v>
      </c>
      <c r="AM8" s="233">
        <f t="shared" si="4"/>
        <v>0</v>
      </c>
    </row>
    <row r="9" spans="1:39" ht="12.75" x14ac:dyDescent="0.2">
      <c r="A9" s="181" t="s">
        <v>78</v>
      </c>
      <c r="B9" s="164">
        <f>SUM(B10:B19)</f>
        <v>90.778609373963207</v>
      </c>
      <c r="C9" s="339">
        <f>B9-SUM('FLUX 2030'!H7:H19)</f>
        <v>0</v>
      </c>
      <c r="D9" s="172">
        <f>SUM(D10:D19)</f>
        <v>51.67934991509761</v>
      </c>
      <c r="E9" s="337">
        <f>D9-SUM('FLUX 2050'!H7:H19)</f>
        <v>0</v>
      </c>
      <c r="G9" s="165" t="s">
        <v>129</v>
      </c>
      <c r="H9" s="165">
        <f t="shared" ref="H9:H12" si="6">B11</f>
        <v>0.72530712530713748</v>
      </c>
      <c r="I9" s="165">
        <f>'Sankey 2050'!H5</f>
        <v>0</v>
      </c>
      <c r="J9" s="236">
        <f>J8+1</f>
        <v>2302</v>
      </c>
      <c r="K9" s="165" t="s">
        <v>129</v>
      </c>
      <c r="L9" s="185">
        <f>'Sankey 2030'!$M5</f>
        <v>0.23345513513513905</v>
      </c>
      <c r="M9" s="185">
        <f>'Sankey 2050'!$M5</f>
        <v>0</v>
      </c>
      <c r="N9" s="160"/>
      <c r="O9" s="135" t="s">
        <v>347</v>
      </c>
      <c r="P9" s="239">
        <f t="shared" si="5"/>
        <v>0.92043243243244799</v>
      </c>
      <c r="Q9" s="239">
        <f t="shared" si="5"/>
        <v>0</v>
      </c>
      <c r="T9" s="135" t="s">
        <v>165</v>
      </c>
      <c r="U9" s="233">
        <f t="shared" si="0"/>
        <v>1.8893587033121915</v>
      </c>
      <c r="V9" s="233">
        <f t="shared" si="1"/>
        <v>1.8893587033121915</v>
      </c>
      <c r="W9" s="233">
        <v>0</v>
      </c>
      <c r="Y9" s="235" t="s">
        <v>182</v>
      </c>
      <c r="Z9" s="233">
        <f>'Sankey 2030'!$J7</f>
        <v>1.7390270270270562</v>
      </c>
      <c r="AA9" s="233">
        <f>'Sankey 2050'!$J7</f>
        <v>0</v>
      </c>
      <c r="AB9" s="240"/>
      <c r="AD9" s="235" t="s">
        <v>200</v>
      </c>
      <c r="AE9" s="233">
        <f>'Sankey 2030'!K7</f>
        <v>0</v>
      </c>
      <c r="AF9" s="233">
        <f>'Sankey 2050'!$K7</f>
        <v>0</v>
      </c>
      <c r="AG9" s="233">
        <f t="shared" si="2"/>
        <v>0</v>
      </c>
      <c r="AH9" s="335">
        <f>L11+Z9+AE9-H11-'Sankey 2030'!$L7</f>
        <v>0</v>
      </c>
      <c r="AI9" s="335">
        <f>M11+AA9+AF9-I11-'Sankey 2050'!L7</f>
        <v>0</v>
      </c>
      <c r="AJ9" s="160"/>
      <c r="AK9" s="235" t="s">
        <v>306</v>
      </c>
      <c r="AL9" s="233">
        <f t="shared" si="3"/>
        <v>0</v>
      </c>
      <c r="AM9" s="233">
        <f t="shared" si="4"/>
        <v>0</v>
      </c>
    </row>
    <row r="10" spans="1:39" ht="12.75" x14ac:dyDescent="0.2">
      <c r="A10" s="182" t="s">
        <v>39</v>
      </c>
      <c r="B10" s="165">
        <f>'FLUX 2030'!$G10</f>
        <v>56.880971161190033</v>
      </c>
      <c r="C10" s="175"/>
      <c r="D10" s="173">
        <f>'FLUX 2050'!$G10</f>
        <v>0</v>
      </c>
      <c r="E10" s="105"/>
      <c r="G10" s="165" t="s">
        <v>49</v>
      </c>
      <c r="H10" s="165">
        <f t="shared" si="6"/>
        <v>3.2909403667256698</v>
      </c>
      <c r="I10" s="165">
        <f>'Sankey 2050'!H6</f>
        <v>3.1760777200591099</v>
      </c>
      <c r="J10" s="236">
        <f t="shared" ref="J10:J15" si="7">J9+1</f>
        <v>2303</v>
      </c>
      <c r="K10" s="165" t="s">
        <v>49</v>
      </c>
      <c r="L10" s="185">
        <f>'Sankey 2030'!$M6</f>
        <v>1.3390013617115069</v>
      </c>
      <c r="M10" s="185">
        <f>'Sankey 2050'!$M6</f>
        <v>4.7829482866921147</v>
      </c>
      <c r="N10" s="160"/>
      <c r="O10" s="135" t="s">
        <v>348</v>
      </c>
      <c r="P10" s="239">
        <f t="shared" si="5"/>
        <v>7.2410107078852404</v>
      </c>
      <c r="Q10" s="239">
        <f t="shared" si="5"/>
        <v>13.650547499277637</v>
      </c>
      <c r="T10" s="135" t="s">
        <v>166</v>
      </c>
      <c r="U10" s="233">
        <f t="shared" si="0"/>
        <v>0</v>
      </c>
      <c r="V10" s="233">
        <f t="shared" si="1"/>
        <v>9.6175208317745044E-3</v>
      </c>
      <c r="W10" s="233">
        <f>AB10/M12</f>
        <v>0</v>
      </c>
      <c r="Y10" s="235" t="s">
        <v>183</v>
      </c>
      <c r="Z10" s="233">
        <f>'Sankey 2030'!$J8</f>
        <v>0</v>
      </c>
      <c r="AA10" s="233">
        <f>'Sankey 2050'!$J8</f>
        <v>0.13128442493943004</v>
      </c>
      <c r="AB10" s="240"/>
      <c r="AD10" s="235" t="s">
        <v>201</v>
      </c>
      <c r="AE10" s="233">
        <f>'Sankey 2030'!K8</f>
        <v>0.6916826662601907</v>
      </c>
      <c r="AF10" s="233">
        <f>'Sankey 2050'!$K8</f>
        <v>1.8805632638630438</v>
      </c>
      <c r="AG10" s="233">
        <f t="shared" si="2"/>
        <v>1.8805632638630438</v>
      </c>
      <c r="AH10" s="335">
        <f>L12+Z10+AE10-H12-'Sankey 2030'!$L8</f>
        <v>-0.97194045275410912</v>
      </c>
      <c r="AI10" s="335">
        <f>M12+AA10+AF10-I12-'Sankey 2050'!L8</f>
        <v>0</v>
      </c>
      <c r="AJ10" s="160"/>
      <c r="AK10" s="235" t="s">
        <v>307</v>
      </c>
      <c r="AL10" s="233">
        <f t="shared" si="3"/>
        <v>9.5522944815834801E-2</v>
      </c>
      <c r="AM10" s="233">
        <f t="shared" si="4"/>
        <v>0.13776467676205367</v>
      </c>
    </row>
    <row r="11" spans="1:39" ht="12.75" x14ac:dyDescent="0.2">
      <c r="A11" s="182" t="s">
        <v>129</v>
      </c>
      <c r="B11" s="165">
        <f>'FLUX 2030'!G17</f>
        <v>0.72530712530713748</v>
      </c>
      <c r="C11" s="176"/>
      <c r="D11" s="173">
        <f>'FLUX 2050'!G17</f>
        <v>0</v>
      </c>
      <c r="E11" s="105"/>
      <c r="G11" s="165" t="s">
        <v>58</v>
      </c>
      <c r="H11" s="165">
        <f t="shared" si="6"/>
        <v>2.6594594594595042</v>
      </c>
      <c r="I11" s="165">
        <f>'Sankey 2050'!H7</f>
        <v>0</v>
      </c>
      <c r="J11" s="236">
        <f t="shared" si="7"/>
        <v>2304</v>
      </c>
      <c r="K11" s="165" t="s">
        <v>58</v>
      </c>
      <c r="L11" s="185">
        <f>'Sankey 2030'!$M7</f>
        <v>0.92043243243244799</v>
      </c>
      <c r="M11" s="185">
        <f>'Sankey 2050'!$M7</f>
        <v>0</v>
      </c>
      <c r="N11" s="160"/>
      <c r="O11" s="135" t="s">
        <v>349</v>
      </c>
      <c r="P11" s="239">
        <f t="shared" si="5"/>
        <v>4.6319525168513449</v>
      </c>
      <c r="Q11" s="239">
        <f t="shared" si="5"/>
        <v>9.4068677607660423</v>
      </c>
      <c r="T11" s="135" t="s">
        <v>167</v>
      </c>
      <c r="U11" s="233">
        <f t="shared" si="0"/>
        <v>0</v>
      </c>
      <c r="V11" s="233">
        <f t="shared" si="1"/>
        <v>0</v>
      </c>
      <c r="W11" s="233">
        <f>AB11/M13</f>
        <v>0</v>
      </c>
      <c r="Y11" s="235" t="s">
        <v>184</v>
      </c>
      <c r="Z11" s="233">
        <f>'Sankey 2030'!$J9</f>
        <v>0</v>
      </c>
      <c r="AA11" s="233">
        <f>'Sankey 2050'!$J9</f>
        <v>0</v>
      </c>
      <c r="AB11" s="240"/>
      <c r="AD11" s="235" t="s">
        <v>202</v>
      </c>
      <c r="AE11" s="233">
        <f>'Sankey 2030'!K9</f>
        <v>0.3486415872898862</v>
      </c>
      <c r="AF11" s="233">
        <f>'Sankey 2050'!$K9</f>
        <v>0.98150259412155616</v>
      </c>
      <c r="AG11" s="233">
        <f t="shared" si="2"/>
        <v>0.98150259412155616</v>
      </c>
      <c r="AH11" s="335">
        <f>L13+Z11+AE11-H13-'Sankey 2030'!$L9</f>
        <v>0</v>
      </c>
      <c r="AI11" s="335">
        <f>M13+AA11+AF11-I13-'Sankey 2050'!L9</f>
        <v>0</v>
      </c>
      <c r="AJ11" s="160"/>
      <c r="AK11" s="235" t="s">
        <v>308</v>
      </c>
      <c r="AL11" s="233">
        <f t="shared" si="3"/>
        <v>7.5268817204301078E-2</v>
      </c>
      <c r="AM11" s="233">
        <f t="shared" si="4"/>
        <v>0.10433893821864762</v>
      </c>
    </row>
    <row r="12" spans="1:39" ht="12.75" x14ac:dyDescent="0.2">
      <c r="A12" s="182" t="s">
        <v>49</v>
      </c>
      <c r="B12" s="185">
        <f>'FLUX 2030'!$G19</f>
        <v>3.2909403667256698</v>
      </c>
      <c r="C12" s="175"/>
      <c r="D12" s="360">
        <f>'FLUX 2050'!G19</f>
        <v>3.1760777200591099</v>
      </c>
      <c r="E12" s="105"/>
      <c r="G12" s="165" t="s">
        <v>130</v>
      </c>
      <c r="H12" s="165">
        <f t="shared" si="6"/>
        <v>10.853121399328261</v>
      </c>
      <c r="I12" s="165">
        <f>'Sankey 2050'!H8</f>
        <v>19.904163043287927</v>
      </c>
      <c r="J12" s="236">
        <f t="shared" si="7"/>
        <v>2305</v>
      </c>
      <c r="K12" s="165" t="s">
        <v>130</v>
      </c>
      <c r="L12" s="185">
        <f>'Sankey 2030'!$M8</f>
        <v>7.2410107078852404</v>
      </c>
      <c r="M12" s="185">
        <f>'Sankey 2050'!$M8</f>
        <v>13.650547499277637</v>
      </c>
      <c r="N12" s="160"/>
      <c r="O12" s="135" t="s">
        <v>350</v>
      </c>
      <c r="P12" s="239">
        <f t="shared" si="5"/>
        <v>6.1175411140807272</v>
      </c>
      <c r="Q12" s="239">
        <f t="shared" si="5"/>
        <v>6.6523483256545202</v>
      </c>
      <c r="T12" s="135" t="s">
        <v>168</v>
      </c>
      <c r="U12" s="233">
        <f t="shared" si="0"/>
        <v>0</v>
      </c>
      <c r="V12" s="233">
        <f t="shared" si="1"/>
        <v>0</v>
      </c>
      <c r="W12" s="233">
        <f>AB12/M14</f>
        <v>0</v>
      </c>
      <c r="Y12" s="235" t="s">
        <v>185</v>
      </c>
      <c r="Z12" s="233">
        <f>'Sankey 2030'!$J10</f>
        <v>0</v>
      </c>
      <c r="AA12" s="233">
        <f>'Sankey 2050'!$J10</f>
        <v>0</v>
      </c>
      <c r="AB12" s="240"/>
      <c r="AD12" s="235" t="s">
        <v>203</v>
      </c>
      <c r="AE12" s="233">
        <f>'Sankey 2030'!K10</f>
        <v>0.46046008385553872</v>
      </c>
      <c r="AF12" s="233">
        <f>'Sankey 2050'!$K10</f>
        <v>0.69409896095939105</v>
      </c>
      <c r="AG12" s="233">
        <f t="shared" si="2"/>
        <v>0.69409896095939105</v>
      </c>
      <c r="AH12" s="335">
        <f>L14+Z12+AE12-H14-'Sankey 2030'!$L10</f>
        <v>0.97194045275411067</v>
      </c>
      <c r="AI12" s="335">
        <f>M14+AA12+AF12-I14-'Sankey 2050'!L10</f>
        <v>-8.8817841970012523E-16</v>
      </c>
      <c r="AJ12" s="160"/>
      <c r="AK12" s="235" t="s">
        <v>309</v>
      </c>
      <c r="AL12" s="233">
        <f t="shared" si="3"/>
        <v>7.5268817204301092E-2</v>
      </c>
      <c r="AM12" s="233">
        <f t="shared" si="4"/>
        <v>0.10433893821864763</v>
      </c>
    </row>
    <row r="13" spans="1:39" ht="12.75" x14ac:dyDescent="0.2">
      <c r="A13" s="182" t="s">
        <v>58</v>
      </c>
      <c r="B13" s="165">
        <f>'FLUX 2030'!G18</f>
        <v>2.6594594594595042</v>
      </c>
      <c r="C13" s="175"/>
      <c r="D13" s="173">
        <f>'FLUX 2050'!G18</f>
        <v>0</v>
      </c>
      <c r="E13" s="105"/>
      <c r="G13" s="165" t="s">
        <v>131</v>
      </c>
      <c r="H13" s="165">
        <f>B17</f>
        <v>4.9805941041412307</v>
      </c>
      <c r="I13" s="165">
        <f>'Sankey 2050'!H9</f>
        <v>10.388370354887599</v>
      </c>
      <c r="J13" s="236">
        <f t="shared" si="7"/>
        <v>2306</v>
      </c>
      <c r="K13" s="165" t="s">
        <v>131</v>
      </c>
      <c r="L13" s="185">
        <f>'Sankey 2030'!$M9</f>
        <v>4.6319525168513449</v>
      </c>
      <c r="M13" s="185">
        <f>'Sankey 2050'!$M9</f>
        <v>9.4068677607660423</v>
      </c>
      <c r="N13" s="160"/>
      <c r="O13" s="135" t="s">
        <v>351</v>
      </c>
      <c r="P13" s="239">
        <f t="shared" si="5"/>
        <v>1.5642977288971296</v>
      </c>
      <c r="Q13" s="239">
        <f t="shared" si="5"/>
        <v>2.8248165147859479</v>
      </c>
      <c r="T13" s="135" t="s">
        <v>169</v>
      </c>
      <c r="U13" s="233">
        <f t="shared" si="0"/>
        <v>2.6210575954829931</v>
      </c>
      <c r="V13" s="233">
        <f t="shared" si="1"/>
        <v>2.7416777688425218</v>
      </c>
      <c r="W13" s="233">
        <f>AB13/M15</f>
        <v>0</v>
      </c>
      <c r="Y13" s="235" t="s">
        <v>186</v>
      </c>
      <c r="Z13" s="233">
        <f>'Sankey 2030'!$J11</f>
        <v>4.1001144439226174</v>
      </c>
      <c r="AA13" s="233">
        <f>'Sankey 2050'!$J11</f>
        <v>7.7447366396478463</v>
      </c>
      <c r="AB13" s="240"/>
      <c r="AD13" s="235" t="s">
        <v>204</v>
      </c>
      <c r="AE13" s="233">
        <f>'Sankey 2030'!K11</f>
        <v>0.11774283980946137</v>
      </c>
      <c r="AF13" s="233">
        <f>'Sankey 2050'!$K11</f>
        <v>0.29473835581526631</v>
      </c>
      <c r="AG13" s="233">
        <f t="shared" si="2"/>
        <v>0.29473835581526631</v>
      </c>
      <c r="AH13" s="335">
        <f>L15+Z13+AE13-H15-'Sankey 2030'!$L11</f>
        <v>0</v>
      </c>
      <c r="AI13" s="335">
        <f>M15+AA13+AF13-I15-'Sankey 2050'!L11</f>
        <v>0</v>
      </c>
      <c r="AJ13" s="160"/>
      <c r="AK13" s="235" t="s">
        <v>310</v>
      </c>
      <c r="AL13" s="233">
        <f t="shared" si="3"/>
        <v>7.5268817204301078E-2</v>
      </c>
      <c r="AM13" s="233">
        <f t="shared" si="4"/>
        <v>0.10433893821864755</v>
      </c>
    </row>
    <row r="14" spans="1:39" ht="12.75" x14ac:dyDescent="0.2">
      <c r="A14" s="182" t="s">
        <v>130</v>
      </c>
      <c r="B14" s="165">
        <f>'FLUX 2030'!$G7+'FLUX 2030'!$G15</f>
        <v>10.853121399328261</v>
      </c>
      <c r="C14" s="175"/>
      <c r="D14" s="173">
        <f>SUM(E15:E16)</f>
        <v>21.981896945134494</v>
      </c>
      <c r="E14" s="105"/>
      <c r="G14" s="165" t="s">
        <v>37</v>
      </c>
      <c r="H14" s="165">
        <f>B18</f>
        <v>5.6060607451821554</v>
      </c>
      <c r="I14" s="165">
        <f>'Sankey 2050'!H10</f>
        <v>7.3464472866139117</v>
      </c>
      <c r="J14" s="236">
        <f t="shared" si="7"/>
        <v>2307</v>
      </c>
      <c r="K14" s="165" t="s">
        <v>37</v>
      </c>
      <c r="L14" s="185">
        <f>'Sankey 2030'!$M10</f>
        <v>6.1175411140807272</v>
      </c>
      <c r="M14" s="185">
        <f>'Sankey 2050'!$M10</f>
        <v>6.6523483256545202</v>
      </c>
      <c r="N14" s="160"/>
      <c r="O14" s="135" t="s">
        <v>352</v>
      </c>
      <c r="P14" s="239">
        <f>L17</f>
        <v>17.996506971777617</v>
      </c>
      <c r="Q14" s="239">
        <f>M17</f>
        <v>6.1336473456597416</v>
      </c>
      <c r="T14" s="135" t="s">
        <v>170</v>
      </c>
      <c r="U14" s="233">
        <f t="shared" si="0"/>
        <v>0</v>
      </c>
      <c r="V14" s="233">
        <f t="shared" si="1"/>
        <v>0</v>
      </c>
      <c r="W14" s="233">
        <f t="shared" ref="W14:W19" si="8">AB14/M17</f>
        <v>0</v>
      </c>
      <c r="Y14" s="235" t="s">
        <v>187</v>
      </c>
      <c r="Z14" s="353">
        <f>'Sankey 2030'!$J12</f>
        <v>0</v>
      </c>
      <c r="AA14" s="353">
        <f>'Sankey 2050'!$J12</f>
        <v>0</v>
      </c>
      <c r="AB14" s="240"/>
      <c r="AD14" s="235" t="s">
        <v>205</v>
      </c>
      <c r="AE14" s="233">
        <f>'Sankey 2030'!K12</f>
        <v>0.47707788884787711</v>
      </c>
      <c r="AF14" s="233">
        <f>'Sankey 2050'!$K12</f>
        <v>7.536019676181642E-2</v>
      </c>
      <c r="AG14" s="233">
        <f t="shared" si="2"/>
        <v>7.536019676181642E-2</v>
      </c>
      <c r="AH14" s="335">
        <f>L17+Z14+AE14-H17-'Sankey 2030'!$L12</f>
        <v>0</v>
      </c>
      <c r="AI14" s="335">
        <f>M17+AA14+AF14-I17-'Sankey 2050'!L12</f>
        <v>0</v>
      </c>
      <c r="AJ14" s="160"/>
      <c r="AK14" s="235" t="s">
        <v>311</v>
      </c>
      <c r="AL14" s="233">
        <f t="shared" si="3"/>
        <v>2.6509471510001222E-2</v>
      </c>
      <c r="AM14" s="233">
        <f t="shared" si="4"/>
        <v>1.2286359569586666E-2</v>
      </c>
    </row>
    <row r="15" spans="1:39" ht="12.75" x14ac:dyDescent="0.2">
      <c r="A15" s="168" t="s">
        <v>36</v>
      </c>
      <c r="B15" s="183"/>
      <c r="C15" s="175">
        <f>'FLUX 2030'!$G7</f>
        <v>9.8811809465741511</v>
      </c>
      <c r="D15" s="169"/>
      <c r="E15" s="175">
        <f>'FLUX 2050'!$G7</f>
        <v>19.904163043287927</v>
      </c>
      <c r="G15" s="165" t="s">
        <v>132</v>
      </c>
      <c r="H15" s="165">
        <f>B19</f>
        <v>5.7821550126292083</v>
      </c>
      <c r="I15" s="165">
        <f>'Sankey 2050'!H11</f>
        <v>10.86429151024906</v>
      </c>
      <c r="J15" s="236">
        <f t="shared" si="7"/>
        <v>2308</v>
      </c>
      <c r="K15" s="165" t="s">
        <v>159</v>
      </c>
      <c r="L15" s="185">
        <f>'Sankey 2030'!$M11</f>
        <v>1.5642977288971296</v>
      </c>
      <c r="M15" s="185">
        <f>'Sankey 2050'!$M11</f>
        <v>2.8248165147859479</v>
      </c>
      <c r="N15" s="160"/>
      <c r="O15" s="135" t="s">
        <v>353</v>
      </c>
      <c r="P15" s="239">
        <f t="shared" ref="P15:Q19" si="9">L18</f>
        <v>12.918034673006526</v>
      </c>
      <c r="Q15" s="239">
        <f t="shared" si="9"/>
        <v>7.4675609413432582</v>
      </c>
      <c r="R15" s="160"/>
      <c r="S15" s="160"/>
      <c r="T15" s="135" t="s">
        <v>171</v>
      </c>
      <c r="U15" s="233">
        <f t="shared" si="0"/>
        <v>5.2351698708298255E-2</v>
      </c>
      <c r="V15" s="233">
        <f t="shared" si="1"/>
        <v>7.5857951156942049E-2</v>
      </c>
      <c r="W15" s="233">
        <f t="shared" si="8"/>
        <v>0</v>
      </c>
      <c r="Y15" s="235" t="s">
        <v>188</v>
      </c>
      <c r="Z15" s="233">
        <f>'Sankey 2030'!$J13</f>
        <v>0.6762810591045878</v>
      </c>
      <c r="AA15" s="233">
        <f>'Sankey 2050'!$J13</f>
        <v>0.56647387314990505</v>
      </c>
      <c r="AB15" s="240"/>
      <c r="AD15" s="235" t="s">
        <v>206</v>
      </c>
      <c r="AE15" s="233">
        <f>'Sankey 2030'!K13</f>
        <v>0.4928457160988558</v>
      </c>
      <c r="AF15" s="233">
        <f>'Sankey 2050'!$K13</f>
        <v>0.45705014181654291</v>
      </c>
      <c r="AG15" s="233">
        <f t="shared" si="2"/>
        <v>0.45705014181654291</v>
      </c>
      <c r="AH15" s="335">
        <f>L18+Z15+AE15-H18-'Sankey 2030'!$L13</f>
        <v>0</v>
      </c>
      <c r="AI15" s="335">
        <f>M18+AA15+AF15-I18-'Sankey 2050'!L13</f>
        <v>0</v>
      </c>
      <c r="AJ15" s="160"/>
      <c r="AK15" s="235" t="s">
        <v>312</v>
      </c>
      <c r="AL15" s="233">
        <f t="shared" si="3"/>
        <v>3.8151756716422527E-2</v>
      </c>
      <c r="AM15" s="233">
        <f t="shared" si="4"/>
        <v>6.1204742138244825E-2</v>
      </c>
    </row>
    <row r="16" spans="1:39" ht="12.75" x14ac:dyDescent="0.2">
      <c r="A16" s="170" t="s">
        <v>44</v>
      </c>
      <c r="B16" s="184"/>
      <c r="C16" s="175">
        <f>'FLUX 2030'!$G15</f>
        <v>0.97194045275411034</v>
      </c>
      <c r="D16" s="177"/>
      <c r="E16" s="175">
        <f>'FLUX 2050'!$G15</f>
        <v>2.0777339018465657</v>
      </c>
      <c r="G16" s="164" t="s">
        <v>133</v>
      </c>
      <c r="H16" s="164">
        <f>SUM(H17:H22)</f>
        <v>44.454427549605704</v>
      </c>
      <c r="I16" s="164">
        <f>SUM(I17:I22)</f>
        <v>34.105533442666925</v>
      </c>
      <c r="J16" s="236"/>
      <c r="K16" s="164" t="s">
        <v>133</v>
      </c>
      <c r="L16" s="164">
        <f>SUM(L17:L22)</f>
        <v>43.298141459051493</v>
      </c>
      <c r="M16" s="164">
        <f>SUM(M17:M22)</f>
        <v>30.961657685880237</v>
      </c>
      <c r="N16" s="160"/>
      <c r="O16" s="135" t="s">
        <v>354</v>
      </c>
      <c r="P16" s="239">
        <f t="shared" si="9"/>
        <v>5.9534691847107712</v>
      </c>
      <c r="Q16" s="239">
        <f t="shared" si="9"/>
        <v>8.0886208863126488</v>
      </c>
      <c r="T16" s="135" t="s">
        <v>172</v>
      </c>
      <c r="U16" s="233">
        <f t="shared" si="0"/>
        <v>7.7488956505703352E-2</v>
      </c>
      <c r="V16" s="233">
        <f t="shared" si="1"/>
        <v>0.21451628721287974</v>
      </c>
      <c r="W16" s="233">
        <f t="shared" si="8"/>
        <v>0</v>
      </c>
      <c r="Y16" s="235" t="s">
        <v>189</v>
      </c>
      <c r="Z16" s="233">
        <f>'Sankey 2030'!$J14</f>
        <v>0.46132811471209817</v>
      </c>
      <c r="AA16" s="233">
        <f>'Sankey 2050'!$J14</f>
        <v>1.735140921204342</v>
      </c>
      <c r="AB16" s="240"/>
      <c r="AD16" s="235" t="s">
        <v>207</v>
      </c>
      <c r="AE16" s="233">
        <f>'Sankey 2030'!K14</f>
        <v>8.5941945109945919E-2</v>
      </c>
      <c r="AF16" s="233">
        <f>'Sankey 2050'!$K14</f>
        <v>0.15541155920413161</v>
      </c>
      <c r="AG16" s="233">
        <f t="shared" si="2"/>
        <v>0.15541155920413161</v>
      </c>
      <c r="AH16" s="335">
        <f>L19+Z16+AE16-H19-'Sankey 2030'!$L14</f>
        <v>0</v>
      </c>
      <c r="AI16" s="335">
        <f>M19+AA16+AF16-I19-'Sankey 2050'!L14</f>
        <v>-1.4432899320127035E-15</v>
      </c>
      <c r="AJ16" s="160"/>
      <c r="AK16" s="235" t="s">
        <v>313</v>
      </c>
      <c r="AL16" s="233">
        <f t="shared" si="3"/>
        <v>1.4435607616926149E-2</v>
      </c>
      <c r="AM16" s="233">
        <f t="shared" si="4"/>
        <v>1.9213604072743098E-2</v>
      </c>
    </row>
    <row r="17" spans="1:39" ht="12.75" x14ac:dyDescent="0.2">
      <c r="A17" s="182" t="s">
        <v>131</v>
      </c>
      <c r="B17" s="165">
        <f>'FLUX 2030'!$G9</f>
        <v>4.9805941041412307</v>
      </c>
      <c r="C17" s="175"/>
      <c r="D17" s="173">
        <f>'FLUX 2050'!$G9</f>
        <v>10.388370354887599</v>
      </c>
      <c r="E17" s="105"/>
      <c r="G17" s="165" t="s">
        <v>134</v>
      </c>
      <c r="H17" s="165">
        <f>B28</f>
        <v>18.473584860625493</v>
      </c>
      <c r="I17" s="165">
        <f>'Sankey 2050'!H12</f>
        <v>6.2090075424215581</v>
      </c>
      <c r="J17" s="236">
        <v>2401</v>
      </c>
      <c r="K17" s="165" t="s">
        <v>134</v>
      </c>
      <c r="L17" s="185">
        <f>'Sankey 2030'!$M12</f>
        <v>17.996506971777617</v>
      </c>
      <c r="M17" s="185">
        <f>'Sankey 2050'!$M12</f>
        <v>6.1336473456597416</v>
      </c>
      <c r="N17" s="160"/>
      <c r="O17" s="135" t="s">
        <v>355</v>
      </c>
      <c r="P17" s="239">
        <f t="shared" si="9"/>
        <v>1.4137421371596868</v>
      </c>
      <c r="Q17" s="239">
        <f t="shared" si="9"/>
        <v>1.3118355216861455</v>
      </c>
      <c r="T17" s="135" t="s">
        <v>173</v>
      </c>
      <c r="U17" s="233">
        <f t="shared" si="0"/>
        <v>8.8667902795883463E-2</v>
      </c>
      <c r="V17" s="233">
        <f t="shared" si="1"/>
        <v>8.0040522050386337E-2</v>
      </c>
      <c r="W17" s="233">
        <f t="shared" si="8"/>
        <v>0</v>
      </c>
      <c r="Y17" s="235" t="s">
        <v>190</v>
      </c>
      <c r="Z17" s="233">
        <f>'Sankey 2030'!$J15</f>
        <v>0.12535355039611965</v>
      </c>
      <c r="AA17" s="233">
        <f>'Sankey 2050'!$J15</f>
        <v>0.10499999999999998</v>
      </c>
      <c r="AB17" s="240"/>
      <c r="AD17" s="235" t="s">
        <v>208</v>
      </c>
      <c r="AE17" s="233">
        <f>'Sankey 2030'!K15</f>
        <v>9.6051328232159228E-2</v>
      </c>
      <c r="AF17" s="233">
        <f>'Sankey 2050'!$K15</f>
        <v>8.4717525671369184E-2</v>
      </c>
      <c r="AG17" s="233">
        <f t="shared" si="2"/>
        <v>8.4717525671369184E-2</v>
      </c>
      <c r="AH17" s="335">
        <f>L20+Z17+AE17-H20-'Sankey 2030'!$L15</f>
        <v>0</v>
      </c>
      <c r="AI17" s="335">
        <f>M20+AA17+AF17-I20-'Sankey 2050'!L15</f>
        <v>0</v>
      </c>
      <c r="AJ17" s="160"/>
      <c r="AK17" s="235" t="s">
        <v>314</v>
      </c>
      <c r="AL17" s="233">
        <f t="shared" si="3"/>
        <v>6.7941193593573937E-2</v>
      </c>
      <c r="AM17" s="233">
        <f t="shared" si="4"/>
        <v>6.4579380776699016E-2</v>
      </c>
    </row>
    <row r="18" spans="1:39" ht="12.75" x14ac:dyDescent="0.2">
      <c r="A18" s="182" t="s">
        <v>37</v>
      </c>
      <c r="B18" s="165">
        <f>'FLUX 2030'!$G8</f>
        <v>5.6060607451821554</v>
      </c>
      <c r="C18" s="176"/>
      <c r="D18" s="173">
        <f>'FLUX 2050'!$G8</f>
        <v>5.268713384767346</v>
      </c>
      <c r="E18" s="105"/>
      <c r="G18" s="165" t="s">
        <v>137</v>
      </c>
      <c r="H18" s="165">
        <f>B29</f>
        <v>14.087161448209969</v>
      </c>
      <c r="I18" s="165">
        <f>'Sankey 2050'!H13</f>
        <v>8.4910849563097059</v>
      </c>
      <c r="J18" s="236">
        <f>J17+1</f>
        <v>2402</v>
      </c>
      <c r="K18" s="165" t="s">
        <v>137</v>
      </c>
      <c r="L18" s="185">
        <f>'Sankey 2030'!$M13</f>
        <v>12.918034673006526</v>
      </c>
      <c r="M18" s="185">
        <f>'Sankey 2050'!$M13</f>
        <v>7.4675609413432582</v>
      </c>
      <c r="N18" s="160"/>
      <c r="O18" s="135" t="s">
        <v>356</v>
      </c>
      <c r="P18" s="239">
        <f t="shared" si="9"/>
        <v>3.8350899922510604</v>
      </c>
      <c r="Q18" s="239">
        <f t="shared" si="9"/>
        <v>5.8377851847658802</v>
      </c>
      <c r="T18" s="135" t="s">
        <v>174</v>
      </c>
      <c r="U18" s="233">
        <f t="shared" si="0"/>
        <v>0.11673552702004115</v>
      </c>
      <c r="V18" s="233">
        <f t="shared" si="1"/>
        <v>6.4236690479565678E-2</v>
      </c>
      <c r="W18" s="233">
        <f t="shared" si="8"/>
        <v>0</v>
      </c>
      <c r="Y18" s="235" t="s">
        <v>191</v>
      </c>
      <c r="Z18" s="234">
        <f>'Sankey 2030'!$J16+'Sankey 2030'!$J17</f>
        <v>0.44769125141471311</v>
      </c>
      <c r="AA18" s="233">
        <f>'Sankey 2050'!$J16+'Sankey 2050'!$J17</f>
        <v>0.375</v>
      </c>
      <c r="AB18" s="240"/>
      <c r="AD18" s="235" t="s">
        <v>209</v>
      </c>
      <c r="AE18" s="233">
        <f>'Sankey 2030'!K16+'Sankey 2030'!K17</f>
        <v>0.10609560623607693</v>
      </c>
      <c r="AF18" s="233">
        <f>'Sankey 2050'!$K16+'Sankey 2050'!K17</f>
        <v>0.30256259168346139</v>
      </c>
      <c r="AG18" s="233">
        <f t="shared" si="2"/>
        <v>0.30256259168346139</v>
      </c>
      <c r="AH18" s="335">
        <f>L21+Z18+AE18-H21-('Sankey 2030'!$L16+'Sankey 2030'!L17)</f>
        <v>1.8888768499018509</v>
      </c>
      <c r="AI18" s="335">
        <f>M21+AA18+AF18-I21-('Sankey 2050'!L16+'Sankey 2030'!L17)</f>
        <v>5.4205007334677369E-2</v>
      </c>
      <c r="AJ18" s="160"/>
      <c r="AK18" s="235" t="s">
        <v>315</v>
      </c>
      <c r="AL18" s="233">
        <f t="shared" si="3"/>
        <v>2.7664437197157558E-2</v>
      </c>
      <c r="AM18" s="233">
        <f t="shared" si="4"/>
        <v>5.1828318807108593E-2</v>
      </c>
    </row>
    <row r="19" spans="1:39" ht="12.75" x14ac:dyDescent="0.2">
      <c r="A19" s="182" t="s">
        <v>132</v>
      </c>
      <c r="B19" s="165">
        <f>SUM(C20:C26)</f>
        <v>5.7821550126292083</v>
      </c>
      <c r="C19" s="175"/>
      <c r="D19" s="173">
        <f>SUM(E20:E26)</f>
        <v>10.864291510249059</v>
      </c>
      <c r="E19" s="178"/>
      <c r="G19" s="165" t="s">
        <v>138</v>
      </c>
      <c r="H19" s="165">
        <f>B30</f>
        <v>4.5522516721040951</v>
      </c>
      <c r="I19" s="165">
        <f>'Sankey 2050'!H14</f>
        <v>9.1308197956795603</v>
      </c>
      <c r="J19" s="236">
        <f t="shared" ref="J19:J22" si="10">J18+1</f>
        <v>2403</v>
      </c>
      <c r="K19" s="165" t="s">
        <v>138</v>
      </c>
      <c r="L19" s="185">
        <f>'Sankey 2030'!$M14</f>
        <v>5.9534691847107712</v>
      </c>
      <c r="M19" s="185">
        <f>'Sankey 2050'!$M14</f>
        <v>8.0886208863126488</v>
      </c>
      <c r="N19" s="160"/>
      <c r="O19" s="135" t="s">
        <v>357</v>
      </c>
      <c r="P19" s="239">
        <f t="shared" si="9"/>
        <v>1.1812985001458285</v>
      </c>
      <c r="Q19" s="239">
        <f t="shared" si="9"/>
        <v>2.1222078061125589</v>
      </c>
      <c r="T19" s="135" t="s">
        <v>175</v>
      </c>
      <c r="U19" s="233">
        <f t="shared" si="0"/>
        <v>7.5796464883252909E-2</v>
      </c>
      <c r="V19" s="233">
        <f t="shared" si="1"/>
        <v>3.5340554202080869E-2</v>
      </c>
      <c r="W19" s="233">
        <f t="shared" si="8"/>
        <v>0</v>
      </c>
      <c r="Y19" s="235" t="s">
        <v>192</v>
      </c>
      <c r="Z19" s="233">
        <f>'Sankey 2030'!$J18</f>
        <v>8.9538250282942627E-2</v>
      </c>
      <c r="AA19" s="233">
        <f>'Sankey 2050'!$J18</f>
        <v>7.5000000000000011E-2</v>
      </c>
      <c r="AB19" s="240"/>
      <c r="AD19" s="235" t="s">
        <v>210</v>
      </c>
      <c r="AE19" s="233">
        <f>'Sankey 2030'!K18</f>
        <v>4.6568952547562999E-2</v>
      </c>
      <c r="AF19" s="233">
        <f>'Sankey 2050'!$K18</f>
        <v>6.0512518336692279E-2</v>
      </c>
      <c r="AG19" s="233">
        <f t="shared" si="2"/>
        <v>6.0512518336692279E-2</v>
      </c>
      <c r="AH19" s="335">
        <f>L22+Z19+AE19-H22-'Sankey 2030'!$L18</f>
        <v>-1.8888768499018507</v>
      </c>
      <c r="AI19" s="335">
        <f>M22+AA19+AF19-I22-'Sankey 2050'!L18</f>
        <v>-5.420500733467648E-2</v>
      </c>
      <c r="AJ19" s="160"/>
      <c r="AK19" s="235" t="s">
        <v>316</v>
      </c>
      <c r="AL19" s="233">
        <f t="shared" si="3"/>
        <v>3.9421833297692471E-2</v>
      </c>
      <c r="AM19" s="233">
        <f t="shared" si="4"/>
        <v>2.8513945789097141E-2</v>
      </c>
    </row>
    <row r="20" spans="1:39" ht="12.75" x14ac:dyDescent="0.2">
      <c r="A20" s="168" t="s">
        <v>40</v>
      </c>
      <c r="B20" s="183"/>
      <c r="C20" s="175">
        <f>'FLUX 2030'!$G11</f>
        <v>0.68802668829365987</v>
      </c>
      <c r="D20" s="169"/>
      <c r="E20" s="175">
        <f>'FLUX 2050'!$G11</f>
        <v>1.2276659242186883</v>
      </c>
      <c r="G20" s="165" t="s">
        <v>135</v>
      </c>
      <c r="H20" s="165">
        <f t="shared" ref="H20:H21" si="11">B31</f>
        <v>1.6351470157879655</v>
      </c>
      <c r="I20" s="165">
        <f>'Sankey 2050'!H15</f>
        <v>1.5015530473575147</v>
      </c>
      <c r="J20" s="236">
        <f t="shared" si="10"/>
        <v>2404</v>
      </c>
      <c r="K20" s="165" t="s">
        <v>135</v>
      </c>
      <c r="L20" s="185">
        <f>'Sankey 2030'!$M15</f>
        <v>1.4137421371596868</v>
      </c>
      <c r="M20" s="185">
        <f>'Sankey 2050'!$M15</f>
        <v>1.3118355216861455</v>
      </c>
      <c r="N20" s="160"/>
      <c r="O20" s="160"/>
      <c r="P20" s="160"/>
      <c r="Q20" s="160"/>
      <c r="Z20" s="336">
        <f>SUM(Z4:Z19)-'Sankey 2030'!J20</f>
        <v>0</v>
      </c>
      <c r="AA20" s="336">
        <f>SUM(AA4:AA19)-'Sankey 2050'!J20</f>
        <v>0</v>
      </c>
      <c r="AB20" s="240"/>
      <c r="AE20" s="359">
        <f>SUM(AE4:AE19)-SUM('Sankey 2030'!K2:K18)</f>
        <v>0</v>
      </c>
      <c r="AF20" s="359">
        <f>SUM(AF4:AF19)-SUM('Sankey 2050'!K2:K18)</f>
        <v>0</v>
      </c>
      <c r="AG20" s="236"/>
      <c r="AJ20" s="160"/>
    </row>
    <row r="21" spans="1:39" ht="12.75" x14ac:dyDescent="0.2">
      <c r="A21" s="170" t="s">
        <v>41</v>
      </c>
      <c r="B21" s="184"/>
      <c r="C21" s="175">
        <f>'FLUX 2030'!$G12</f>
        <v>0.9177983763964116</v>
      </c>
      <c r="D21" s="177"/>
      <c r="E21" s="175">
        <f>'FLUX 2050'!$G12</f>
        <v>1.197005333333333</v>
      </c>
      <c r="G21" s="165" t="s">
        <v>158</v>
      </c>
      <c r="H21" s="165">
        <f t="shared" si="11"/>
        <v>2.5</v>
      </c>
      <c r="I21" s="165">
        <f>'Sankey 2050'!H16</f>
        <v>6.4611427691146641</v>
      </c>
      <c r="J21" s="236">
        <f t="shared" si="10"/>
        <v>2405</v>
      </c>
      <c r="K21" s="165" t="s">
        <v>157</v>
      </c>
      <c r="L21" s="185">
        <f>'Sankey 2030'!$M16</f>
        <v>3.8350899922510604</v>
      </c>
      <c r="M21" s="185">
        <f>'Sankey 2050'!$M16</f>
        <v>5.8377851847658802</v>
      </c>
      <c r="N21" s="160"/>
      <c r="O21" s="160"/>
      <c r="P21" s="160"/>
      <c r="Q21" s="160"/>
      <c r="Z21" s="237"/>
      <c r="AA21" s="237"/>
    </row>
    <row r="22" spans="1:39" ht="12.75" x14ac:dyDescent="0.2">
      <c r="A22" s="168" t="s">
        <v>149</v>
      </c>
      <c r="B22" s="183"/>
      <c r="C22" s="175">
        <f>'FLUX 2030'!$G13</f>
        <v>3.7034529418850735</v>
      </c>
      <c r="D22" s="169"/>
      <c r="E22" s="175">
        <f>'FLUX 2050'!$G13</f>
        <v>7.4225842526970363</v>
      </c>
      <c r="G22" s="165" t="s">
        <v>139</v>
      </c>
      <c r="H22" s="165">
        <f>B33</f>
        <v>3.2062825528781849</v>
      </c>
      <c r="I22" s="165">
        <f>'Sankey 2050'!H17+'Sankey 2050'!H18</f>
        <v>2.3119253317839279</v>
      </c>
      <c r="J22" s="236">
        <f t="shared" si="10"/>
        <v>2406</v>
      </c>
      <c r="K22" s="165" t="s">
        <v>211</v>
      </c>
      <c r="L22" s="185">
        <f>'Sankey 2030'!$M17+'Sankey 2030'!$M18</f>
        <v>1.1812985001458285</v>
      </c>
      <c r="M22" s="185">
        <f>'Sankey 2050'!$M17+'Sankey 2050'!$M18</f>
        <v>2.1222078061125589</v>
      </c>
      <c r="N22" s="160"/>
      <c r="O22" s="160"/>
      <c r="P22" s="160"/>
      <c r="Q22" s="160"/>
      <c r="R22" s="160"/>
      <c r="S22" s="160"/>
    </row>
    <row r="23" spans="1:39" ht="12.75" x14ac:dyDescent="0.2">
      <c r="A23" s="170" t="s">
        <v>136</v>
      </c>
      <c r="B23" s="184"/>
      <c r="C23" s="175">
        <f>'FLUX 2030'!$G14</f>
        <v>0.47287700605406352</v>
      </c>
      <c r="D23" s="177"/>
      <c r="E23" s="175">
        <f>'FLUX 2050'!$G14</f>
        <v>1.0170360000000014</v>
      </c>
      <c r="G23" s="164" t="s">
        <v>58</v>
      </c>
      <c r="H23" s="164">
        <f>B37</f>
        <v>5.0588131868202808</v>
      </c>
      <c r="I23" s="164">
        <f>'Sankey 2050'!H19</f>
        <v>4.0201856086575631</v>
      </c>
      <c r="J23" s="236"/>
      <c r="K23" s="164" t="s">
        <v>58</v>
      </c>
      <c r="L23" s="164">
        <f>'Sankey 2030'!$M19</f>
        <v>4.9943829165500091</v>
      </c>
      <c r="M23" s="164">
        <f>'Sankey 2050'!$M19</f>
        <v>4.0201856086575631</v>
      </c>
      <c r="N23" s="160"/>
      <c r="O23" s="135" t="s">
        <v>358</v>
      </c>
      <c r="P23" s="239">
        <f>P4</f>
        <v>39.225221161762398</v>
      </c>
      <c r="Q23" s="239">
        <f>Q4</f>
        <v>5.4939139155408521</v>
      </c>
      <c r="R23" s="160"/>
      <c r="S23" s="160"/>
      <c r="Y23" s="238"/>
    </row>
    <row r="24" spans="1:39" ht="12.75" x14ac:dyDescent="0.2">
      <c r="A24" s="168" t="s">
        <v>150</v>
      </c>
      <c r="B24" s="183"/>
      <c r="C24" s="175">
        <f>'FLUX 2030'!$G16</f>
        <v>1.6987664523882241E-54</v>
      </c>
      <c r="D24" s="169"/>
      <c r="E24" s="175">
        <f>'FLUX 2050'!$G16</f>
        <v>0</v>
      </c>
      <c r="O24" s="135" t="s">
        <v>359</v>
      </c>
      <c r="P24" s="239">
        <f>P5</f>
        <v>3</v>
      </c>
      <c r="Q24" s="239">
        <f>Q5</f>
        <v>2.9995839860144069</v>
      </c>
    </row>
    <row r="25" spans="1:39" ht="12.75" x14ac:dyDescent="0.2">
      <c r="A25" s="343" t="s">
        <v>151</v>
      </c>
      <c r="B25" s="184"/>
      <c r="C25" s="361">
        <v>0</v>
      </c>
      <c r="D25" s="177"/>
      <c r="E25" s="361">
        <v>0</v>
      </c>
      <c r="L25" s="160">
        <f>SUM(L3,L7,L16,L23)-SUM('FLUX 2030'!V7:V43,'FLUX 2030'!$P$12)</f>
        <v>0</v>
      </c>
      <c r="M25" s="160">
        <f>SUM(M3,M7,M16,M23)-SUM('FLUX 2050'!$V$34:$V$43,'FLUX 2050'!$V$26:$V$32,'FLUX 2050'!$V$21:$V$24,'FLUX 2050'!$V$7:$V$19,'FLUX 2050'!$P$12)</f>
        <v>0</v>
      </c>
      <c r="O25" s="135" t="s">
        <v>360</v>
      </c>
      <c r="P25" s="239">
        <f>P6-'FLUX 2030'!$P$12*P6/SUM($P$6:$P$13)</f>
        <v>16.463106515136602</v>
      </c>
      <c r="Q25" s="239">
        <f>Q6-'FLUX 2050'!$P$12*Q6/SUM($P$6:$P$13)</f>
        <v>0</v>
      </c>
    </row>
    <row r="26" spans="1:39" ht="12.75" x14ac:dyDescent="0.2">
      <c r="A26" s="168" t="s">
        <v>47</v>
      </c>
      <c r="B26" s="183"/>
      <c r="C26" s="361">
        <v>0</v>
      </c>
      <c r="D26" s="169"/>
      <c r="E26" s="361">
        <v>0</v>
      </c>
      <c r="O26" s="135" t="s">
        <v>361</v>
      </c>
      <c r="P26" s="239">
        <f>P7-'FLUX 2030'!$P$12*P7/SUM($P$6:$P$13)</f>
        <v>0.22016654543572223</v>
      </c>
      <c r="Q26" s="239">
        <f>Q7-'FLUX 2050'!$P$12*Q7/SUM($P$6:$P$13)</f>
        <v>0</v>
      </c>
    </row>
    <row r="27" spans="1:39" ht="12.75" x14ac:dyDescent="0.2">
      <c r="A27" s="181" t="s">
        <v>133</v>
      </c>
      <c r="B27" s="164">
        <f>SUM(B28:B33)</f>
        <v>44.454427549605704</v>
      </c>
      <c r="C27" s="339">
        <f>B27-SUM('FLUX 2030'!G21:G22,'FLUX 2030'!G24,'FLUX 2030'!G26:G31)+SUM('FLUX 2030'!S21:S24)-SUM('FLUX 2030'!G34:G38,'FLUX 2030'!G42)+SUM('FLUX 2030'!AA21:AA24)</f>
        <v>-5.3290705182007514E-15</v>
      </c>
      <c r="D27" s="172">
        <f>SUM(D28:D33)</f>
        <v>31.432487153255291</v>
      </c>
      <c r="E27" s="337">
        <f>D27-SUM('FLUX 2050'!G21:G22,'FLUX 2050'!G24,'FLUX 2050'!G26:G31)+SUM('FLUX 2050'!S21:S24)-SUM('FLUX 2050'!G34:G38,'FLUX 2050'!G42)+SUM('FLUX 2050'!AA21:AA24)</f>
        <v>0</v>
      </c>
      <c r="O27" s="135" t="s">
        <v>362</v>
      </c>
      <c r="P27" s="239">
        <f>P8-'FLUX 2030'!$P$12*P8/SUM($P$6:$P$13)</f>
        <v>1.2627835492721076</v>
      </c>
      <c r="Q27" s="239">
        <f>Q8-'FLUX 2050'!$P$12*Q8/SUM($P$6:$P$13)</f>
        <v>4.7829482866921147</v>
      </c>
    </row>
    <row r="28" spans="1:39" ht="12.75" x14ac:dyDescent="0.2">
      <c r="A28" s="182" t="s">
        <v>134</v>
      </c>
      <c r="B28" s="342">
        <f>'FLUX 2030'!$G24-'Cibles THREEME'!B12-'FLUX 2030'!AA21*'FLUX 2030'!K24/'FLUX 2030'!L21</f>
        <v>18.473584860625493</v>
      </c>
      <c r="C28" s="175"/>
      <c r="D28" s="173">
        <f>'FLUX 2050'!$G24-'Cibles THREEME'!D12-'FLUX 2050'!AA21*'FLUX 2050'!K24/'FLUX 2050'!L21</f>
        <v>3.1801977224704294</v>
      </c>
      <c r="E28" s="178"/>
      <c r="O28" s="135" t="s">
        <v>363</v>
      </c>
      <c r="P28" s="239">
        <f>P9-'FLUX 2030'!$P$12*P9/SUM($P$6:$P$13)</f>
        <v>0.86804014329496226</v>
      </c>
      <c r="Q28" s="239">
        <f>Q9-'FLUX 2050'!$P$12*Q9/SUM($P$6:$P$13)</f>
        <v>0</v>
      </c>
    </row>
    <row r="29" spans="1:39" ht="12.75" x14ac:dyDescent="0.2">
      <c r="A29" s="182" t="s">
        <v>152</v>
      </c>
      <c r="B29" s="165">
        <f>'FLUX 2030'!$G29+'FLUX 2030'!$G35</f>
        <v>14.087161448209969</v>
      </c>
      <c r="C29" s="175"/>
      <c r="D29" s="173">
        <f>'FLUX 2050'!$G29+'FLUX 2050'!$G35</f>
        <v>8.4910849563097059</v>
      </c>
      <c r="E29" s="178"/>
      <c r="O29" s="135" t="s">
        <v>364</v>
      </c>
      <c r="P29" s="239">
        <f>P10-'FLUX 2030'!$P$12*P10/SUM($P$6:$P$13)</f>
        <v>6.8288423473543372</v>
      </c>
      <c r="Q29" s="239">
        <f>Q10-'FLUX 2050'!$P$12*Q10/SUM($P$6:$P$13)</f>
        <v>13.650547499277637</v>
      </c>
    </row>
    <row r="30" spans="1:39" ht="12.75" x14ac:dyDescent="0.2">
      <c r="A30" s="182" t="s">
        <v>153</v>
      </c>
      <c r="B30" s="342">
        <f>'FLUX 2030'!G21+'FLUX 2030'!G22+'FLUX 2030'!G26+'FLUX 2030'!G34-SUM('FLUX 2030'!AA21)*SUM('FLUX 2030'!K21:K23)/'FLUX 2030'!L21-C25-C26</f>
        <v>4.5522516721040951</v>
      </c>
      <c r="C30" s="175"/>
      <c r="D30" s="338">
        <f>'FLUX 2050'!G21+'FLUX 2050'!G22+'FLUX 2050'!G26+'FLUX 2050'!G34-SUM('FLUX 2050'!AA21)*SUM('FLUX 2050'!K21:K23)/'FLUX 2050'!L21-E25-E26</f>
        <v>9.4865833262190513</v>
      </c>
      <c r="E30" s="179"/>
      <c r="F30" s="340"/>
      <c r="O30" s="135" t="s">
        <v>365</v>
      </c>
      <c r="P30" s="239">
        <f>P11-'FLUX 2030'!$P$12*P11/SUM($P$6:$P$13)</f>
        <v>4.3682953629061627</v>
      </c>
      <c r="Q30" s="239">
        <f>Q11-'FLUX 2050'!$P$12*Q11/SUM($P$6:$P$13)</f>
        <v>9.4068677607660423</v>
      </c>
    </row>
    <row r="31" spans="1:39" ht="12.75" x14ac:dyDescent="0.2">
      <c r="A31" s="182" t="s">
        <v>135</v>
      </c>
      <c r="B31" s="165">
        <f>'FLUX 2030'!$G27+'FLUX 2030'!$G42</f>
        <v>1.6351470157879655</v>
      </c>
      <c r="C31" s="175"/>
      <c r="D31" s="173">
        <f>'FLUX 2050'!$G27+'FLUX 2050'!$G42</f>
        <v>1.5015530473575147</v>
      </c>
      <c r="E31" s="179"/>
      <c r="O31" s="135" t="s">
        <v>366</v>
      </c>
      <c r="P31" s="239">
        <f>P12-'FLUX 2030'!$P$12*P12/SUM($P$6:$P$13)</f>
        <v>5.7693221991818362</v>
      </c>
      <c r="Q31" s="239">
        <f>Q12-'FLUX 2050'!$P$12*Q12/SUM($P$6:$P$13)</f>
        <v>6.6523483256545202</v>
      </c>
    </row>
    <row r="32" spans="1:39" ht="12.75" x14ac:dyDescent="0.2">
      <c r="A32" s="182" t="s">
        <v>136</v>
      </c>
      <c r="B32" s="165">
        <f>'FLUX 2030'!$G30+'FLUX 2030'!$G37</f>
        <v>2.5</v>
      </c>
      <c r="C32" s="175"/>
      <c r="D32" s="173">
        <f>'FLUX 2050'!$G30+'FLUX 2050'!$G37</f>
        <v>4.0999999999999996</v>
      </c>
      <c r="E32" s="179"/>
      <c r="O32" s="135" t="s">
        <v>367</v>
      </c>
      <c r="P32" s="239">
        <f>P13-'FLUX 2030'!$P$12*P13/SUM($P$6:$P$13)</f>
        <v>1.4752557351324156</v>
      </c>
      <c r="Q32" s="239">
        <f>Q13-'FLUX 2050'!$P$12*Q13/SUM($P$6:$P$13)</f>
        <v>2.8248165147859479</v>
      </c>
    </row>
    <row r="33" spans="1:17" ht="12.75" x14ac:dyDescent="0.2">
      <c r="A33" s="182" t="s">
        <v>154</v>
      </c>
      <c r="B33" s="167">
        <f>SUM(C34:C36)</f>
        <v>3.2062825528781849</v>
      </c>
      <c r="C33" s="175"/>
      <c r="D33" s="174">
        <f>SUM(E34:E36)</f>
        <v>4.6730681008985933</v>
      </c>
      <c r="E33" s="179"/>
      <c r="O33" s="135" t="s">
        <v>368</v>
      </c>
      <c r="P33" s="239">
        <f>P14</f>
        <v>17.996506971777617</v>
      </c>
      <c r="Q33" s="239">
        <f>Q14</f>
        <v>6.1336473456597416</v>
      </c>
    </row>
    <row r="34" spans="1:17" ht="12.75" x14ac:dyDescent="0.2">
      <c r="A34" s="168" t="s">
        <v>50</v>
      </c>
      <c r="B34" s="183"/>
      <c r="C34" s="175">
        <f>'FLUX 2030'!$G36+'FLUX 2030'!$G31</f>
        <v>0.9710985890996503</v>
      </c>
      <c r="D34" s="169"/>
      <c r="E34" s="175">
        <f>'FLUX 2050'!$G36+'FLUX 2050'!$G31</f>
        <v>1.8119253317839281</v>
      </c>
      <c r="O34" s="135" t="s">
        <v>369</v>
      </c>
      <c r="P34" s="239">
        <f t="shared" ref="P34:Q38" si="12">P15</f>
        <v>12.918034673006526</v>
      </c>
      <c r="Q34" s="239">
        <f t="shared" si="12"/>
        <v>7.4675609413432582</v>
      </c>
    </row>
    <row r="35" spans="1:17" ht="12.75" x14ac:dyDescent="0.2">
      <c r="A35" s="170" t="s">
        <v>45</v>
      </c>
      <c r="B35" s="184"/>
      <c r="C35" s="175">
        <f>'FLUX 2030'!G28</f>
        <v>0.4</v>
      </c>
      <c r="D35" s="177"/>
      <c r="E35" s="175">
        <f>'FLUX 2050'!$G28</f>
        <v>0.5</v>
      </c>
      <c r="O35" s="135" t="s">
        <v>370</v>
      </c>
      <c r="P35" s="239">
        <f t="shared" si="12"/>
        <v>5.9534691847107712</v>
      </c>
      <c r="Q35" s="239">
        <f t="shared" si="12"/>
        <v>8.0886208863126488</v>
      </c>
    </row>
    <row r="36" spans="1:17" ht="12.75" x14ac:dyDescent="0.2">
      <c r="A36" s="168" t="s">
        <v>141</v>
      </c>
      <c r="B36" s="183"/>
      <c r="C36" s="175">
        <f>'FLUX 2030'!$C14</f>
        <v>1.8351839637785343</v>
      </c>
      <c r="D36" s="169"/>
      <c r="E36" s="175">
        <f>'FLUX 2050'!$C14</f>
        <v>2.3611427691146649</v>
      </c>
      <c r="O36" s="135" t="s">
        <v>371</v>
      </c>
      <c r="P36" s="239">
        <f t="shared" si="12"/>
        <v>1.4137421371596868</v>
      </c>
      <c r="Q36" s="239">
        <f t="shared" si="12"/>
        <v>1.3118355216861455</v>
      </c>
    </row>
    <row r="37" spans="1:17" ht="12.75" x14ac:dyDescent="0.2">
      <c r="A37" s="181" t="s">
        <v>58</v>
      </c>
      <c r="B37" s="342">
        <f>'FLUX 2030'!G43</f>
        <v>5.0588131868202808</v>
      </c>
      <c r="C37" s="175"/>
      <c r="D37" s="172">
        <f>'FLUX 2050'!$C24</f>
        <v>4.0201856086575631</v>
      </c>
      <c r="E37" s="337">
        <f>D37-'FLUX 2050'!G43</f>
        <v>0</v>
      </c>
      <c r="O37" s="135" t="s">
        <v>372</v>
      </c>
      <c r="P37" s="239">
        <f t="shared" si="12"/>
        <v>3.8350899922510604</v>
      </c>
      <c r="Q37" s="239">
        <f t="shared" si="12"/>
        <v>5.8377851847658802</v>
      </c>
    </row>
    <row r="38" spans="1:17" ht="12.75" x14ac:dyDescent="0.2">
      <c r="C38" s="166"/>
      <c r="O38" s="135" t="s">
        <v>373</v>
      </c>
      <c r="P38" s="239">
        <f t="shared" si="12"/>
        <v>1.1812985001458285</v>
      </c>
      <c r="Q38" s="239">
        <f t="shared" si="12"/>
        <v>2.1222078061125589</v>
      </c>
    </row>
    <row r="39" spans="1:17" x14ac:dyDescent="0.2">
      <c r="A39" s="159" t="s">
        <v>140</v>
      </c>
    </row>
    <row r="40" spans="1:17" ht="12.75" x14ac:dyDescent="0.2">
      <c r="A40" s="159" t="s">
        <v>321</v>
      </c>
      <c r="B40" s="160">
        <f>B2-('Détail 2030'!$F8+'Détail 2030'!$I8)</f>
        <v>170.44950422675799</v>
      </c>
      <c r="C40" s="160"/>
      <c r="D40" s="160">
        <f>D2-('Détail 2050'!$F8+'Détail 2050'!$I8)</f>
        <v>87.512786992746783</v>
      </c>
      <c r="O40" s="135" t="s">
        <v>374</v>
      </c>
      <c r="P40" s="239">
        <f>P4-P23</f>
        <v>0</v>
      </c>
      <c r="Q40" s="239">
        <f>Q4-Q23</f>
        <v>0</v>
      </c>
    </row>
    <row r="41" spans="1:17" ht="12.75" x14ac:dyDescent="0.2">
      <c r="A41" s="159" t="s">
        <v>146</v>
      </c>
      <c r="B41" s="160">
        <f>('FLUX 2030'!$C13+0.7)-'FLUX 2030'!$G39</f>
        <v>0.70000000000000018</v>
      </c>
      <c r="C41" s="160"/>
      <c r="D41" s="160">
        <f>('FLUX 2050'!$C13+1)-'FLUX 2050'!$G39</f>
        <v>1</v>
      </c>
      <c r="O41" s="135" t="s">
        <v>375</v>
      </c>
      <c r="P41" s="239">
        <f t="shared" ref="P41:Q41" si="13">P5-P24</f>
        <v>0</v>
      </c>
      <c r="Q41" s="239">
        <f t="shared" si="13"/>
        <v>0</v>
      </c>
    </row>
    <row r="42" spans="1:17" ht="12.75" x14ac:dyDescent="0.2">
      <c r="A42" s="159" t="s">
        <v>141</v>
      </c>
      <c r="B42" s="160"/>
      <c r="C42" s="160"/>
      <c r="D42" s="160"/>
      <c r="O42" s="135" t="s">
        <v>376</v>
      </c>
      <c r="P42" s="239">
        <f t="shared" ref="P42:Q42" si="14">P6-P25</f>
        <v>0.99366353423262055</v>
      </c>
      <c r="Q42" s="239">
        <f t="shared" si="14"/>
        <v>0</v>
      </c>
    </row>
    <row r="43" spans="1:17" ht="12.75" x14ac:dyDescent="0.2">
      <c r="A43" s="159" t="s">
        <v>145</v>
      </c>
      <c r="B43" s="159">
        <f>-'FLUX 2030'!$G28</f>
        <v>-0.4</v>
      </c>
      <c r="D43" s="160">
        <f>-'FLUX 2050'!$G28</f>
        <v>-0.5</v>
      </c>
      <c r="O43" s="135" t="s">
        <v>377</v>
      </c>
      <c r="P43" s="239">
        <f t="shared" ref="P43:Q43" si="15">P7-P26</f>
        <v>1.328858969941682E-2</v>
      </c>
      <c r="Q43" s="239">
        <f t="shared" si="15"/>
        <v>0</v>
      </c>
    </row>
    <row r="44" spans="1:17" ht="12.75" x14ac:dyDescent="0.2">
      <c r="A44" s="159" t="s">
        <v>144</v>
      </c>
      <c r="B44" s="160">
        <f>-'FLUX 2030'!$G16</f>
        <v>-1.6987664523882241E-54</v>
      </c>
      <c r="C44" s="160"/>
      <c r="D44" s="160">
        <f>-'FLUX 2050'!$G16</f>
        <v>0</v>
      </c>
      <c r="O44" s="135" t="s">
        <v>378</v>
      </c>
      <c r="P44" s="239">
        <f t="shared" ref="P44:Q44" si="16">P8-P27</f>
        <v>7.6217812439399291E-2</v>
      </c>
      <c r="Q44" s="239">
        <f t="shared" si="16"/>
        <v>0</v>
      </c>
    </row>
    <row r="45" spans="1:17" ht="12.75" x14ac:dyDescent="0.2">
      <c r="B45" s="160"/>
      <c r="C45" s="160"/>
      <c r="D45" s="160"/>
      <c r="O45" s="135" t="s">
        <v>379</v>
      </c>
      <c r="P45" s="239">
        <f t="shared" ref="P45:Q45" si="17">P9-P28</f>
        <v>5.2392289137485726E-2</v>
      </c>
      <c r="Q45" s="239">
        <f t="shared" si="17"/>
        <v>0</v>
      </c>
    </row>
    <row r="46" spans="1:17" ht="12.75" x14ac:dyDescent="0.2">
      <c r="A46" s="159" t="s">
        <v>23</v>
      </c>
      <c r="B46" s="160">
        <f>SUM(B40:B44)</f>
        <v>170.74950422675798</v>
      </c>
      <c r="C46" s="160"/>
      <c r="D46" s="160">
        <f>SUM(D40:D45)</f>
        <v>88.012786992746783</v>
      </c>
      <c r="O46" s="135" t="s">
        <v>380</v>
      </c>
      <c r="P46" s="239">
        <f t="shared" ref="P46:Q46" si="18">P10-P29</f>
        <v>0.41216836053090322</v>
      </c>
      <c r="Q46" s="239">
        <f t="shared" si="18"/>
        <v>0</v>
      </c>
    </row>
    <row r="47" spans="1:17" ht="12.75" x14ac:dyDescent="0.2">
      <c r="A47" s="159" t="s">
        <v>142</v>
      </c>
      <c r="B47" s="160">
        <f>'FLUX 2030'!C5</f>
        <v>185.46950727357458</v>
      </c>
      <c r="C47" s="160"/>
      <c r="D47" s="160">
        <f>'FLUX 2050'!C5</f>
        <v>103.36836145177814</v>
      </c>
      <c r="O47" s="135" t="s">
        <v>381</v>
      </c>
      <c r="P47" s="239">
        <f t="shared" ref="P47:Q47" si="19">P11-P30</f>
        <v>0.26365715394518219</v>
      </c>
      <c r="Q47" s="239">
        <f t="shared" si="19"/>
        <v>0</v>
      </c>
    </row>
    <row r="48" spans="1:17" ht="12.75" x14ac:dyDescent="0.2">
      <c r="B48" s="335">
        <f>B47-B2</f>
        <v>0</v>
      </c>
      <c r="C48" s="336"/>
      <c r="D48" s="335">
        <f>D47-D2</f>
        <v>0</v>
      </c>
      <c r="O48" s="135" t="s">
        <v>382</v>
      </c>
      <c r="P48" s="239">
        <f t="shared" ref="P48:Q48" si="20">P12-P31</f>
        <v>0.34821891489889101</v>
      </c>
      <c r="Q48" s="239">
        <f t="shared" si="20"/>
        <v>0</v>
      </c>
    </row>
    <row r="49" spans="1:17" ht="12.75" x14ac:dyDescent="0.2">
      <c r="O49" s="135" t="s">
        <v>383</v>
      </c>
      <c r="P49" s="239">
        <f t="shared" ref="P49:Q49" si="21">P13-P32</f>
        <v>8.9041993764714E-2</v>
      </c>
      <c r="Q49" s="239">
        <f t="shared" si="21"/>
        <v>0</v>
      </c>
    </row>
    <row r="50" spans="1:17" ht="12.75" x14ac:dyDescent="0.2">
      <c r="A50" s="159" t="s">
        <v>213</v>
      </c>
      <c r="O50" s="135" t="s">
        <v>384</v>
      </c>
      <c r="P50" s="239">
        <f t="shared" ref="P50:Q50" si="22">P14-P33</f>
        <v>0</v>
      </c>
      <c r="Q50" s="239">
        <f t="shared" si="22"/>
        <v>0</v>
      </c>
    </row>
    <row r="51" spans="1:17" ht="12.75" x14ac:dyDescent="0.2">
      <c r="O51" s="135" t="s">
        <v>385</v>
      </c>
      <c r="P51" s="239">
        <f t="shared" ref="P51:Q51" si="23">P15-P34</f>
        <v>0</v>
      </c>
      <c r="Q51" s="239">
        <f t="shared" si="23"/>
        <v>0</v>
      </c>
    </row>
    <row r="52" spans="1:17" ht="12.75" x14ac:dyDescent="0.2">
      <c r="O52" s="135" t="s">
        <v>386</v>
      </c>
      <c r="P52" s="239">
        <f t="shared" ref="P52:Q52" si="24">P16-P35</f>
        <v>0</v>
      </c>
      <c r="Q52" s="239">
        <f t="shared" si="24"/>
        <v>0</v>
      </c>
    </row>
    <row r="53" spans="1:17" ht="12.75" x14ac:dyDescent="0.2">
      <c r="O53" s="135" t="s">
        <v>387</v>
      </c>
      <c r="P53" s="239">
        <f t="shared" ref="P53:Q53" si="25">P17-P36</f>
        <v>0</v>
      </c>
      <c r="Q53" s="239">
        <f t="shared" si="25"/>
        <v>0</v>
      </c>
    </row>
    <row r="54" spans="1:17" ht="12.75" x14ac:dyDescent="0.2">
      <c r="O54" s="135" t="s">
        <v>388</v>
      </c>
      <c r="P54" s="239">
        <f t="shared" ref="P54:Q54" si="26">P18-P37</f>
        <v>0</v>
      </c>
      <c r="Q54" s="239">
        <f t="shared" si="26"/>
        <v>0</v>
      </c>
    </row>
    <row r="55" spans="1:17" ht="12.75" x14ac:dyDescent="0.2">
      <c r="O55" s="135" t="s">
        <v>389</v>
      </c>
      <c r="P55" s="239">
        <f t="shared" ref="P55:Q55" si="27">P19-P38</f>
        <v>0</v>
      </c>
      <c r="Q55" s="239">
        <f t="shared" si="27"/>
        <v>0</v>
      </c>
    </row>
    <row r="57" spans="1:17" ht="12.75" x14ac:dyDescent="0.2">
      <c r="O57" s="135" t="s">
        <v>390</v>
      </c>
      <c r="P57" s="239">
        <f>'Détail 2030'!F8</f>
        <v>13.448653422591534</v>
      </c>
      <c r="Q57" s="239">
        <f>'Détail 2050'!F8</f>
        <v>14.138457641767275</v>
      </c>
    </row>
    <row r="58" spans="1:17" ht="12.75" x14ac:dyDescent="0.2">
      <c r="O58" s="135" t="s">
        <v>391</v>
      </c>
      <c r="P58" s="239">
        <f>L58</f>
        <v>0</v>
      </c>
      <c r="Q58" s="239">
        <f>M58</f>
        <v>0</v>
      </c>
    </row>
    <row r="59" spans="1:17" ht="12.75" x14ac:dyDescent="0.2">
      <c r="O59" s="135" t="s">
        <v>392</v>
      </c>
      <c r="P59" s="239">
        <f>L61</f>
        <v>0</v>
      </c>
      <c r="Q59" s="239">
        <f>M61</f>
        <v>0</v>
      </c>
    </row>
    <row r="60" spans="1:17" ht="12.75" x14ac:dyDescent="0.2">
      <c r="O60" s="135" t="s">
        <v>393</v>
      </c>
      <c r="P60" s="239">
        <f t="shared" ref="P60:P66" si="28">L62</f>
        <v>0</v>
      </c>
      <c r="Q60" s="239">
        <f t="shared" ref="Q60:Q66" si="29">M62</f>
        <v>0</v>
      </c>
    </row>
    <row r="61" spans="1:17" ht="12.75" x14ac:dyDescent="0.2">
      <c r="O61" s="135" t="s">
        <v>394</v>
      </c>
      <c r="P61" s="239">
        <f t="shared" si="28"/>
        <v>0</v>
      </c>
      <c r="Q61" s="239">
        <f t="shared" si="29"/>
        <v>0</v>
      </c>
    </row>
    <row r="62" spans="1:17" ht="12.75" x14ac:dyDescent="0.2">
      <c r="O62" s="135" t="s">
        <v>395</v>
      </c>
      <c r="P62" s="239">
        <f t="shared" si="28"/>
        <v>0</v>
      </c>
      <c r="Q62" s="239">
        <f t="shared" si="29"/>
        <v>0</v>
      </c>
    </row>
    <row r="63" spans="1:17" ht="12.75" x14ac:dyDescent="0.2">
      <c r="O63" s="135" t="s">
        <v>396</v>
      </c>
      <c r="P63" s="239">
        <f t="shared" si="28"/>
        <v>0</v>
      </c>
      <c r="Q63" s="239">
        <f t="shared" si="29"/>
        <v>0</v>
      </c>
    </row>
    <row r="64" spans="1:17" ht="12.75" x14ac:dyDescent="0.2">
      <c r="O64" s="135" t="s">
        <v>397</v>
      </c>
      <c r="P64" s="239">
        <f t="shared" si="28"/>
        <v>0</v>
      </c>
      <c r="Q64" s="239">
        <f t="shared" si="29"/>
        <v>0</v>
      </c>
    </row>
    <row r="65" spans="15:17" ht="12.75" x14ac:dyDescent="0.2">
      <c r="O65" s="135" t="s">
        <v>398</v>
      </c>
      <c r="P65" s="239">
        <f>'Détail 2030'!I8</f>
        <v>1.5713496242250362</v>
      </c>
      <c r="Q65" s="239">
        <f>'Détail 2050'!I8</f>
        <v>1.7171168172640674</v>
      </c>
    </row>
    <row r="66" spans="15:17" ht="12.75" x14ac:dyDescent="0.2">
      <c r="O66" s="135" t="s">
        <v>399</v>
      </c>
      <c r="P66" s="239">
        <f t="shared" si="28"/>
        <v>0</v>
      </c>
      <c r="Q66" s="239">
        <f t="shared" si="29"/>
        <v>0</v>
      </c>
    </row>
    <row r="67" spans="15:17" ht="12.75" x14ac:dyDescent="0.2">
      <c r="O67" s="135" t="s">
        <v>400</v>
      </c>
      <c r="P67" s="239">
        <f>L70</f>
        <v>0</v>
      </c>
      <c r="Q67" s="239">
        <f>M70</f>
        <v>0</v>
      </c>
    </row>
    <row r="68" spans="15:17" ht="12.75" x14ac:dyDescent="0.2">
      <c r="O68" s="135" t="s">
        <v>401</v>
      </c>
      <c r="P68" s="239">
        <f t="shared" ref="P68:P72" si="30">L71</f>
        <v>0</v>
      </c>
      <c r="Q68" s="239">
        <f t="shared" ref="Q68:Q72" si="31">M71</f>
        <v>0</v>
      </c>
    </row>
    <row r="69" spans="15:17" ht="12.75" x14ac:dyDescent="0.2">
      <c r="O69" s="135" t="s">
        <v>402</v>
      </c>
      <c r="P69" s="239">
        <f t="shared" si="30"/>
        <v>0</v>
      </c>
      <c r="Q69" s="239">
        <f t="shared" si="31"/>
        <v>0</v>
      </c>
    </row>
    <row r="70" spans="15:17" ht="12.75" x14ac:dyDescent="0.2">
      <c r="O70" s="135" t="s">
        <v>403</v>
      </c>
      <c r="P70" s="239">
        <f t="shared" si="30"/>
        <v>0</v>
      </c>
      <c r="Q70" s="239">
        <f t="shared" si="31"/>
        <v>0</v>
      </c>
    </row>
    <row r="71" spans="15:17" ht="12.75" x14ac:dyDescent="0.2">
      <c r="O71" s="135" t="s">
        <v>404</v>
      </c>
      <c r="P71" s="239">
        <f t="shared" si="30"/>
        <v>0</v>
      </c>
      <c r="Q71" s="239">
        <f t="shared" si="31"/>
        <v>0</v>
      </c>
    </row>
    <row r="72" spans="15:17" ht="12.75" x14ac:dyDescent="0.2">
      <c r="O72" s="135" t="s">
        <v>405</v>
      </c>
      <c r="P72" s="239">
        <f t="shared" si="30"/>
        <v>0</v>
      </c>
      <c r="Q72" s="239">
        <f t="shared" si="31"/>
        <v>0</v>
      </c>
    </row>
    <row r="74" spans="15:17" x14ac:dyDescent="0.2">
      <c r="O74" s="233" t="s">
        <v>406</v>
      </c>
      <c r="P74" s="234">
        <f>'Sankey 2030'!M37</f>
        <v>1.9484875724287203</v>
      </c>
      <c r="Q74" s="234">
        <f>'Sankey 2050'!M37</f>
        <v>4.2417678552078169</v>
      </c>
    </row>
    <row r="75" spans="15:17" x14ac:dyDescent="0.2">
      <c r="O75" s="233"/>
      <c r="P75" s="233"/>
      <c r="Q75" s="233"/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1"/>
  <sheetViews>
    <sheetView topLeftCell="E1" workbookViewId="0">
      <selection activeCell="M22" sqref="M22"/>
    </sheetView>
  </sheetViews>
  <sheetFormatPr baseColWidth="10" defaultRowHeight="12.75" x14ac:dyDescent="0.2"/>
  <cols>
    <col min="1" max="1" width="3" customWidth="1"/>
    <col min="2" max="2" width="12.5703125" hidden="1" customWidth="1"/>
    <col min="3" max="4" width="0" hidden="1" customWidth="1"/>
    <col min="5" max="5" width="3.7109375" customWidth="1"/>
    <col min="6" max="6" width="0" hidden="1" customWidth="1"/>
    <col min="7" max="7" width="47.85546875" customWidth="1"/>
    <col min="8" max="10" width="12.5703125" customWidth="1"/>
    <col min="11" max="11" width="13.85546875" customWidth="1"/>
    <col min="12" max="12" width="18.85546875" customWidth="1"/>
    <col min="13" max="13" width="12.5703125" customWidth="1"/>
    <col min="14" max="14" width="24" bestFit="1" customWidth="1"/>
    <col min="16" max="16" width="18.85546875" bestFit="1" customWidth="1"/>
  </cols>
  <sheetData>
    <row r="1" spans="1:21" ht="39" thickBot="1" x14ac:dyDescent="0.25">
      <c r="B1" s="241"/>
      <c r="C1" s="242"/>
      <c r="D1" s="242"/>
      <c r="E1" s="242"/>
      <c r="F1" s="243"/>
      <c r="G1" s="270" t="s">
        <v>214</v>
      </c>
      <c r="H1" s="289" t="s">
        <v>298</v>
      </c>
      <c r="I1" s="245" t="s">
        <v>215</v>
      </c>
      <c r="J1" s="244" t="s">
        <v>216</v>
      </c>
      <c r="K1" s="244" t="s">
        <v>217</v>
      </c>
      <c r="L1" s="246" t="s">
        <v>218</v>
      </c>
      <c r="M1" s="244" t="s">
        <v>219</v>
      </c>
      <c r="N1" s="244" t="s">
        <v>220</v>
      </c>
      <c r="O1" s="247" t="s">
        <v>221</v>
      </c>
      <c r="P1" s="247" t="s">
        <v>222</v>
      </c>
    </row>
    <row r="2" spans="1:21" ht="15.75" thickBot="1" x14ac:dyDescent="0.25">
      <c r="A2" t="s">
        <v>326</v>
      </c>
      <c r="B2" s="241"/>
      <c r="C2" s="490">
        <v>22</v>
      </c>
      <c r="D2" s="248"/>
      <c r="E2" s="491" t="s">
        <v>128</v>
      </c>
      <c r="F2" s="257" t="s">
        <v>223</v>
      </c>
      <c r="G2" s="274" t="s">
        <v>69</v>
      </c>
      <c r="H2" s="249">
        <f>H27</f>
        <v>42.177657163185373</v>
      </c>
      <c r="I2" s="135"/>
      <c r="J2" s="249">
        <f>I27+K27</f>
        <v>2.9524360014229734</v>
      </c>
      <c r="K2" s="249">
        <f>L27</f>
        <v>0</v>
      </c>
      <c r="L2" s="249"/>
      <c r="M2" s="249">
        <f>H2-J2-K2+L2</f>
        <v>39.225221161762398</v>
      </c>
      <c r="N2" s="249"/>
      <c r="O2" s="249">
        <f>H2</f>
        <v>42.177657163185373</v>
      </c>
      <c r="P2" s="249">
        <f>M2</f>
        <v>39.225221161762398</v>
      </c>
      <c r="Q2" s="250"/>
      <c r="R2" s="250"/>
      <c r="S2" s="250"/>
      <c r="T2" s="251"/>
      <c r="U2" s="251"/>
    </row>
    <row r="3" spans="1:21" ht="15.75" thickBot="1" x14ac:dyDescent="0.25">
      <c r="A3" t="s">
        <v>327</v>
      </c>
      <c r="B3" s="241"/>
      <c r="C3" s="490"/>
      <c r="D3" s="252" t="s">
        <v>224</v>
      </c>
      <c r="E3" s="491"/>
      <c r="F3" s="253" t="s">
        <v>225</v>
      </c>
      <c r="G3" s="290" t="s">
        <v>299</v>
      </c>
      <c r="H3" s="249">
        <f>H46+H51</f>
        <v>3</v>
      </c>
      <c r="I3" s="249"/>
      <c r="J3" s="249">
        <f>I46+I51+K46+K51</f>
        <v>0</v>
      </c>
      <c r="K3" s="249">
        <f>L46+L51</f>
        <v>0</v>
      </c>
      <c r="L3" s="329">
        <f>-M51</f>
        <v>0</v>
      </c>
      <c r="M3" s="249">
        <f t="shared" ref="M3:M19" si="0">H3-J3-K3+L3</f>
        <v>3</v>
      </c>
      <c r="N3" s="249"/>
      <c r="O3" s="249">
        <f t="shared" ref="O3:O19" si="1">H3</f>
        <v>3</v>
      </c>
      <c r="P3" s="249">
        <f t="shared" ref="P3:P19" si="2">M3</f>
        <v>3</v>
      </c>
      <c r="Q3" s="250"/>
      <c r="R3" s="250"/>
      <c r="S3" s="250"/>
      <c r="T3" s="251"/>
      <c r="U3" s="251"/>
    </row>
    <row r="4" spans="1:21" ht="26.25" thickBot="1" x14ac:dyDescent="0.25">
      <c r="A4" t="s">
        <v>328</v>
      </c>
      <c r="B4" s="241"/>
      <c r="C4" s="490"/>
      <c r="D4" s="254"/>
      <c r="E4" s="491"/>
      <c r="F4" s="255" t="s">
        <v>226</v>
      </c>
      <c r="G4" s="274" t="s">
        <v>39</v>
      </c>
      <c r="H4" s="249">
        <f>H33</f>
        <v>56.880971161190033</v>
      </c>
      <c r="I4" s="135"/>
      <c r="J4" s="249">
        <f>I33+K33</f>
        <v>38.110250677997321</v>
      </c>
      <c r="K4" s="249">
        <f>L33</f>
        <v>1.3139504338234897</v>
      </c>
      <c r="L4" s="249"/>
      <c r="M4" s="249">
        <f t="shared" si="0"/>
        <v>17.456770049369222</v>
      </c>
      <c r="N4" s="249"/>
      <c r="O4" s="249">
        <f t="shared" si="1"/>
        <v>56.880971161190033</v>
      </c>
      <c r="P4" s="249">
        <f t="shared" si="2"/>
        <v>17.456770049369222</v>
      </c>
      <c r="Q4" s="250"/>
      <c r="R4" s="256"/>
      <c r="S4" s="250"/>
      <c r="T4" s="251"/>
      <c r="U4" s="251"/>
    </row>
    <row r="5" spans="1:21" ht="15.75" thickBot="1" x14ac:dyDescent="0.25">
      <c r="A5" t="s">
        <v>329</v>
      </c>
      <c r="B5" s="241"/>
      <c r="C5" s="490">
        <v>23</v>
      </c>
      <c r="D5" s="248"/>
      <c r="E5" s="491" t="s">
        <v>78</v>
      </c>
      <c r="F5" s="257" t="s">
        <v>223</v>
      </c>
      <c r="G5" s="274" t="s">
        <v>129</v>
      </c>
      <c r="H5" s="249">
        <f>H28</f>
        <v>0.72530712530713748</v>
      </c>
      <c r="I5" s="135"/>
      <c r="J5" s="249">
        <f>I28+K28</f>
        <v>0.47428009828010625</v>
      </c>
      <c r="K5" s="249">
        <f>L28</f>
        <v>1.7571891891892188E-2</v>
      </c>
      <c r="L5" s="249"/>
      <c r="M5" s="249">
        <f t="shared" si="0"/>
        <v>0.23345513513513905</v>
      </c>
      <c r="N5" s="249"/>
      <c r="O5" s="249">
        <f t="shared" si="1"/>
        <v>0.72530712530713748</v>
      </c>
      <c r="P5" s="249">
        <f t="shared" si="2"/>
        <v>0.23345513513513905</v>
      </c>
      <c r="Q5" s="250"/>
      <c r="R5" s="250"/>
      <c r="S5" s="250"/>
      <c r="T5" s="251"/>
      <c r="U5" s="251"/>
    </row>
    <row r="6" spans="1:21" ht="26.25" thickBot="1" x14ac:dyDescent="0.25">
      <c r="A6" t="s">
        <v>330</v>
      </c>
      <c r="B6" s="241"/>
      <c r="C6" s="490"/>
      <c r="D6" s="252"/>
      <c r="E6" s="491"/>
      <c r="F6" s="253" t="s">
        <v>227</v>
      </c>
      <c r="G6" s="274" t="s">
        <v>228</v>
      </c>
      <c r="H6" s="249">
        <f>H31+H32</f>
        <v>3.2909403667256698</v>
      </c>
      <c r="I6" s="135"/>
      <c r="J6" s="249">
        <f>I31+K31+I32+K32</f>
        <v>1.8511539562831894</v>
      </c>
      <c r="K6" s="249">
        <f>L31+L32</f>
        <v>0.10078504873097363</v>
      </c>
      <c r="L6" s="249">
        <f>-M31</f>
        <v>0</v>
      </c>
      <c r="M6" s="249">
        <f>H6-J6-K6+L6</f>
        <v>1.3390013617115069</v>
      </c>
      <c r="N6" s="249"/>
      <c r="O6" s="249">
        <f t="shared" si="1"/>
        <v>3.2909403667256698</v>
      </c>
      <c r="P6" s="249">
        <f t="shared" si="2"/>
        <v>1.3390013617115069</v>
      </c>
      <c r="Q6" s="250"/>
      <c r="R6" s="250"/>
      <c r="S6" s="250"/>
      <c r="T6" s="251"/>
      <c r="U6" s="251"/>
    </row>
    <row r="7" spans="1:21" ht="15.75" thickBot="1" x14ac:dyDescent="0.25">
      <c r="A7" t="s">
        <v>331</v>
      </c>
      <c r="B7" s="241"/>
      <c r="C7" s="490"/>
      <c r="D7" s="252"/>
      <c r="E7" s="491"/>
      <c r="F7" s="253" t="s">
        <v>229</v>
      </c>
      <c r="G7" s="274" t="s">
        <v>58</v>
      </c>
      <c r="H7" s="249">
        <f>'FLUX 2030'!G18</f>
        <v>2.6594594594595042</v>
      </c>
      <c r="I7" s="135"/>
      <c r="J7" s="249">
        <f>'FLUX 2030'!I18</f>
        <v>1.7390270270270562</v>
      </c>
      <c r="K7" s="249">
        <v>0</v>
      </c>
      <c r="L7" s="249">
        <v>0</v>
      </c>
      <c r="M7" s="249">
        <f t="shared" si="0"/>
        <v>0.92043243243244799</v>
      </c>
      <c r="N7" s="249"/>
      <c r="O7" s="249">
        <f t="shared" si="1"/>
        <v>2.6594594594595042</v>
      </c>
      <c r="P7" s="249">
        <f t="shared" si="2"/>
        <v>0.92043243243244799</v>
      </c>
      <c r="Q7" s="250"/>
      <c r="R7" s="256"/>
      <c r="S7" s="250"/>
      <c r="T7" s="251"/>
      <c r="U7" s="251"/>
    </row>
    <row r="8" spans="1:21" ht="15.75" thickBot="1" x14ac:dyDescent="0.25">
      <c r="A8" t="s">
        <v>332</v>
      </c>
      <c r="B8" s="241"/>
      <c r="C8" s="490"/>
      <c r="D8" s="252"/>
      <c r="E8" s="491"/>
      <c r="F8" s="253" t="s">
        <v>230</v>
      </c>
      <c r="G8" s="274" t="s">
        <v>231</v>
      </c>
      <c r="H8" s="249">
        <f>H37</f>
        <v>9.8811809465741511</v>
      </c>
      <c r="I8" s="135"/>
      <c r="J8" s="249">
        <f>I37+K37</f>
        <v>0</v>
      </c>
      <c r="K8" s="249">
        <f t="shared" ref="K8:L9" si="3">L37</f>
        <v>0.6916826662601907</v>
      </c>
      <c r="L8" s="249">
        <f>-M37</f>
        <v>-1.9484875724287203</v>
      </c>
      <c r="M8" s="249">
        <f t="shared" si="0"/>
        <v>7.2410107078852404</v>
      </c>
      <c r="N8" s="249"/>
      <c r="O8" s="249">
        <f t="shared" si="1"/>
        <v>9.8811809465741511</v>
      </c>
      <c r="P8" s="249">
        <f t="shared" si="2"/>
        <v>7.2410107078852404</v>
      </c>
      <c r="Q8" s="250"/>
      <c r="R8" s="250"/>
      <c r="S8" s="250"/>
      <c r="T8" s="251"/>
      <c r="U8" s="251"/>
    </row>
    <row r="9" spans="1:21" ht="15.75" thickBot="1" x14ac:dyDescent="0.25">
      <c r="A9" t="s">
        <v>333</v>
      </c>
      <c r="B9" s="241"/>
      <c r="C9" s="490"/>
      <c r="D9" s="252" t="s">
        <v>232</v>
      </c>
      <c r="E9" s="491"/>
      <c r="F9" s="253" t="s">
        <v>233</v>
      </c>
      <c r="G9" s="274" t="s">
        <v>234</v>
      </c>
      <c r="H9" s="249">
        <f>H38</f>
        <v>4.9805941041412307</v>
      </c>
      <c r="I9" s="135"/>
      <c r="J9" s="249">
        <f>I38+K38</f>
        <v>0</v>
      </c>
      <c r="K9" s="249">
        <f t="shared" si="3"/>
        <v>0.3486415872898862</v>
      </c>
      <c r="L9" s="249">
        <f t="shared" si="3"/>
        <v>0</v>
      </c>
      <c r="M9" s="249">
        <f t="shared" si="0"/>
        <v>4.6319525168513449</v>
      </c>
      <c r="N9" s="249"/>
      <c r="O9" s="249">
        <f t="shared" si="1"/>
        <v>4.9805941041412307</v>
      </c>
      <c r="P9" s="249">
        <f t="shared" si="2"/>
        <v>4.6319525168513449</v>
      </c>
      <c r="Q9" s="250"/>
      <c r="R9" s="250"/>
      <c r="S9" s="250"/>
      <c r="T9" s="251"/>
      <c r="U9" s="251"/>
    </row>
    <row r="10" spans="1:21" ht="15.75" thickBot="1" x14ac:dyDescent="0.25">
      <c r="A10" t="s">
        <v>334</v>
      </c>
      <c r="B10" s="241"/>
      <c r="C10" s="490"/>
      <c r="D10" s="252"/>
      <c r="E10" s="491"/>
      <c r="F10" s="253" t="s">
        <v>235</v>
      </c>
      <c r="G10" s="274" t="s">
        <v>236</v>
      </c>
      <c r="H10" s="249">
        <f>H35+H36</f>
        <v>6.578001197936266</v>
      </c>
      <c r="I10" s="135"/>
      <c r="J10" s="249">
        <f>I35+K35+I36+K36</f>
        <v>0</v>
      </c>
      <c r="K10" s="249">
        <f>L35+L36</f>
        <v>0.46046008385553872</v>
      </c>
      <c r="L10" s="249">
        <f>M35+M36</f>
        <v>0</v>
      </c>
      <c r="M10" s="249">
        <f t="shared" si="0"/>
        <v>6.1175411140807272</v>
      </c>
      <c r="N10" s="249"/>
      <c r="O10" s="249">
        <f t="shared" si="1"/>
        <v>6.578001197936266</v>
      </c>
      <c r="P10" s="249">
        <f t="shared" si="2"/>
        <v>6.1175411140807272</v>
      </c>
      <c r="Q10" s="250"/>
      <c r="R10" s="250"/>
      <c r="S10" s="250"/>
      <c r="T10" s="251"/>
      <c r="U10" s="251"/>
    </row>
    <row r="11" spans="1:21" ht="15.75" thickBot="1" x14ac:dyDescent="0.25">
      <c r="A11" t="s">
        <v>335</v>
      </c>
      <c r="B11" s="241"/>
      <c r="C11" s="490"/>
      <c r="D11" s="252"/>
      <c r="E11" s="491"/>
      <c r="F11" s="253" t="s">
        <v>237</v>
      </c>
      <c r="G11" s="274" t="s">
        <v>238</v>
      </c>
      <c r="H11" s="249">
        <f>H40+H47+H54+H56+H59</f>
        <v>5.7821550126292083</v>
      </c>
      <c r="I11" s="135"/>
      <c r="J11" s="249">
        <f>+I40+I47+I54+I56+I59+K40+K47+K54+K56+K59</f>
        <v>4.1001144439226174</v>
      </c>
      <c r="K11" s="249">
        <f>L40+L47+L54+L56+L59</f>
        <v>0.11774283980946137</v>
      </c>
      <c r="L11" s="249">
        <f>M40+M47+M54+M56+M59</f>
        <v>0</v>
      </c>
      <c r="M11" s="249">
        <f>H11-J11-K11+L11</f>
        <v>1.5642977288971296</v>
      </c>
      <c r="N11" s="249"/>
      <c r="O11" s="249">
        <f t="shared" si="1"/>
        <v>5.7821550126292083</v>
      </c>
      <c r="P11" s="249">
        <f t="shared" si="2"/>
        <v>1.5642977288971296</v>
      </c>
      <c r="Q11" s="250"/>
      <c r="R11" s="250"/>
      <c r="S11" s="250"/>
      <c r="T11" s="251"/>
      <c r="U11" s="251"/>
    </row>
    <row r="12" spans="1:21" ht="15.75" thickBot="1" x14ac:dyDescent="0.25">
      <c r="A12" t="s">
        <v>336</v>
      </c>
      <c r="B12" s="241"/>
      <c r="C12" s="490"/>
      <c r="D12" s="252"/>
      <c r="E12" s="491"/>
      <c r="F12" s="253" t="s">
        <v>239</v>
      </c>
      <c r="G12" s="274" t="s">
        <v>49</v>
      </c>
      <c r="H12" s="249">
        <f>H30</f>
        <v>18.473584860625493</v>
      </c>
      <c r="I12" s="135"/>
      <c r="J12" s="249">
        <f>I30+K30</f>
        <v>0</v>
      </c>
      <c r="K12" s="249">
        <f>L30</f>
        <v>0.47707788884787711</v>
      </c>
      <c r="L12" s="249">
        <f>M30</f>
        <v>0</v>
      </c>
      <c r="M12" s="249">
        <f t="shared" si="0"/>
        <v>17.996506971777617</v>
      </c>
      <c r="N12" s="249"/>
      <c r="O12" s="249">
        <f t="shared" si="1"/>
        <v>18.473584860625493</v>
      </c>
      <c r="P12" s="249">
        <f t="shared" si="2"/>
        <v>17.996506971777617</v>
      </c>
      <c r="Q12" s="250"/>
      <c r="R12" s="250"/>
      <c r="S12" s="250"/>
      <c r="T12" s="251"/>
      <c r="U12" s="251"/>
    </row>
    <row r="13" spans="1:21" ht="15.75" thickBot="1" x14ac:dyDescent="0.25">
      <c r="A13" t="s">
        <v>337</v>
      </c>
      <c r="B13" s="241"/>
      <c r="C13" s="490"/>
      <c r="D13" s="254"/>
      <c r="E13" s="491"/>
      <c r="F13" s="255" t="s">
        <v>240</v>
      </c>
      <c r="G13" s="274" t="s">
        <v>149</v>
      </c>
      <c r="H13" s="249">
        <f>H43+H50</f>
        <v>14.087161448209969</v>
      </c>
      <c r="I13" s="135"/>
      <c r="J13" s="249">
        <f>I43+K43+I50+K50</f>
        <v>0.6762810591045878</v>
      </c>
      <c r="K13" s="249">
        <f>L43+L50</f>
        <v>0.4928457160988558</v>
      </c>
      <c r="L13" s="249">
        <f>M43+M50</f>
        <v>0</v>
      </c>
      <c r="M13" s="249">
        <f t="shared" si="0"/>
        <v>12.918034673006526</v>
      </c>
      <c r="N13" s="249"/>
      <c r="O13" s="249">
        <f t="shared" si="1"/>
        <v>14.087161448209969</v>
      </c>
      <c r="P13" s="249">
        <f t="shared" si="2"/>
        <v>12.918034673006526</v>
      </c>
      <c r="Q13" s="250"/>
      <c r="R13" s="250"/>
      <c r="S13" s="250"/>
      <c r="T13" s="251"/>
      <c r="U13" s="251"/>
    </row>
    <row r="14" spans="1:21" ht="15.75" thickBot="1" x14ac:dyDescent="0.25">
      <c r="A14" t="s">
        <v>338</v>
      </c>
      <c r="B14" s="241"/>
      <c r="C14" s="492">
        <v>24</v>
      </c>
      <c r="D14" s="248"/>
      <c r="E14" s="491" t="s">
        <v>241</v>
      </c>
      <c r="F14" s="257" t="s">
        <v>223</v>
      </c>
      <c r="G14" s="274" t="s">
        <v>65</v>
      </c>
      <c r="H14" s="249">
        <f>H45+H53</f>
        <v>4.5522516721040951</v>
      </c>
      <c r="I14" s="249"/>
      <c r="J14" s="249">
        <f>I45+I53+I60+K45+K53+K60</f>
        <v>0.46132811471209817</v>
      </c>
      <c r="K14" s="249">
        <f>L45+L53+L60</f>
        <v>8.5941945109945919E-2</v>
      </c>
      <c r="L14" s="329">
        <f>I61-M32</f>
        <v>1.9484875724287205</v>
      </c>
      <c r="M14" s="249">
        <f t="shared" si="0"/>
        <v>5.9534691847107712</v>
      </c>
      <c r="N14" s="249"/>
      <c r="O14" s="249">
        <f t="shared" si="1"/>
        <v>4.5522516721040951</v>
      </c>
      <c r="P14" s="249">
        <f t="shared" si="2"/>
        <v>5.9534691847107712</v>
      </c>
      <c r="Q14" s="250"/>
      <c r="R14" s="250"/>
      <c r="S14" s="250"/>
      <c r="T14" s="251"/>
      <c r="U14" s="251"/>
    </row>
    <row r="15" spans="1:21" ht="15.75" thickBot="1" x14ac:dyDescent="0.25">
      <c r="A15" t="s">
        <v>339</v>
      </c>
      <c r="B15" s="241"/>
      <c r="C15" s="492"/>
      <c r="D15" s="252"/>
      <c r="E15" s="491"/>
      <c r="F15" s="258" t="s">
        <v>242</v>
      </c>
      <c r="G15" s="274" t="s">
        <v>243</v>
      </c>
      <c r="H15" s="249">
        <f>H57</f>
        <v>1.6351470157879655</v>
      </c>
      <c r="I15" s="135"/>
      <c r="J15" s="249">
        <f>I57+K57</f>
        <v>0.12535355039611965</v>
      </c>
      <c r="K15" s="249">
        <f>L57</f>
        <v>9.6051328232159228E-2</v>
      </c>
      <c r="L15" s="249">
        <f>M57</f>
        <v>0</v>
      </c>
      <c r="M15" s="249">
        <f t="shared" si="0"/>
        <v>1.4137421371596868</v>
      </c>
      <c r="N15" s="249"/>
      <c r="O15" s="249">
        <f t="shared" si="1"/>
        <v>1.6351470157879655</v>
      </c>
      <c r="P15" s="249">
        <f t="shared" si="2"/>
        <v>1.4137421371596868</v>
      </c>
      <c r="Q15" s="250"/>
      <c r="R15" s="250"/>
      <c r="S15" s="250"/>
      <c r="T15" s="251"/>
      <c r="U15" s="251"/>
    </row>
    <row r="16" spans="1:21" ht="30.75" thickBot="1" x14ac:dyDescent="0.25">
      <c r="B16" s="241"/>
      <c r="C16" s="492"/>
      <c r="D16" s="252" t="s">
        <v>244</v>
      </c>
      <c r="E16" s="491"/>
      <c r="F16" s="258" t="s">
        <v>245</v>
      </c>
      <c r="G16" s="274" t="s">
        <v>43</v>
      </c>
      <c r="H16" s="249">
        <f>H41</f>
        <v>4.3351839637785341</v>
      </c>
      <c r="J16" s="249">
        <f>I41+K41</f>
        <v>0.41187595130153604</v>
      </c>
      <c r="K16" s="249">
        <f>L41</f>
        <v>8.8218020225937763E-2</v>
      </c>
      <c r="L16" s="249">
        <f>M41</f>
        <v>0</v>
      </c>
      <c r="M16" s="249">
        <f t="shared" si="0"/>
        <v>3.8350899922510604</v>
      </c>
      <c r="N16" s="249"/>
      <c r="O16" s="249">
        <f t="shared" si="1"/>
        <v>4.3351839637785341</v>
      </c>
      <c r="P16" s="249">
        <f t="shared" si="2"/>
        <v>3.8350899922510604</v>
      </c>
      <c r="Q16" s="250"/>
      <c r="R16" s="250"/>
      <c r="S16" s="250"/>
      <c r="T16" s="251"/>
      <c r="U16" s="251"/>
    </row>
    <row r="17" spans="1:21" ht="15.75" thickBot="1" x14ac:dyDescent="0.25">
      <c r="A17" t="s">
        <v>340</v>
      </c>
      <c r="B17" s="241"/>
      <c r="C17" s="492"/>
      <c r="D17" s="252"/>
      <c r="E17" s="491"/>
      <c r="F17" s="258" t="s">
        <v>246</v>
      </c>
      <c r="G17" s="274" t="s">
        <v>50</v>
      </c>
      <c r="H17" s="249">
        <f>H34</f>
        <v>0.9710985890996503</v>
      </c>
      <c r="I17" s="135"/>
      <c r="J17" s="279">
        <f>I34+K34</f>
        <v>3.5815300113177045E-2</v>
      </c>
      <c r="K17" s="249">
        <f>L34</f>
        <v>1.7877586010139172E-2</v>
      </c>
      <c r="L17" s="249">
        <f>M33</f>
        <v>0</v>
      </c>
      <c r="M17" s="249">
        <f t="shared" si="0"/>
        <v>0.91740570297633406</v>
      </c>
      <c r="N17" s="249"/>
      <c r="O17" s="249">
        <f t="shared" si="1"/>
        <v>0.9710985890996503</v>
      </c>
      <c r="P17" s="249">
        <f t="shared" si="2"/>
        <v>0.91740570297633406</v>
      </c>
      <c r="Q17" s="250"/>
      <c r="R17" s="250"/>
      <c r="S17" s="250"/>
      <c r="T17" s="251"/>
      <c r="U17" s="251"/>
    </row>
    <row r="18" spans="1:21" ht="15.75" thickBot="1" x14ac:dyDescent="0.25">
      <c r="A18" t="s">
        <v>341</v>
      </c>
      <c r="B18" s="241"/>
      <c r="C18" s="492"/>
      <c r="D18" s="252"/>
      <c r="E18" s="491"/>
      <c r="F18" s="258" t="s">
        <v>247</v>
      </c>
      <c r="G18" s="274" t="s">
        <v>238</v>
      </c>
      <c r="H18" s="249">
        <f>H48+H58</f>
        <v>0.4</v>
      </c>
      <c r="I18" s="135"/>
      <c r="J18" s="249">
        <f>I48+I58+K48+K58</f>
        <v>8.9538250282942627E-2</v>
      </c>
      <c r="K18" s="249">
        <f>L48+L58</f>
        <v>4.6568952547562999E-2</v>
      </c>
      <c r="L18" s="249">
        <f>M48</f>
        <v>0</v>
      </c>
      <c r="M18" s="249">
        <f t="shared" si="0"/>
        <v>0.26389279716949443</v>
      </c>
      <c r="N18" s="249"/>
      <c r="O18" s="249">
        <f t="shared" si="1"/>
        <v>0.4</v>
      </c>
      <c r="P18" s="249">
        <f t="shared" si="2"/>
        <v>0.26389279716949443</v>
      </c>
      <c r="Q18" s="250"/>
      <c r="R18" s="250"/>
      <c r="S18" s="250"/>
      <c r="T18" s="251"/>
      <c r="U18" s="251"/>
    </row>
    <row r="19" spans="1:21" ht="15.75" thickBot="1" x14ac:dyDescent="0.25">
      <c r="B19" s="241"/>
      <c r="C19" s="492"/>
      <c r="D19" s="252"/>
      <c r="E19" s="491"/>
      <c r="F19" s="258" t="s">
        <v>248</v>
      </c>
      <c r="G19" s="270" t="s">
        <v>58</v>
      </c>
      <c r="H19" s="249">
        <f>'FLUX 2030'!G43</f>
        <v>5.0588131868202808</v>
      </c>
      <c r="I19" s="135"/>
      <c r="J19" s="249">
        <f>I25-J7</f>
        <v>0</v>
      </c>
      <c r="K19" s="249">
        <f>L25</f>
        <v>6.4430270270271359E-2</v>
      </c>
      <c r="L19" s="249">
        <f>M25</f>
        <v>0</v>
      </c>
      <c r="M19" s="249">
        <f t="shared" si="0"/>
        <v>4.9943829165500091</v>
      </c>
      <c r="N19" s="249"/>
      <c r="O19" s="249">
        <f t="shared" si="1"/>
        <v>5.0588131868202808</v>
      </c>
      <c r="P19" s="249">
        <f t="shared" si="2"/>
        <v>4.9943829165500091</v>
      </c>
      <c r="Q19" s="250"/>
      <c r="R19" s="256"/>
      <c r="S19" s="250"/>
      <c r="T19" s="251"/>
      <c r="U19" s="251"/>
    </row>
    <row r="20" spans="1:21" ht="15.75" thickBot="1" x14ac:dyDescent="0.25">
      <c r="B20" s="241"/>
      <c r="C20" s="492"/>
      <c r="D20" s="252"/>
      <c r="E20" s="491"/>
      <c r="F20" s="258"/>
      <c r="H20" s="251">
        <f>SUM(H2:H3,H4:H11,H12:H19)</f>
        <v>185.46950727357458</v>
      </c>
      <c r="I20" s="251">
        <f t="shared" ref="I20:O20" si="4">SUM(I2:I3,I4:I11,I12:I19)</f>
        <v>0</v>
      </c>
      <c r="J20" s="251">
        <f t="shared" si="4"/>
        <v>51.027454430843733</v>
      </c>
      <c r="K20" s="251">
        <f>SUM(K2:K3,K4:K11,K12:K19)</f>
        <v>4.4198462590041823</v>
      </c>
      <c r="L20" s="251">
        <f>SUM(L2:L3,L4:L11,L12:L19)</f>
        <v>2.2204460492503131E-16</v>
      </c>
      <c r="M20" s="251">
        <f>SUM(M2:M3,M4:M11,M12:M19)</f>
        <v>130.02220658372664</v>
      </c>
      <c r="N20" s="251">
        <f t="shared" si="4"/>
        <v>0</v>
      </c>
      <c r="O20" s="251">
        <f t="shared" si="4"/>
        <v>185.46950727357458</v>
      </c>
      <c r="P20" s="259">
        <f>M20</f>
        <v>130.02220658372664</v>
      </c>
      <c r="R20" s="250"/>
      <c r="T20" s="251"/>
      <c r="U20" s="251"/>
    </row>
    <row r="21" spans="1:21" ht="15.75" thickBot="1" x14ac:dyDescent="0.25">
      <c r="B21" s="241"/>
      <c r="C21" s="492"/>
      <c r="D21" s="252"/>
      <c r="E21" s="491"/>
      <c r="F21" s="260" t="s">
        <v>240</v>
      </c>
      <c r="H21" s="250">
        <f>H20-H63</f>
        <v>0</v>
      </c>
      <c r="I21" s="261"/>
      <c r="J21" s="250">
        <f>J20-I63-K63</f>
        <v>7.1054273576010019E-15</v>
      </c>
      <c r="K21" s="250">
        <f>K20-L63</f>
        <v>0</v>
      </c>
      <c r="L21" s="262"/>
      <c r="M21" s="250">
        <f>M20-N63</f>
        <v>0</v>
      </c>
      <c r="N21" s="250"/>
      <c r="T21" s="251"/>
      <c r="U21" s="251"/>
    </row>
    <row r="22" spans="1:21" ht="15.75" thickBot="1" x14ac:dyDescent="0.3">
      <c r="B22" s="241"/>
      <c r="C22" s="263">
        <v>21</v>
      </c>
      <c r="D22" s="263" t="s">
        <v>249</v>
      </c>
      <c r="E22" s="264"/>
      <c r="F22" s="263" t="s">
        <v>250</v>
      </c>
      <c r="N22" s="251"/>
      <c r="T22" s="251"/>
      <c r="U22" s="251"/>
    </row>
    <row r="23" spans="1:21" ht="15.75" thickBot="1" x14ac:dyDescent="0.3">
      <c r="B23" s="241"/>
      <c r="C23" s="265"/>
      <c r="D23" s="265" t="s">
        <v>251</v>
      </c>
      <c r="E23" s="266"/>
      <c r="F23" s="267"/>
      <c r="G23" t="s">
        <v>296</v>
      </c>
      <c r="T23" s="251"/>
      <c r="U23" s="251"/>
    </row>
    <row r="24" spans="1:21" ht="38.25" x14ac:dyDescent="0.2">
      <c r="G24" s="249"/>
      <c r="H24" s="245" t="s">
        <v>252</v>
      </c>
      <c r="I24" s="245" t="s">
        <v>253</v>
      </c>
      <c r="J24" s="245" t="s">
        <v>254</v>
      </c>
      <c r="K24" s="245" t="s">
        <v>255</v>
      </c>
      <c r="L24" s="245" t="s">
        <v>256</v>
      </c>
      <c r="M24" s="268" t="s">
        <v>218</v>
      </c>
      <c r="N24" s="245" t="s">
        <v>324</v>
      </c>
      <c r="O24" s="245" t="s">
        <v>257</v>
      </c>
      <c r="P24" s="245" t="s">
        <v>258</v>
      </c>
      <c r="Q24" s="269"/>
      <c r="R24" s="269"/>
      <c r="T24" s="251"/>
      <c r="U24" s="251"/>
    </row>
    <row r="25" spans="1:21" ht="14.25" x14ac:dyDescent="0.2">
      <c r="G25" s="270" t="s">
        <v>259</v>
      </c>
      <c r="H25" s="273">
        <f>'FLUX 2030'!G43+'FLUX 2030'!G18</f>
        <v>7.718272646279785</v>
      </c>
      <c r="I25" s="273">
        <f>'FLUX 2030'!I18+'FLUX 2030'!I43</f>
        <v>1.7390270270270562</v>
      </c>
      <c r="J25" s="249">
        <f>H25-I25</f>
        <v>5.9792456192527288</v>
      </c>
      <c r="K25" s="135"/>
      <c r="L25" s="286">
        <f>'FLUX 2030'!O12*'FLUX 2030'!K18/'FLUX 2030'!L7</f>
        <v>6.4430270270271359E-2</v>
      </c>
      <c r="M25" s="135"/>
      <c r="N25" s="249">
        <f>J25-K25-L25-M25</f>
        <v>5.9148153489824571</v>
      </c>
      <c r="O25" s="271"/>
      <c r="P25" s="249">
        <f t="shared" ref="P25:P62" si="5">N25-O25</f>
        <v>5.9148153489824571</v>
      </c>
      <c r="Q25" s="259"/>
      <c r="R25" s="259"/>
      <c r="T25" s="251"/>
      <c r="U25" s="251"/>
    </row>
    <row r="26" spans="1:21" ht="14.25" x14ac:dyDescent="0.2">
      <c r="G26" s="272" t="s">
        <v>260</v>
      </c>
      <c r="H26" s="273">
        <f>SUM(H27:H28)</f>
        <v>42.902964288492512</v>
      </c>
      <c r="I26" s="273">
        <f>SUM(I27:I28)</f>
        <v>3.4267160997030794</v>
      </c>
      <c r="J26" s="249">
        <f t="shared" ref="J26:J62" si="6">H26-I26</f>
        <v>39.476248188789434</v>
      </c>
      <c r="K26" s="135"/>
      <c r="L26" s="286">
        <f>SUM(L27:L28)</f>
        <v>1.7571891891892188E-2</v>
      </c>
      <c r="M26" s="135"/>
      <c r="N26" s="249">
        <f t="shared" ref="N26:N62" si="7">J26-K26-L26-M26</f>
        <v>39.458676296897544</v>
      </c>
      <c r="O26" s="273"/>
      <c r="P26" s="249">
        <f t="shared" si="5"/>
        <v>39.458676296897544</v>
      </c>
      <c r="Q26" s="259"/>
      <c r="R26" s="259"/>
      <c r="T26" s="251"/>
      <c r="U26" s="251"/>
    </row>
    <row r="27" spans="1:21" ht="14.25" x14ac:dyDescent="0.2">
      <c r="G27" s="274" t="s">
        <v>261</v>
      </c>
      <c r="H27" s="286">
        <f>'FLUX 2030'!G40+'FLUX 2030'!G41</f>
        <v>42.177657163185373</v>
      </c>
      <c r="I27" s="273">
        <f>'FLUX 2030'!I40+'FLUX 2030'!I41</f>
        <v>2.9524360014229734</v>
      </c>
      <c r="J27" s="249">
        <f t="shared" si="6"/>
        <v>39.225221161762398</v>
      </c>
      <c r="K27" s="135"/>
      <c r="L27" s="286">
        <v>0</v>
      </c>
      <c r="M27" s="135"/>
      <c r="N27" s="249">
        <f t="shared" si="7"/>
        <v>39.225221161762398</v>
      </c>
      <c r="O27" s="275"/>
      <c r="P27" s="249">
        <f t="shared" si="5"/>
        <v>39.225221161762398</v>
      </c>
      <c r="Q27" s="259"/>
      <c r="R27" s="259"/>
      <c r="T27" s="251"/>
      <c r="U27" s="251"/>
    </row>
    <row r="28" spans="1:21" ht="14.25" x14ac:dyDescent="0.2">
      <c r="G28" s="274" t="s">
        <v>262</v>
      </c>
      <c r="H28" s="286">
        <f>'FLUX 2030'!G17</f>
        <v>0.72530712530713748</v>
      </c>
      <c r="I28" s="286">
        <f>'FLUX 2030'!I17</f>
        <v>0.47428009828010625</v>
      </c>
      <c r="J28" s="249">
        <f t="shared" si="6"/>
        <v>0.25102702702703122</v>
      </c>
      <c r="K28" s="276"/>
      <c r="L28" s="355">
        <f>'FLUX 2030'!O12*'FLUX 2030'!K17/'FLUX 2030'!L7</f>
        <v>1.7571891891892188E-2</v>
      </c>
      <c r="M28" s="135"/>
      <c r="N28" s="249">
        <f t="shared" si="7"/>
        <v>0.23345513513513905</v>
      </c>
      <c r="O28" s="271"/>
      <c r="P28" s="249">
        <f t="shared" si="5"/>
        <v>0.23345513513513905</v>
      </c>
      <c r="Q28" s="259"/>
      <c r="R28" s="259"/>
      <c r="T28" s="251"/>
      <c r="U28" s="251"/>
    </row>
    <row r="29" spans="1:21" ht="14.25" x14ac:dyDescent="0.2">
      <c r="G29" s="135" t="s">
        <v>263</v>
      </c>
      <c r="H29" s="273">
        <f>SUM(H30:H32)</f>
        <v>21.764525227351164</v>
      </c>
      <c r="I29" s="273">
        <f>SUM(I30:I32)</f>
        <v>1.8511539562831894</v>
      </c>
      <c r="J29" s="249">
        <f t="shared" si="6"/>
        <v>19.913371271067977</v>
      </c>
      <c r="K29" s="273">
        <f t="shared" ref="K29:L29" si="8">SUM(K30:K32)</f>
        <v>0</v>
      </c>
      <c r="L29" s="273">
        <f t="shared" si="8"/>
        <v>0.57786293757885077</v>
      </c>
      <c r="M29" s="273"/>
      <c r="N29" s="249">
        <f t="shared" si="7"/>
        <v>19.335508333489127</v>
      </c>
      <c r="O29" s="273"/>
      <c r="P29" s="249">
        <f t="shared" si="5"/>
        <v>19.335508333489127</v>
      </c>
      <c r="Q29" s="259"/>
      <c r="R29" s="259"/>
      <c r="T29" s="251"/>
      <c r="U29" s="251"/>
    </row>
    <row r="30" spans="1:21" ht="14.25" x14ac:dyDescent="0.2">
      <c r="G30" s="277" t="s">
        <v>264</v>
      </c>
      <c r="H30" s="286">
        <f>'FLUX 2030'!G24-'FLUX 2030'!G19</f>
        <v>18.473584860625493</v>
      </c>
      <c r="I30" s="286">
        <f>'FLUX 2030'!I24+'FLUX 2030'!I32</f>
        <v>0</v>
      </c>
      <c r="J30" s="249">
        <f t="shared" si="6"/>
        <v>18.473584860625493</v>
      </c>
      <c r="K30" s="249"/>
      <c r="L30" s="273">
        <f>'FLUX 2030'!O21*'FLUX 2030'!K24/'FLUX 2030'!L21+'FLUX 2030'!O26*'FLUX 2030'!K32/'FLUX 2030'!L26</f>
        <v>0.47707788884787711</v>
      </c>
      <c r="M30" s="249"/>
      <c r="N30" s="249">
        <f t="shared" si="7"/>
        <v>17.996506971777617</v>
      </c>
      <c r="O30" s="275"/>
      <c r="P30" s="249">
        <f t="shared" si="5"/>
        <v>17.996506971777617</v>
      </c>
      <c r="Q30" s="259"/>
      <c r="R30" s="259"/>
      <c r="T30" s="251"/>
      <c r="U30" s="251"/>
    </row>
    <row r="31" spans="1:21" ht="14.25" x14ac:dyDescent="0.2">
      <c r="G31" s="277" t="s">
        <v>265</v>
      </c>
      <c r="H31" s="286">
        <f>'FLUX 2030'!G19</f>
        <v>3.2909403667256698</v>
      </c>
      <c r="I31" s="286">
        <f>'FLUX 2030'!I19</f>
        <v>1.8511539562831894</v>
      </c>
      <c r="J31" s="249">
        <f t="shared" si="6"/>
        <v>1.4397864104424805</v>
      </c>
      <c r="K31" s="276"/>
      <c r="L31" s="273">
        <f>'FLUX 2030'!O12*'FLUX 2030'!K19/'FLUX 2030'!L7</f>
        <v>0.10078504873097363</v>
      </c>
      <c r="M31" s="135"/>
      <c r="N31" s="249">
        <f t="shared" si="7"/>
        <v>1.3390013617115069</v>
      </c>
      <c r="O31" s="271"/>
      <c r="P31" s="249">
        <f t="shared" si="5"/>
        <v>1.3390013617115069</v>
      </c>
      <c r="Q31" s="259"/>
      <c r="R31" s="259"/>
      <c r="T31" s="251"/>
      <c r="U31" s="251"/>
    </row>
    <row r="32" spans="1:21" ht="14.25" x14ac:dyDescent="0.2">
      <c r="G32" s="277" t="s">
        <v>266</v>
      </c>
      <c r="H32" s="286">
        <v>0</v>
      </c>
      <c r="I32" s="286">
        <v>0</v>
      </c>
      <c r="J32" s="249">
        <f t="shared" si="6"/>
        <v>0</v>
      </c>
      <c r="K32" s="276"/>
      <c r="L32" s="273">
        <v>0</v>
      </c>
      <c r="M32" s="249">
        <f>-M61</f>
        <v>-1.5587900579429763</v>
      </c>
      <c r="N32" s="249">
        <f t="shared" si="7"/>
        <v>1.5587900579429763</v>
      </c>
      <c r="O32" s="271"/>
      <c r="P32" s="249">
        <f t="shared" si="5"/>
        <v>1.5587900579429763</v>
      </c>
      <c r="Q32" s="259"/>
      <c r="R32" s="259"/>
      <c r="T32" s="251"/>
      <c r="U32" s="251"/>
    </row>
    <row r="33" spans="7:21" ht="14.25" x14ac:dyDescent="0.2">
      <c r="G33" s="135" t="s">
        <v>267</v>
      </c>
      <c r="H33" s="273">
        <f>'FLUX 2030'!G10</f>
        <v>56.880971161190033</v>
      </c>
      <c r="I33" s="273">
        <f>'FLUX 2030'!I10</f>
        <v>38.110250677997321</v>
      </c>
      <c r="J33" s="249">
        <f t="shared" si="6"/>
        <v>18.770720483192711</v>
      </c>
      <c r="K33" s="135"/>
      <c r="L33" s="286">
        <f>'FLUX 2030'!O12*'FLUX 2030'!K10/'FLUX 2030'!L7</f>
        <v>1.3139504338234897</v>
      </c>
      <c r="M33" s="135"/>
      <c r="N33" s="249">
        <f t="shared" si="7"/>
        <v>17.456770049369222</v>
      </c>
      <c r="O33" s="271"/>
      <c r="P33" s="249">
        <f t="shared" si="5"/>
        <v>17.456770049369222</v>
      </c>
      <c r="Q33" s="259"/>
      <c r="R33" s="259"/>
      <c r="T33" s="251"/>
      <c r="U33" s="251"/>
    </row>
    <row r="34" spans="7:21" ht="14.25" x14ac:dyDescent="0.2">
      <c r="G34" s="135" t="s">
        <v>268</v>
      </c>
      <c r="H34" s="273">
        <f>'FLUX 2030'!G36+'FLUX 2030'!G31</f>
        <v>0.9710985890996503</v>
      </c>
      <c r="I34" s="273">
        <f>'FLUX 2030'!I36+'FLUX 2030'!I31</f>
        <v>3.5815300113177045E-2</v>
      </c>
      <c r="J34" s="249">
        <f t="shared" si="6"/>
        <v>0.93528328898647328</v>
      </c>
      <c r="K34" s="135"/>
      <c r="L34" s="286">
        <f>'FLUX 2030'!O26*'FLUX 2030'!K31/'FLUX 2030'!L26</f>
        <v>1.7877586010139172E-2</v>
      </c>
      <c r="M34" s="135"/>
      <c r="N34" s="249">
        <f t="shared" si="7"/>
        <v>0.91740570297633406</v>
      </c>
      <c r="O34" s="271"/>
      <c r="P34" s="249">
        <f t="shared" si="5"/>
        <v>0.91740570297633406</v>
      </c>
      <c r="Q34" s="259"/>
      <c r="R34" s="259"/>
      <c r="T34" s="251"/>
      <c r="U34" s="251"/>
    </row>
    <row r="35" spans="7:21" ht="14.25" x14ac:dyDescent="0.2">
      <c r="G35" s="135" t="s">
        <v>269</v>
      </c>
      <c r="H35" s="273">
        <f>'FLUX 2030'!G8</f>
        <v>5.6060607451821554</v>
      </c>
      <c r="I35" s="273">
        <f>'FLUX 2030'!I8</f>
        <v>0</v>
      </c>
      <c r="J35" s="249">
        <f t="shared" si="6"/>
        <v>5.6060607451821554</v>
      </c>
      <c r="K35" s="271"/>
      <c r="L35" s="273">
        <f>'FLUX 2030'!O12*'FLUX 2030'!K8/'FLUX 2030'!L7</f>
        <v>0.39242425216275095</v>
      </c>
      <c r="M35" s="135"/>
      <c r="N35" s="249">
        <f t="shared" si="7"/>
        <v>5.2136364930194041</v>
      </c>
      <c r="O35" s="271"/>
      <c r="P35" s="249">
        <f t="shared" si="5"/>
        <v>5.2136364930194041</v>
      </c>
      <c r="Q35" s="259"/>
      <c r="R35" s="259"/>
      <c r="T35" s="251"/>
      <c r="U35" s="251"/>
    </row>
    <row r="36" spans="7:21" ht="14.25" x14ac:dyDescent="0.2">
      <c r="G36" s="135" t="s">
        <v>270</v>
      </c>
      <c r="H36" s="273">
        <f>'FLUX 2030'!G15</f>
        <v>0.97194045275411034</v>
      </c>
      <c r="I36" s="273">
        <f>'FLUX 2030'!I15</f>
        <v>0</v>
      </c>
      <c r="J36" s="249">
        <f t="shared" si="6"/>
        <v>0.97194045275411034</v>
      </c>
      <c r="K36" s="135"/>
      <c r="L36" s="273">
        <f>'FLUX 2030'!O12*'FLUX 2030'!K15/'FLUX 2030'!L7</f>
        <v>6.8035831692787735E-2</v>
      </c>
      <c r="M36" s="135"/>
      <c r="N36" s="249">
        <f t="shared" si="7"/>
        <v>0.90390462106132263</v>
      </c>
      <c r="O36" s="271"/>
      <c r="P36" s="249">
        <f t="shared" si="5"/>
        <v>0.90390462106132263</v>
      </c>
      <c r="Q36" s="259"/>
      <c r="R36" s="259"/>
      <c r="T36" s="251"/>
      <c r="U36" s="251"/>
    </row>
    <row r="37" spans="7:21" ht="14.25" x14ac:dyDescent="0.2">
      <c r="G37" s="135" t="s">
        <v>271</v>
      </c>
      <c r="H37" s="273">
        <f>'FLUX 2030'!G7</f>
        <v>9.8811809465741511</v>
      </c>
      <c r="I37" s="273">
        <f>'FLUX 2030'!I7</f>
        <v>0</v>
      </c>
      <c r="J37" s="249">
        <f t="shared" si="6"/>
        <v>9.8811809465741511</v>
      </c>
      <c r="K37" s="279"/>
      <c r="L37" s="273">
        <f>'FLUX 2030'!O12*'FLUX 2030'!K7/'FLUX 2030'!L7</f>
        <v>0.6916826662601907</v>
      </c>
      <c r="M37" s="279">
        <f>'FLUX 2030'!Q12</f>
        <v>1.9484875724287203</v>
      </c>
      <c r="N37" s="249">
        <f t="shared" si="7"/>
        <v>7.2410107078852404</v>
      </c>
      <c r="O37" s="271"/>
      <c r="P37" s="249">
        <f t="shared" si="5"/>
        <v>7.2410107078852404</v>
      </c>
      <c r="Q37" s="259"/>
      <c r="R37" s="259"/>
      <c r="T37" s="251"/>
      <c r="U37" s="251"/>
    </row>
    <row r="38" spans="7:21" ht="14.25" x14ac:dyDescent="0.2">
      <c r="G38" s="135" t="s">
        <v>272</v>
      </c>
      <c r="H38" s="273">
        <f>'FLUX 2030'!G9</f>
        <v>4.9805941041412307</v>
      </c>
      <c r="I38" s="273">
        <f>'FLUX 2030'!I9</f>
        <v>0</v>
      </c>
      <c r="J38" s="249">
        <f t="shared" si="6"/>
        <v>4.9805941041412307</v>
      </c>
      <c r="K38" s="135"/>
      <c r="L38" s="273">
        <f>'FLUX 2030'!O12*'FLUX 2030'!K9/'FLUX 2030'!L7</f>
        <v>0.3486415872898862</v>
      </c>
      <c r="M38" s="135"/>
      <c r="N38" s="249">
        <f t="shared" si="7"/>
        <v>4.6319525168513449</v>
      </c>
      <c r="O38" s="271"/>
      <c r="P38" s="249">
        <f t="shared" si="5"/>
        <v>4.6319525168513449</v>
      </c>
      <c r="Q38" s="259"/>
      <c r="R38" s="259"/>
      <c r="T38" s="251"/>
      <c r="U38" s="251"/>
    </row>
    <row r="39" spans="7:21" ht="14.25" x14ac:dyDescent="0.2">
      <c r="G39" s="135" t="s">
        <v>273</v>
      </c>
      <c r="H39" s="273">
        <f>SUM(H40:H41)</f>
        <v>4.8080609698325976</v>
      </c>
      <c r="I39" s="273">
        <f>SUM(I40:I41)</f>
        <v>0.83746525675019323</v>
      </c>
      <c r="J39" s="249">
        <f t="shared" si="6"/>
        <v>3.9705957130824041</v>
      </c>
      <c r="K39" s="249"/>
      <c r="L39" s="286">
        <f>SUM(L40:L41)</f>
        <v>9.15281592683162E-2</v>
      </c>
      <c r="M39" s="286"/>
      <c r="N39" s="249">
        <f t="shared" si="7"/>
        <v>3.879067553814088</v>
      </c>
      <c r="O39" s="271"/>
      <c r="P39" s="249">
        <f t="shared" si="5"/>
        <v>3.879067553814088</v>
      </c>
      <c r="Q39" s="259"/>
      <c r="R39" s="259"/>
      <c r="T39" s="251"/>
      <c r="U39" s="251"/>
    </row>
    <row r="40" spans="7:21" ht="14.25" x14ac:dyDescent="0.2">
      <c r="G40" s="277" t="s">
        <v>274</v>
      </c>
      <c r="H40" s="286">
        <f>'FLUX 2030'!G14</f>
        <v>0.47287700605406352</v>
      </c>
      <c r="I40" s="286">
        <f>'FLUX 2030'!I14</f>
        <v>0.42558930544865725</v>
      </c>
      <c r="J40" s="249">
        <f t="shared" si="6"/>
        <v>4.7287700605406269E-2</v>
      </c>
      <c r="K40" s="276"/>
      <c r="L40" s="273">
        <f>'FLUX 2030'!O12*'FLUX 2030'!K14/'FLUX 2030'!L7</f>
        <v>3.3101390423784407E-3</v>
      </c>
      <c r="M40" s="135"/>
      <c r="N40" s="249">
        <f t="shared" si="7"/>
        <v>4.3977561563027831E-2</v>
      </c>
      <c r="O40" s="271"/>
      <c r="P40" s="249">
        <f t="shared" si="5"/>
        <v>4.3977561563027831E-2</v>
      </c>
      <c r="Q40" s="259"/>
      <c r="R40" s="259"/>
      <c r="T40" s="251"/>
      <c r="U40" s="251"/>
    </row>
    <row r="41" spans="7:21" ht="14.25" x14ac:dyDescent="0.2">
      <c r="G41" s="277" t="s">
        <v>275</v>
      </c>
      <c r="H41" s="286">
        <f>'FLUX 2030'!G30+'FLUX 2030'!G37+'FLUX 2030'!G38</f>
        <v>4.3351839637785341</v>
      </c>
      <c r="I41" s="286">
        <f>'FLUX 2030'!I30+'FLUX 2030'!I37+'FLUX 2030'!I38</f>
        <v>0.41187595130153604</v>
      </c>
      <c r="J41" s="249">
        <f t="shared" si="6"/>
        <v>3.9233080124769981</v>
      </c>
      <c r="K41" s="276"/>
      <c r="L41" s="273">
        <f>'FLUX 2030'!O26*'FLUX 2030'!K30/'FLUX 2030'!L26</f>
        <v>8.8218020225937763E-2</v>
      </c>
      <c r="M41" s="135"/>
      <c r="N41" s="249">
        <f t="shared" si="7"/>
        <v>3.8350899922510604</v>
      </c>
      <c r="O41" s="271"/>
      <c r="P41" s="249">
        <f t="shared" si="5"/>
        <v>3.8350899922510604</v>
      </c>
      <c r="Q41" s="259"/>
      <c r="R41" s="259"/>
      <c r="T41" s="251"/>
      <c r="U41" s="251"/>
    </row>
    <row r="42" spans="7:21" ht="14.25" x14ac:dyDescent="0.2">
      <c r="G42" s="135" t="s">
        <v>276</v>
      </c>
      <c r="H42" s="273">
        <f>SUM(H43:H44,H47:H48)</f>
        <v>17.790614390095044</v>
      </c>
      <c r="I42" s="273">
        <f>SUM(I43:I44,I47:I48)</f>
        <v>3.3798017066806914</v>
      </c>
      <c r="J42" s="249">
        <f t="shared" si="6"/>
        <v>14.410812683414353</v>
      </c>
      <c r="K42" s="249"/>
      <c r="L42" s="286">
        <f>L43+L44+L47+L48</f>
        <v>0.56284097670048372</v>
      </c>
      <c r="M42" s="135"/>
      <c r="N42" s="249">
        <f t="shared" si="7"/>
        <v>13.847971706713869</v>
      </c>
      <c r="O42" s="273"/>
      <c r="P42" s="249">
        <f t="shared" si="5"/>
        <v>13.847971706713869</v>
      </c>
      <c r="Q42" s="259"/>
      <c r="R42" s="259"/>
      <c r="T42" s="251"/>
      <c r="U42" s="251"/>
    </row>
    <row r="43" spans="7:21" ht="14.25" x14ac:dyDescent="0.2">
      <c r="G43" s="277" t="s">
        <v>276</v>
      </c>
      <c r="H43" s="286">
        <f>'FLUX 2030'!G35+'FLUX 2030'!G29</f>
        <v>14.087161448209969</v>
      </c>
      <c r="I43" s="286">
        <f>'FLUX 2030'!I29+'FLUX 2030'!I35</f>
        <v>0.6762810591045878</v>
      </c>
      <c r="J43" s="249">
        <f t="shared" si="6"/>
        <v>13.410880389105381</v>
      </c>
      <c r="K43" s="135"/>
      <c r="L43" s="286">
        <f>'FLUX 2030'!O26*'FLUX 2030'!K29/'FLUX 2030'!L26</f>
        <v>0.4928457160988558</v>
      </c>
      <c r="M43" s="135"/>
      <c r="N43" s="249">
        <f t="shared" si="7"/>
        <v>12.918034673006526</v>
      </c>
      <c r="O43" s="275"/>
      <c r="P43" s="249">
        <f t="shared" si="5"/>
        <v>12.918034673006526</v>
      </c>
      <c r="Q43" s="259"/>
      <c r="R43" s="259"/>
      <c r="T43" s="251"/>
      <c r="U43" s="251"/>
    </row>
    <row r="44" spans="7:21" ht="14.25" x14ac:dyDescent="0.2">
      <c r="G44" s="277" t="s">
        <v>277</v>
      </c>
      <c r="H44" s="286">
        <f>'FLUX 2030'!G22</f>
        <v>0</v>
      </c>
      <c r="I44" s="286">
        <f>'FLUX 2030'!I22</f>
        <v>0</v>
      </c>
      <c r="J44" s="249">
        <f t="shared" si="6"/>
        <v>0</v>
      </c>
      <c r="K44" s="135"/>
      <c r="L44" s="273">
        <f>L45+L46</f>
        <v>0</v>
      </c>
      <c r="M44" s="135"/>
      <c r="N44" s="249">
        <f t="shared" si="7"/>
        <v>0</v>
      </c>
      <c r="O44" s="275"/>
      <c r="P44" s="249">
        <f t="shared" si="5"/>
        <v>0</v>
      </c>
      <c r="Q44" s="259"/>
      <c r="R44" s="259"/>
      <c r="T44" s="251"/>
      <c r="U44" s="251"/>
    </row>
    <row r="45" spans="7:21" ht="14.25" x14ac:dyDescent="0.2">
      <c r="G45" s="278" t="s">
        <v>278</v>
      </c>
      <c r="H45" s="286">
        <f>H44-H46</f>
        <v>0</v>
      </c>
      <c r="I45" s="286">
        <f>IF($H$44&gt;0,$I$44*H45/$H$44,0)</f>
        <v>0</v>
      </c>
      <c r="J45" s="249">
        <f t="shared" si="6"/>
        <v>0</v>
      </c>
      <c r="K45" s="135"/>
      <c r="L45" s="273">
        <f>'FLUX 2030'!O21*'FLUX 2030'!K22/'FLUX 2030'!L21</f>
        <v>0</v>
      </c>
      <c r="M45" s="135"/>
      <c r="N45" s="249">
        <f t="shared" si="7"/>
        <v>0</v>
      </c>
      <c r="O45" s="275"/>
      <c r="P45" s="249">
        <f t="shared" si="5"/>
        <v>0</v>
      </c>
      <c r="Q45" s="259"/>
      <c r="R45" s="259"/>
      <c r="T45" s="251"/>
      <c r="U45" s="251"/>
    </row>
    <row r="46" spans="7:21" ht="14.25" x14ac:dyDescent="0.2">
      <c r="G46" s="278" t="s">
        <v>279</v>
      </c>
      <c r="H46" s="286">
        <f>'FLUX 2030'!AA21*'FLUX 2030'!G22/SUM('FLUX 2030'!K21:K22)</f>
        <v>0</v>
      </c>
      <c r="I46" s="286">
        <f>IF($H$44&gt;0,$I$44*H46/$H$44,0)</f>
        <v>0</v>
      </c>
      <c r="J46" s="249">
        <f t="shared" si="6"/>
        <v>0</v>
      </c>
      <c r="K46" s="135"/>
      <c r="L46" s="273">
        <v>0</v>
      </c>
      <c r="M46" s="135"/>
      <c r="N46" s="249">
        <f t="shared" si="7"/>
        <v>0</v>
      </c>
      <c r="O46" s="271"/>
      <c r="P46" s="249">
        <f t="shared" si="5"/>
        <v>0</v>
      </c>
      <c r="Q46" s="259"/>
      <c r="R46" s="259"/>
      <c r="T46" s="251"/>
      <c r="U46" s="251"/>
    </row>
    <row r="47" spans="7:21" ht="14.25" x14ac:dyDescent="0.2">
      <c r="G47" s="277" t="s">
        <v>280</v>
      </c>
      <c r="H47" s="286">
        <f>'FLUX 2030'!G13</f>
        <v>3.7034529418850735</v>
      </c>
      <c r="I47" s="286">
        <f>'FLUX 2030'!I13</f>
        <v>2.7035206475761036</v>
      </c>
      <c r="J47" s="249">
        <f t="shared" si="6"/>
        <v>0.9999322943089699</v>
      </c>
      <c r="K47" s="276"/>
      <c r="L47" s="273">
        <f>'FLUX 2030'!O12*'FLUX 2030'!K13/'FLUX 2030'!L7</f>
        <v>6.9995260601627904E-2</v>
      </c>
      <c r="M47" s="135"/>
      <c r="N47" s="249">
        <f t="shared" si="7"/>
        <v>0.92993703370734204</v>
      </c>
      <c r="O47" s="271"/>
      <c r="P47" s="249">
        <f t="shared" si="5"/>
        <v>0.92993703370734204</v>
      </c>
      <c r="Q47" s="259"/>
      <c r="R47" s="259"/>
      <c r="T47" s="251"/>
      <c r="U47" s="251"/>
    </row>
    <row r="48" spans="7:21" ht="14.25" x14ac:dyDescent="0.2">
      <c r="G48" s="277" t="s">
        <v>281</v>
      </c>
      <c r="H48" s="286">
        <f>0</f>
        <v>0</v>
      </c>
      <c r="I48" s="286"/>
      <c r="J48" s="249">
        <f t="shared" si="6"/>
        <v>0</v>
      </c>
      <c r="K48" s="135"/>
      <c r="L48" s="286">
        <v>0</v>
      </c>
      <c r="M48" s="135"/>
      <c r="N48" s="249">
        <f t="shared" si="7"/>
        <v>0</v>
      </c>
      <c r="O48" s="271"/>
      <c r="P48" s="249">
        <f t="shared" si="5"/>
        <v>0</v>
      </c>
      <c r="Q48" s="259"/>
      <c r="R48" s="259"/>
      <c r="T48" s="251"/>
      <c r="U48" s="251"/>
    </row>
    <row r="49" spans="7:21" ht="14.25" x14ac:dyDescent="0.2">
      <c r="G49" s="135" t="s">
        <v>282</v>
      </c>
      <c r="H49" s="273">
        <f>SUM(H50:H51)</f>
        <v>3</v>
      </c>
      <c r="I49" s="273">
        <f>SUM(I50:I51)</f>
        <v>0</v>
      </c>
      <c r="J49" s="249">
        <f t="shared" si="6"/>
        <v>3</v>
      </c>
      <c r="K49" s="135"/>
      <c r="L49" s="286">
        <f>L50+L51</f>
        <v>0</v>
      </c>
      <c r="M49" s="327"/>
      <c r="N49" s="249">
        <f t="shared" si="7"/>
        <v>3</v>
      </c>
      <c r="O49" s="273"/>
      <c r="P49" s="249">
        <f t="shared" si="5"/>
        <v>3</v>
      </c>
      <c r="Q49" s="259"/>
      <c r="R49" s="259"/>
      <c r="T49" s="251"/>
      <c r="U49" s="251"/>
    </row>
    <row r="50" spans="7:21" ht="14.25" x14ac:dyDescent="0.2">
      <c r="G50" s="277" t="s">
        <v>283</v>
      </c>
      <c r="H50" s="286">
        <v>0</v>
      </c>
      <c r="I50" s="286">
        <v>0</v>
      </c>
      <c r="J50" s="249">
        <f t="shared" si="6"/>
        <v>0</v>
      </c>
      <c r="K50" s="135"/>
      <c r="L50" s="286">
        <f>0</f>
        <v>0</v>
      </c>
      <c r="M50" s="328"/>
      <c r="N50" s="249">
        <f t="shared" si="7"/>
        <v>0</v>
      </c>
      <c r="O50" s="275"/>
      <c r="P50" s="249">
        <f t="shared" si="5"/>
        <v>0</v>
      </c>
      <c r="Q50" s="259"/>
      <c r="R50" s="259"/>
      <c r="T50" s="251"/>
      <c r="U50" s="251"/>
    </row>
    <row r="51" spans="7:21" ht="14.25" x14ac:dyDescent="0.2">
      <c r="G51" s="277" t="s">
        <v>284</v>
      </c>
      <c r="H51" s="286">
        <f>'FLUX 2030'!G39</f>
        <v>3</v>
      </c>
      <c r="I51" s="286">
        <f>'FLUX 2030'!I39</f>
        <v>0</v>
      </c>
      <c r="J51" s="249">
        <f t="shared" si="6"/>
        <v>3</v>
      </c>
      <c r="K51" s="135"/>
      <c r="L51" s="286">
        <f>0</f>
        <v>0</v>
      </c>
      <c r="M51" s="329"/>
      <c r="N51" s="249">
        <f t="shared" si="7"/>
        <v>3</v>
      </c>
      <c r="O51" s="271"/>
      <c r="P51" s="249">
        <f t="shared" si="5"/>
        <v>3</v>
      </c>
      <c r="Q51" s="259"/>
      <c r="R51" s="259"/>
      <c r="T51" s="251"/>
      <c r="U51" s="251"/>
    </row>
    <row r="52" spans="7:21" ht="14.25" x14ac:dyDescent="0.2">
      <c r="G52" s="135" t="s">
        <v>285</v>
      </c>
      <c r="H52" s="273">
        <f>SUM(H53:H54)</f>
        <v>5.2402783603977552</v>
      </c>
      <c r="I52" s="273">
        <f>SUM(I53:I54)</f>
        <v>0.37264227635483027</v>
      </c>
      <c r="J52" s="249">
        <f t="shared" si="6"/>
        <v>4.8676360840429247</v>
      </c>
      <c r="K52" s="273"/>
      <c r="L52" s="273">
        <f>SUM(L53:L54)</f>
        <v>0.1024643993686554</v>
      </c>
      <c r="M52" s="273"/>
      <c r="N52" s="249">
        <f t="shared" si="7"/>
        <v>4.7651716846742689</v>
      </c>
      <c r="O52" s="273"/>
      <c r="P52" s="249">
        <f t="shared" si="5"/>
        <v>4.7651716846742689</v>
      </c>
      <c r="Q52" s="259"/>
      <c r="R52" s="259"/>
      <c r="T52" s="251"/>
      <c r="U52" s="251"/>
    </row>
    <row r="53" spans="7:21" ht="14.25" x14ac:dyDescent="0.2">
      <c r="G53" s="277" t="s">
        <v>286</v>
      </c>
      <c r="H53" s="286">
        <f>'FLUX 2030'!G21+'FLUX 2030'!G34+'FLUX 2030'!G26</f>
        <v>4.5522516721040951</v>
      </c>
      <c r="I53" s="286">
        <f>'FLUX 2030'!I21+'FLUX 2030'!I34+'FLUX 2030'!I26</f>
        <v>7.1630600226354091E-2</v>
      </c>
      <c r="J53" s="249">
        <f t="shared" si="6"/>
        <v>4.4806210718777413</v>
      </c>
      <c r="K53" s="135"/>
      <c r="L53" s="286">
        <f>'FLUX 2030'!O26*'FLUX 2030'!K26/'FLUX 2030'!L26+'FLUX 2030'!O21*'FLUX 2030'!K21/'FLUX 2030'!L21</f>
        <v>7.5373348517092542E-2</v>
      </c>
      <c r="M53" s="329"/>
      <c r="N53" s="249">
        <f t="shared" si="7"/>
        <v>4.4052477233606488</v>
      </c>
      <c r="O53" s="275"/>
      <c r="P53" s="249">
        <f t="shared" si="5"/>
        <v>4.4052477233606488</v>
      </c>
      <c r="Q53" s="259"/>
      <c r="R53" s="259"/>
      <c r="T53" s="251"/>
      <c r="U53" s="251"/>
    </row>
    <row r="54" spans="7:21" ht="14.25" x14ac:dyDescent="0.2">
      <c r="G54" s="277" t="s">
        <v>287</v>
      </c>
      <c r="H54" s="286">
        <f>'FLUX 2030'!G11</f>
        <v>0.68802668829365987</v>
      </c>
      <c r="I54" s="286">
        <f>'FLUX 2030'!I11</f>
        <v>0.30101167612847618</v>
      </c>
      <c r="J54" s="249">
        <f t="shared" si="6"/>
        <v>0.38701501216518369</v>
      </c>
      <c r="K54" s="276"/>
      <c r="L54" s="273">
        <f>'FLUX 2030'!O12*'FLUX 2030'!K11/'FLUX 2030'!L7</f>
        <v>2.709105085156286E-2</v>
      </c>
      <c r="M54" s="249"/>
      <c r="N54" s="249">
        <f t="shared" si="7"/>
        <v>0.35992396131362081</v>
      </c>
      <c r="O54" s="271"/>
      <c r="P54" s="249">
        <f t="shared" si="5"/>
        <v>0.35992396131362081</v>
      </c>
      <c r="Q54" s="259"/>
      <c r="R54" s="259"/>
      <c r="T54" s="251"/>
      <c r="U54" s="251"/>
    </row>
    <row r="55" spans="7:21" ht="14.25" x14ac:dyDescent="0.2">
      <c r="G55" s="135" t="s">
        <v>288</v>
      </c>
      <c r="H55" s="273">
        <f>SUM(H56:H57)</f>
        <v>2.5529453921843772</v>
      </c>
      <c r="I55" s="273">
        <f>SUM(I56:I57)</f>
        <v>0.79534636516550006</v>
      </c>
      <c r="J55" s="249">
        <f t="shared" si="6"/>
        <v>1.7575990270188773</v>
      </c>
      <c r="K55" s="249"/>
      <c r="L55" s="286">
        <f>L56+L57</f>
        <v>0.11339771754605141</v>
      </c>
      <c r="M55" s="135"/>
      <c r="N55" s="249">
        <f t="shared" si="7"/>
        <v>1.6442013094728258</v>
      </c>
      <c r="O55" s="271"/>
      <c r="P55" s="249">
        <f t="shared" si="5"/>
        <v>1.6442013094728258</v>
      </c>
      <c r="Q55" s="259"/>
      <c r="R55" s="259"/>
      <c r="T55" s="251"/>
      <c r="U55" s="251"/>
    </row>
    <row r="56" spans="7:21" ht="14.25" x14ac:dyDescent="0.2">
      <c r="G56" s="277" t="s">
        <v>289</v>
      </c>
      <c r="H56" s="286">
        <f>'FLUX 2030'!G12</f>
        <v>0.9177983763964116</v>
      </c>
      <c r="I56" s="286">
        <f>'FLUX 2030'!I12</f>
        <v>0.66999281476938044</v>
      </c>
      <c r="J56" s="249">
        <f t="shared" si="6"/>
        <v>0.24780556162703116</v>
      </c>
      <c r="K56" s="276"/>
      <c r="L56" s="273">
        <f>'FLUX 2030'!O12*'FLUX 2030'!K12/'FLUX 2030'!L7</f>
        <v>1.734638931389218E-2</v>
      </c>
      <c r="M56" s="135"/>
      <c r="N56" s="249">
        <f t="shared" si="7"/>
        <v>0.23045917231313898</v>
      </c>
      <c r="O56" s="271"/>
      <c r="P56" s="249">
        <f t="shared" si="5"/>
        <v>0.23045917231313898</v>
      </c>
      <c r="Q56" s="259"/>
      <c r="R56" s="259"/>
      <c r="T56" s="251"/>
      <c r="U56" s="251"/>
    </row>
    <row r="57" spans="7:21" ht="14.25" x14ac:dyDescent="0.2">
      <c r="G57" s="277" t="s">
        <v>290</v>
      </c>
      <c r="H57" s="286">
        <f>'FLUX 2030'!G42+'FLUX 2030'!G27</f>
        <v>1.6351470157879655</v>
      </c>
      <c r="I57" s="286">
        <f>'FLUX 2030'!I27+'FLUX 2030'!I42</f>
        <v>0.12535355039611965</v>
      </c>
      <c r="J57" s="249">
        <f t="shared" si="6"/>
        <v>1.5097934653918459</v>
      </c>
      <c r="K57" s="135"/>
      <c r="L57" s="286">
        <f>'FLUX 2030'!O26*'FLUX 2030'!K27/'FLUX 2030'!L26</f>
        <v>9.6051328232159228E-2</v>
      </c>
      <c r="M57" s="135"/>
      <c r="N57" s="249">
        <f t="shared" si="7"/>
        <v>1.4137421371596868</v>
      </c>
      <c r="O57" s="271"/>
      <c r="P57" s="249">
        <f t="shared" si="5"/>
        <v>1.4137421371596868</v>
      </c>
      <c r="Q57" s="259"/>
      <c r="R57" s="259"/>
      <c r="T57" s="251"/>
      <c r="U57" s="251"/>
    </row>
    <row r="58" spans="7:21" ht="14.25" x14ac:dyDescent="0.2">
      <c r="G58" s="280" t="s">
        <v>291</v>
      </c>
      <c r="H58" s="286">
        <f>'FLUX 2030'!G28</f>
        <v>0.4</v>
      </c>
      <c r="I58" s="286">
        <f>'FLUX 2030'!I28</f>
        <v>8.9538250282942627E-2</v>
      </c>
      <c r="J58" s="249">
        <f t="shared" si="6"/>
        <v>0.31046174971705742</v>
      </c>
      <c r="K58" s="135"/>
      <c r="L58" s="286">
        <f>'FLUX 2030'!O26*'FLUX 2030'!K28/'FLUX 2030'!L26</f>
        <v>4.6568952547562999E-2</v>
      </c>
      <c r="M58" s="135"/>
      <c r="N58" s="249">
        <f t="shared" si="7"/>
        <v>0.26389279716949443</v>
      </c>
      <c r="O58" s="271"/>
      <c r="P58" s="249">
        <f t="shared" si="5"/>
        <v>0.26389279716949443</v>
      </c>
      <c r="Q58" s="259"/>
      <c r="R58" s="259"/>
      <c r="T58" s="251"/>
      <c r="U58" s="251"/>
    </row>
    <row r="59" spans="7:21" ht="14.25" x14ac:dyDescent="0.2">
      <c r="G59" s="280" t="s">
        <v>292</v>
      </c>
      <c r="H59" s="286">
        <f>'FLUX 2030'!G16</f>
        <v>1.6987664523882241E-54</v>
      </c>
      <c r="I59" s="286">
        <f>+'FLUX 2030'!I16</f>
        <v>1.2400995102434034E-54</v>
      </c>
      <c r="J59" s="249">
        <f t="shared" si="6"/>
        <v>4.5866694214482068E-55</v>
      </c>
      <c r="K59" s="135"/>
      <c r="L59" s="273">
        <f>'FLUX 2030'!O12*'FLUX 2030'!K16/'FLUX 2030'!L7</f>
        <v>3.210668595013744E-56</v>
      </c>
      <c r="M59" s="135"/>
      <c r="N59" s="249">
        <f t="shared" si="7"/>
        <v>4.2656025619468324E-55</v>
      </c>
      <c r="O59" s="271"/>
      <c r="P59" s="249">
        <f t="shared" si="5"/>
        <v>4.2656025619468324E-55</v>
      </c>
      <c r="Q59" s="259"/>
      <c r="R59" s="259"/>
      <c r="T59" s="251"/>
      <c r="U59" s="251"/>
    </row>
    <row r="60" spans="7:21" ht="14.25" x14ac:dyDescent="0.2">
      <c r="G60" s="287" t="s">
        <v>297</v>
      </c>
      <c r="H60" s="273">
        <f>M37</f>
        <v>1.9484875724287203</v>
      </c>
      <c r="I60" s="273">
        <f>SUM(I61:I62)</f>
        <v>0.38969751448574408</v>
      </c>
      <c r="J60" s="249">
        <f t="shared" si="6"/>
        <v>1.5587900579429763</v>
      </c>
      <c r="K60" s="275"/>
      <c r="L60" s="275">
        <f>SUM(L61:L62)</f>
        <v>1.0568596592853379E-2</v>
      </c>
      <c r="M60" s="275"/>
      <c r="N60" s="249">
        <f t="shared" si="7"/>
        <v>1.5482214613501228</v>
      </c>
      <c r="O60" s="281"/>
      <c r="P60" s="249">
        <f t="shared" si="5"/>
        <v>1.5482214613501228</v>
      </c>
      <c r="Q60" s="259"/>
      <c r="R60" s="259"/>
      <c r="T60" s="251"/>
      <c r="U60" s="251"/>
    </row>
    <row r="61" spans="7:21" ht="14.25" x14ac:dyDescent="0.2">
      <c r="G61" s="278" t="s">
        <v>293</v>
      </c>
      <c r="H61" s="286">
        <f>H60</f>
        <v>1.9484875724287203</v>
      </c>
      <c r="I61" s="286">
        <f>'FLUX 2030'!I23</f>
        <v>0.38969751448574408</v>
      </c>
      <c r="J61" s="249">
        <f t="shared" si="6"/>
        <v>1.5587900579429763</v>
      </c>
      <c r="K61" s="249"/>
      <c r="L61" s="286">
        <f>'FLUX 2030'!O21*'FLUX 2030'!K23/'FLUX 2030'!L21</f>
        <v>1.0568596592853379E-2</v>
      </c>
      <c r="M61" s="249">
        <f>J61</f>
        <v>1.5587900579429763</v>
      </c>
      <c r="N61" s="249">
        <f t="shared" si="7"/>
        <v>-1.0568596592853474E-2</v>
      </c>
      <c r="O61" s="275"/>
      <c r="P61" s="249">
        <f t="shared" si="5"/>
        <v>-1.0568596592853474E-2</v>
      </c>
      <c r="Q61" s="259"/>
      <c r="R61" s="259"/>
      <c r="T61" s="251"/>
      <c r="U61" s="251"/>
    </row>
    <row r="62" spans="7:21" ht="14.25" x14ac:dyDescent="0.2">
      <c r="G62" s="278" t="s">
        <v>294</v>
      </c>
      <c r="H62" s="286">
        <v>0</v>
      </c>
      <c r="I62" s="286"/>
      <c r="J62" s="249">
        <f t="shared" si="6"/>
        <v>0</v>
      </c>
      <c r="K62" s="249"/>
      <c r="L62" s="286">
        <v>0</v>
      </c>
      <c r="M62" s="249"/>
      <c r="N62" s="249">
        <f t="shared" si="7"/>
        <v>0</v>
      </c>
      <c r="O62" s="271"/>
      <c r="P62" s="249">
        <f t="shared" si="5"/>
        <v>0</v>
      </c>
      <c r="Q62" s="259"/>
      <c r="R62" s="259"/>
      <c r="T62" s="251"/>
      <c r="U62" s="251"/>
    </row>
    <row r="63" spans="7:21" x14ac:dyDescent="0.2">
      <c r="G63" t="s">
        <v>223</v>
      </c>
      <c r="H63" s="251">
        <f>SUM(H58:H59,H55,H52,H49,H42,H39,H33:H38,H29,H25:H26,)</f>
        <v>185.46950727357458</v>
      </c>
      <c r="I63" s="251">
        <f>SUM(I25:I26,I29,I33:I39,I42,I49,I52,I55,I58:I60)</f>
        <v>51.027454430843726</v>
      </c>
      <c r="J63" s="251">
        <f>SUM(J25:J26,J29,J33:J39,J42,J49,J52,J55,J58:J60)</f>
        <v>136.39054041515953</v>
      </c>
      <c r="K63" s="251">
        <f>SUM(K25:K26,K29,K33:K39,K42,K49,K52,K55,K58:K60)</f>
        <v>0</v>
      </c>
      <c r="L63" s="251">
        <f>SUM(L25:L26,L29,L33:L39,L42,L49,L52,L55,L58:L60)</f>
        <v>4.4198462590041823</v>
      </c>
      <c r="M63" s="282"/>
      <c r="N63" s="324">
        <f>SUM(N25:N26,N29,N33:N39,N42,N49,N52,N55,N58:N59,N60)</f>
        <v>130.02220658372667</v>
      </c>
      <c r="O63" s="282">
        <f>SUM(O58:O59,O55,O52,O49,O42,O39,O33:O38,O29,O25:O26,O60)</f>
        <v>0</v>
      </c>
      <c r="P63" s="282">
        <f>SUM(P58:P59,P55,P52,P49,P42,P39,P33:P38,P29,P25:P26,P60,M62)</f>
        <v>130.02220658372664</v>
      </c>
      <c r="Q63" s="283"/>
      <c r="R63" s="283"/>
      <c r="T63" s="251"/>
      <c r="U63" s="251"/>
    </row>
    <row r="64" spans="7:21" ht="14.25" x14ac:dyDescent="0.2">
      <c r="G64" t="s">
        <v>295</v>
      </c>
      <c r="H64" s="358">
        <f>H63-H58</f>
        <v>185.06950727357457</v>
      </c>
      <c r="J64" s="251"/>
      <c r="N64" s="292"/>
      <c r="O64" s="284"/>
      <c r="P64" s="285"/>
      <c r="T64" s="251"/>
      <c r="U64" s="251"/>
    </row>
    <row r="66" spans="8:14" x14ac:dyDescent="0.2">
      <c r="H66" s="288">
        <f>H63-SUM('FLUX 2030'!H7:H43)+'FLUX 2030'!Q12+'FLUX 2030'!S21+'FLUX 2030'!R12+'FLUX 2030'!R21</f>
        <v>2.9309887850104133E-14</v>
      </c>
      <c r="I66" s="288">
        <f>I63-SUM('FLUX 2030'!I7:I43)</f>
        <v>0</v>
      </c>
      <c r="J66" s="357">
        <f>J63-H60-'FLUX 2030'!K5</f>
        <v>134.44205284273082</v>
      </c>
      <c r="K66" s="251"/>
      <c r="L66" s="288">
        <f>L63-'FLUX 2030'!O12-'FLUX 2030'!O21-'FLUX 2030'!O26</f>
        <v>0</v>
      </c>
      <c r="M66" s="357">
        <f>SUM(M37+M61+M32)-H60</f>
        <v>0</v>
      </c>
      <c r="N66" s="326">
        <f>N63-'FLUX 2030'!V5-'FLUX 2030'!P12-'FLUX 2030'!P21-'FLUX 2030'!P29</f>
        <v>-8.8817841970012523E-16</v>
      </c>
    </row>
    <row r="67" spans="8:14" x14ac:dyDescent="0.2">
      <c r="H67" s="354"/>
    </row>
    <row r="68" spans="8:14" x14ac:dyDescent="0.2">
      <c r="H68" s="107"/>
      <c r="J68" s="107"/>
    </row>
    <row r="70" spans="8:14" x14ac:dyDescent="0.2">
      <c r="L70" t="s">
        <v>325</v>
      </c>
    </row>
    <row r="71" spans="8:14" x14ac:dyDescent="0.2">
      <c r="L71" s="251">
        <f>H63-I63-L63</f>
        <v>130.02220658372667</v>
      </c>
    </row>
  </sheetData>
  <mergeCells count="6">
    <mergeCell ref="C2:C4"/>
    <mergeCell ref="E2:E4"/>
    <mergeCell ref="C5:C13"/>
    <mergeCell ref="E5:E13"/>
    <mergeCell ref="C14:C21"/>
    <mergeCell ref="E14:E21"/>
  </mergeCell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8"/>
  <sheetViews>
    <sheetView topLeftCell="G1" workbookViewId="0">
      <selection activeCell="M52" sqref="M52"/>
    </sheetView>
  </sheetViews>
  <sheetFormatPr baseColWidth="10" defaultRowHeight="12.75" x14ac:dyDescent="0.2"/>
  <cols>
    <col min="1" max="1" width="3" customWidth="1"/>
    <col min="2" max="2" width="12.5703125" hidden="1" customWidth="1"/>
    <col min="3" max="4" width="0" hidden="1" customWidth="1"/>
    <col min="5" max="5" width="3.7109375" customWidth="1"/>
    <col min="6" max="6" width="0" hidden="1" customWidth="1"/>
    <col min="7" max="7" width="47.85546875" customWidth="1"/>
    <col min="8" max="10" width="12.5703125" customWidth="1"/>
    <col min="11" max="11" width="13.85546875" customWidth="1"/>
    <col min="12" max="12" width="18.85546875" customWidth="1"/>
    <col min="13" max="13" width="12.5703125" customWidth="1"/>
    <col min="14" max="14" width="24" bestFit="1" customWidth="1"/>
    <col min="16" max="16" width="18.85546875" bestFit="1" customWidth="1"/>
  </cols>
  <sheetData>
    <row r="1" spans="1:21" ht="39" thickBot="1" x14ac:dyDescent="0.25">
      <c r="B1" s="241"/>
      <c r="C1" s="242"/>
      <c r="D1" s="242"/>
      <c r="E1" s="242"/>
      <c r="F1" s="243"/>
      <c r="G1" s="270" t="s">
        <v>214</v>
      </c>
      <c r="H1" s="289" t="s">
        <v>298</v>
      </c>
      <c r="I1" s="245" t="s">
        <v>215</v>
      </c>
      <c r="J1" s="244" t="s">
        <v>216</v>
      </c>
      <c r="K1" s="244" t="s">
        <v>217</v>
      </c>
      <c r="L1" s="246" t="s">
        <v>218</v>
      </c>
      <c r="M1" s="244" t="s">
        <v>219</v>
      </c>
      <c r="N1" s="244" t="s">
        <v>220</v>
      </c>
      <c r="O1" s="247" t="s">
        <v>221</v>
      </c>
      <c r="P1" s="247" t="s">
        <v>222</v>
      </c>
    </row>
    <row r="2" spans="1:21" ht="15.75" thickBot="1" x14ac:dyDescent="0.25">
      <c r="A2" t="e">
        <f>[2]SIock_data!A142</f>
        <v>#REF!</v>
      </c>
      <c r="B2" s="241"/>
      <c r="C2" s="490">
        <v>22</v>
      </c>
      <c r="D2" s="248"/>
      <c r="E2" s="491" t="s">
        <v>128</v>
      </c>
      <c r="F2" s="257" t="s">
        <v>223</v>
      </c>
      <c r="G2" s="274" t="s">
        <v>69</v>
      </c>
      <c r="H2" s="249">
        <f>H27</f>
        <v>5.9074343177858619</v>
      </c>
      <c r="I2" s="135"/>
      <c r="J2" s="249">
        <f>I27+K27</f>
        <v>0.41352040224501002</v>
      </c>
      <c r="K2" s="249">
        <f>L27</f>
        <v>0</v>
      </c>
      <c r="L2" s="249"/>
      <c r="M2" s="249">
        <f>H2-J2-K2+L2</f>
        <v>5.4939139155408521</v>
      </c>
      <c r="N2" s="249"/>
      <c r="O2" s="249">
        <f>H2</f>
        <v>5.9074343177858619</v>
      </c>
      <c r="P2" s="249">
        <f>M2</f>
        <v>5.4939139155408521</v>
      </c>
      <c r="Q2" s="250"/>
      <c r="R2" s="250"/>
      <c r="S2" s="250"/>
      <c r="T2" s="251"/>
      <c r="U2" s="251"/>
    </row>
    <row r="3" spans="1:21" ht="15.75" thickBot="1" x14ac:dyDescent="0.25">
      <c r="A3" t="str">
        <f>[2]Shock_data!A143</f>
        <v>Q_MTEP_22_2</v>
      </c>
      <c r="B3" s="241"/>
      <c r="C3" s="490"/>
      <c r="D3" s="252" t="s">
        <v>224</v>
      </c>
      <c r="E3" s="491"/>
      <c r="F3" s="253" t="s">
        <v>225</v>
      </c>
      <c r="G3" s="290" t="s">
        <v>299</v>
      </c>
      <c r="H3" s="249">
        <f>H46+H51</f>
        <v>7.6558581675701625</v>
      </c>
      <c r="I3" s="249"/>
      <c r="J3" s="249">
        <f>I46+I51+K46+K51</f>
        <v>2.328137090777878</v>
      </c>
      <c r="K3" s="249">
        <f>L46+L51</f>
        <v>0</v>
      </c>
      <c r="L3" s="329">
        <f>-M51</f>
        <v>0</v>
      </c>
      <c r="M3" s="249">
        <f t="shared" ref="M3:M19" si="0">H3-J3-K3+L3</f>
        <v>5.3277210767922849</v>
      </c>
      <c r="N3" s="249"/>
      <c r="O3" s="249">
        <f t="shared" ref="O3:O19" si="1">H3</f>
        <v>7.6558581675701625</v>
      </c>
      <c r="P3" s="249">
        <f t="shared" ref="P3:P19" si="2">M3</f>
        <v>5.3277210767922849</v>
      </c>
      <c r="Q3" s="250"/>
      <c r="R3" s="250"/>
      <c r="S3" s="250"/>
      <c r="T3" s="251"/>
      <c r="U3" s="251"/>
    </row>
    <row r="4" spans="1:21" ht="26.25" thickBot="1" x14ac:dyDescent="0.25">
      <c r="A4" t="str">
        <f>[2]Shock_data!A144</f>
        <v>Q_MTEP_2201_2</v>
      </c>
      <c r="B4" s="241"/>
      <c r="C4" s="490"/>
      <c r="D4" s="254"/>
      <c r="E4" s="491"/>
      <c r="F4" s="255" t="s">
        <v>226</v>
      </c>
      <c r="G4" s="274" t="s">
        <v>39</v>
      </c>
      <c r="H4" s="249">
        <f>H33</f>
        <v>0</v>
      </c>
      <c r="I4" s="135"/>
      <c r="J4" s="249">
        <f>I33+K33</f>
        <v>0</v>
      </c>
      <c r="K4" s="249">
        <f>L33</f>
        <v>0</v>
      </c>
      <c r="L4" s="329"/>
      <c r="M4" s="249">
        <f t="shared" si="0"/>
        <v>0</v>
      </c>
      <c r="N4" s="249"/>
      <c r="O4" s="249">
        <f t="shared" si="1"/>
        <v>0</v>
      </c>
      <c r="P4" s="249">
        <f t="shared" si="2"/>
        <v>0</v>
      </c>
      <c r="Q4" s="250"/>
      <c r="R4" s="256"/>
      <c r="S4" s="250"/>
      <c r="T4" s="251"/>
      <c r="U4" s="251"/>
    </row>
    <row r="5" spans="1:21" ht="15.75" thickBot="1" x14ac:dyDescent="0.25">
      <c r="A5" t="str">
        <f>[2]Shock_data!A145</f>
        <v>Q_MTEP_2202_2</v>
      </c>
      <c r="B5" s="241"/>
      <c r="C5" s="490">
        <v>23</v>
      </c>
      <c r="D5" s="248"/>
      <c r="E5" s="491" t="s">
        <v>78</v>
      </c>
      <c r="F5" s="257" t="s">
        <v>223</v>
      </c>
      <c r="G5" s="274" t="s">
        <v>129</v>
      </c>
      <c r="H5" s="249">
        <f>H28</f>
        <v>0</v>
      </c>
      <c r="I5" s="135"/>
      <c r="J5" s="249">
        <f>I28+K28</f>
        <v>0</v>
      </c>
      <c r="K5" s="249">
        <f>L28</f>
        <v>0</v>
      </c>
      <c r="L5" s="329"/>
      <c r="M5" s="249">
        <f t="shared" si="0"/>
        <v>0</v>
      </c>
      <c r="N5" s="249"/>
      <c r="O5" s="249">
        <f t="shared" si="1"/>
        <v>0</v>
      </c>
      <c r="P5" s="249">
        <f t="shared" si="2"/>
        <v>0</v>
      </c>
      <c r="Q5" s="250"/>
      <c r="R5" s="250"/>
      <c r="S5" s="250"/>
      <c r="T5" s="251"/>
      <c r="U5" s="251"/>
    </row>
    <row r="6" spans="1:21" ht="26.25" thickBot="1" x14ac:dyDescent="0.25">
      <c r="A6" t="str">
        <f>[2]Shock_data!A146</f>
        <v>Q_MTEP_23_2</v>
      </c>
      <c r="B6" s="241"/>
      <c r="C6" s="490"/>
      <c r="D6" s="252"/>
      <c r="E6" s="491"/>
      <c r="F6" s="253" t="s">
        <v>227</v>
      </c>
      <c r="G6" s="274" t="s">
        <v>228</v>
      </c>
      <c r="H6" s="249">
        <f>H31+H32</f>
        <v>3.1760777200591099</v>
      </c>
      <c r="I6" s="135"/>
      <c r="J6" s="249">
        <f>I31+K31+I32+K32</f>
        <v>1.7865437175332493</v>
      </c>
      <c r="K6" s="249">
        <f>L31+L32</f>
        <v>0</v>
      </c>
      <c r="L6" s="329">
        <f>-M31-M32</f>
        <v>3.3934142841662536</v>
      </c>
      <c r="M6" s="249">
        <f t="shared" si="0"/>
        <v>4.7829482866921147</v>
      </c>
      <c r="N6" s="249"/>
      <c r="O6" s="249">
        <f t="shared" si="1"/>
        <v>3.1760777200591099</v>
      </c>
      <c r="P6" s="249">
        <f t="shared" si="2"/>
        <v>4.7829482866921147</v>
      </c>
      <c r="Q6" s="250"/>
      <c r="R6" s="250"/>
      <c r="S6" s="250"/>
      <c r="T6" s="251"/>
      <c r="U6" s="251"/>
    </row>
    <row r="7" spans="1:21" ht="15.75" thickBot="1" x14ac:dyDescent="0.25">
      <c r="A7" t="str">
        <f>[2]Shock_data!A147</f>
        <v>Q_MTEP_EP_2301_2</v>
      </c>
      <c r="B7" s="241"/>
      <c r="C7" s="490"/>
      <c r="D7" s="252"/>
      <c r="E7" s="491"/>
      <c r="F7" s="253" t="s">
        <v>229</v>
      </c>
      <c r="G7" s="274" t="s">
        <v>58</v>
      </c>
      <c r="H7" s="249">
        <v>0</v>
      </c>
      <c r="I7" s="135"/>
      <c r="J7" s="249">
        <v>0</v>
      </c>
      <c r="K7" s="249">
        <v>0</v>
      </c>
      <c r="L7" s="329">
        <v>0</v>
      </c>
      <c r="M7" s="249">
        <f t="shared" si="0"/>
        <v>0</v>
      </c>
      <c r="N7" s="249"/>
      <c r="O7" s="249">
        <f t="shared" si="1"/>
        <v>0</v>
      </c>
      <c r="P7" s="249">
        <f t="shared" si="2"/>
        <v>0</v>
      </c>
      <c r="Q7" s="250"/>
      <c r="R7" s="256"/>
      <c r="S7" s="250"/>
      <c r="T7" s="251"/>
      <c r="U7" s="251"/>
    </row>
    <row r="8" spans="1:21" ht="15.75" thickBot="1" x14ac:dyDescent="0.25">
      <c r="A8" t="str">
        <f>[2]Shock_data!A148</f>
        <v>Q_MTEP_2302_2</v>
      </c>
      <c r="B8" s="241"/>
      <c r="C8" s="490"/>
      <c r="D8" s="252"/>
      <c r="E8" s="491"/>
      <c r="F8" s="253" t="s">
        <v>230</v>
      </c>
      <c r="G8" s="274" t="s">
        <v>231</v>
      </c>
      <c r="H8" s="249">
        <f>H37</f>
        <v>19.904163043287927</v>
      </c>
      <c r="I8" s="135"/>
      <c r="J8" s="249">
        <f>I37+K37</f>
        <v>0.13128442493943004</v>
      </c>
      <c r="K8" s="249">
        <f t="shared" ref="K8:L9" si="3">L37</f>
        <v>1.8805632638630438</v>
      </c>
      <c r="L8" s="329">
        <f>-M37</f>
        <v>-4.2417678552078169</v>
      </c>
      <c r="M8" s="249">
        <f t="shared" si="0"/>
        <v>13.650547499277637</v>
      </c>
      <c r="N8" s="249"/>
      <c r="O8" s="249">
        <f t="shared" si="1"/>
        <v>19.904163043287927</v>
      </c>
      <c r="P8" s="249">
        <f t="shared" si="2"/>
        <v>13.650547499277637</v>
      </c>
      <c r="Q8" s="250"/>
      <c r="R8" s="250"/>
      <c r="S8" s="250"/>
      <c r="T8" s="251"/>
      <c r="U8" s="251"/>
    </row>
    <row r="9" spans="1:21" ht="15.75" thickBot="1" x14ac:dyDescent="0.25">
      <c r="A9" t="str">
        <f>[2]Shock_data!A149</f>
        <v>Q_MTEP_2303_2</v>
      </c>
      <c r="B9" s="241"/>
      <c r="C9" s="490"/>
      <c r="D9" s="252" t="s">
        <v>232</v>
      </c>
      <c r="E9" s="491"/>
      <c r="F9" s="253" t="s">
        <v>233</v>
      </c>
      <c r="G9" s="274" t="s">
        <v>234</v>
      </c>
      <c r="H9" s="249">
        <f>H38</f>
        <v>10.388370354887599</v>
      </c>
      <c r="I9" s="135"/>
      <c r="J9" s="249">
        <f>I38+K38</f>
        <v>0</v>
      </c>
      <c r="K9" s="249">
        <f t="shared" si="3"/>
        <v>0.98150259412155616</v>
      </c>
      <c r="L9" s="329">
        <f t="shared" si="3"/>
        <v>0</v>
      </c>
      <c r="M9" s="249">
        <f t="shared" si="0"/>
        <v>9.4068677607660423</v>
      </c>
      <c r="N9" s="249"/>
      <c r="O9" s="249">
        <f t="shared" si="1"/>
        <v>10.388370354887599</v>
      </c>
      <c r="P9" s="249">
        <f t="shared" si="2"/>
        <v>9.4068677607660423</v>
      </c>
      <c r="Q9" s="250"/>
      <c r="R9" s="250"/>
      <c r="S9" s="250"/>
      <c r="T9" s="251"/>
      <c r="U9" s="251"/>
    </row>
    <row r="10" spans="1:21" ht="15.75" thickBot="1" x14ac:dyDescent="0.25">
      <c r="A10" t="str">
        <f>[2]Shock_data!A150</f>
        <v>Q_MTEP_2304_2</v>
      </c>
      <c r="B10" s="241"/>
      <c r="C10" s="490"/>
      <c r="D10" s="252"/>
      <c r="E10" s="491"/>
      <c r="F10" s="253" t="s">
        <v>235</v>
      </c>
      <c r="G10" s="274" t="s">
        <v>236</v>
      </c>
      <c r="H10" s="249">
        <f>H35+H36</f>
        <v>7.3464472866139117</v>
      </c>
      <c r="I10" s="135"/>
      <c r="J10" s="249">
        <f>I35+K35+I36+K36</f>
        <v>0</v>
      </c>
      <c r="K10" s="249">
        <f>L35+L36</f>
        <v>0.69409896095939105</v>
      </c>
      <c r="L10" s="329">
        <f>M35+M36</f>
        <v>0</v>
      </c>
      <c r="M10" s="249">
        <f t="shared" si="0"/>
        <v>6.6523483256545202</v>
      </c>
      <c r="N10" s="249"/>
      <c r="O10" s="249">
        <f t="shared" si="1"/>
        <v>7.3464472866139117</v>
      </c>
      <c r="P10" s="249">
        <f t="shared" si="2"/>
        <v>6.6523483256545202</v>
      </c>
      <c r="Q10" s="250"/>
      <c r="R10" s="250"/>
      <c r="S10" s="250"/>
      <c r="T10" s="251"/>
      <c r="U10" s="251"/>
    </row>
    <row r="11" spans="1:21" ht="15.75" thickBot="1" x14ac:dyDescent="0.25">
      <c r="A11" t="str">
        <f>[2]Shock_data!A151</f>
        <v>Q_MTEP_2305_2</v>
      </c>
      <c r="B11" s="241"/>
      <c r="C11" s="490"/>
      <c r="D11" s="252"/>
      <c r="E11" s="491"/>
      <c r="F11" s="253" t="s">
        <v>237</v>
      </c>
      <c r="G11" s="274" t="s">
        <v>238</v>
      </c>
      <c r="H11" s="249">
        <f>H40+H47+H54+H56+H59</f>
        <v>10.86429151024906</v>
      </c>
      <c r="I11" s="135"/>
      <c r="J11" s="249">
        <f>+I40+I47+I54+I56+I59+K40+K47+K54+K56+K59</f>
        <v>7.7447366396478463</v>
      </c>
      <c r="K11" s="249">
        <f>L40+L47+L54+L56+L59</f>
        <v>0.29473835581526631</v>
      </c>
      <c r="L11" s="329">
        <f>M40+M47+M54+M56+M59</f>
        <v>0</v>
      </c>
      <c r="M11" s="249">
        <f t="shared" si="0"/>
        <v>2.8248165147859479</v>
      </c>
      <c r="N11" s="249"/>
      <c r="O11" s="249">
        <f t="shared" si="1"/>
        <v>10.86429151024906</v>
      </c>
      <c r="P11" s="249">
        <f t="shared" si="2"/>
        <v>2.8248165147859479</v>
      </c>
      <c r="Q11" s="250"/>
      <c r="R11" s="250"/>
      <c r="S11" s="250"/>
      <c r="T11" s="251"/>
      <c r="U11" s="251"/>
    </row>
    <row r="12" spans="1:21" ht="15.75" thickBot="1" x14ac:dyDescent="0.25">
      <c r="A12" t="str">
        <f>[2]Shock_data!A152</f>
        <v>Q_MTEP_2306_2</v>
      </c>
      <c r="B12" s="241"/>
      <c r="C12" s="490"/>
      <c r="D12" s="252"/>
      <c r="E12" s="491"/>
      <c r="F12" s="253" t="s">
        <v>239</v>
      </c>
      <c r="G12" s="274" t="s">
        <v>49</v>
      </c>
      <c r="H12" s="249">
        <f>H30</f>
        <v>6.2090075424215581</v>
      </c>
      <c r="I12" s="135"/>
      <c r="J12" s="249">
        <f>I30+K30</f>
        <v>0</v>
      </c>
      <c r="K12" s="249">
        <f>L30</f>
        <v>7.536019676181642E-2</v>
      </c>
      <c r="L12" s="329">
        <f>M30</f>
        <v>0</v>
      </c>
      <c r="M12" s="249">
        <f t="shared" si="0"/>
        <v>6.1336473456597416</v>
      </c>
      <c r="N12" s="249"/>
      <c r="O12" s="249">
        <f t="shared" si="1"/>
        <v>6.2090075424215581</v>
      </c>
      <c r="P12" s="249">
        <f t="shared" si="2"/>
        <v>6.1336473456597416</v>
      </c>
      <c r="Q12" s="250"/>
      <c r="R12" s="250"/>
      <c r="S12" s="250"/>
      <c r="T12" s="251"/>
      <c r="U12" s="251"/>
    </row>
    <row r="13" spans="1:21" ht="15.75" thickBot="1" x14ac:dyDescent="0.25">
      <c r="A13" t="str">
        <f>[2]Shock_data!A153</f>
        <v>Q_MTEP_2307_2</v>
      </c>
      <c r="B13" s="241"/>
      <c r="C13" s="490"/>
      <c r="D13" s="254"/>
      <c r="E13" s="491"/>
      <c r="F13" s="255" t="s">
        <v>240</v>
      </c>
      <c r="G13" s="274" t="s">
        <v>149</v>
      </c>
      <c r="H13" s="249">
        <f>H43+H50</f>
        <v>8.4910849563097059</v>
      </c>
      <c r="I13" s="135"/>
      <c r="J13" s="249">
        <f>I43+K43+I50+K50</f>
        <v>0.56647387314990505</v>
      </c>
      <c r="K13" s="249">
        <f>L43+L50</f>
        <v>0.45705014181654291</v>
      </c>
      <c r="L13" s="329">
        <f>M43+M50</f>
        <v>0</v>
      </c>
      <c r="M13" s="249">
        <f t="shared" si="0"/>
        <v>7.4675609413432582</v>
      </c>
      <c r="N13" s="249"/>
      <c r="O13" s="249">
        <f t="shared" si="1"/>
        <v>8.4910849563097059</v>
      </c>
      <c r="P13" s="249">
        <f t="shared" si="2"/>
        <v>7.4675609413432582</v>
      </c>
      <c r="Q13" s="250"/>
      <c r="R13" s="250"/>
      <c r="S13" s="250"/>
      <c r="T13" s="251"/>
      <c r="U13" s="251"/>
    </row>
    <row r="14" spans="1:21" ht="15.75" thickBot="1" x14ac:dyDescent="0.25">
      <c r="A14" t="str">
        <f>[2]Shock_data!A154</f>
        <v>Q_MTEP_2308_2</v>
      </c>
      <c r="B14" s="241"/>
      <c r="C14" s="492">
        <v>24</v>
      </c>
      <c r="D14" s="248"/>
      <c r="E14" s="491" t="s">
        <v>241</v>
      </c>
      <c r="F14" s="257" t="s">
        <v>223</v>
      </c>
      <c r="G14" s="274" t="s">
        <v>65</v>
      </c>
      <c r="H14" s="249">
        <f>H45+H53</f>
        <v>9.1308197956795603</v>
      </c>
      <c r="I14" s="249"/>
      <c r="J14" s="249">
        <f>I45+I53+I60+K45+K53+K60</f>
        <v>1.735140921204342</v>
      </c>
      <c r="K14" s="249">
        <f>L45+L53+L60</f>
        <v>0.15541155920413161</v>
      </c>
      <c r="L14" s="329">
        <f>I61</f>
        <v>0.84835357104156339</v>
      </c>
      <c r="M14" s="249">
        <f t="shared" si="0"/>
        <v>8.0886208863126488</v>
      </c>
      <c r="N14" s="249"/>
      <c r="O14" s="249">
        <f t="shared" si="1"/>
        <v>9.1308197956795603</v>
      </c>
      <c r="P14" s="249">
        <f t="shared" si="2"/>
        <v>8.0886208863126488</v>
      </c>
      <c r="Q14" s="250"/>
      <c r="R14" s="250"/>
      <c r="S14" s="250"/>
      <c r="T14" s="251"/>
      <c r="U14" s="251"/>
    </row>
    <row r="15" spans="1:21" ht="15.75" thickBot="1" x14ac:dyDescent="0.25">
      <c r="A15" t="str">
        <f>[2]Shock_data!A155</f>
        <v>Q_MTEP_24_2</v>
      </c>
      <c r="B15" s="241"/>
      <c r="C15" s="492"/>
      <c r="D15" s="252"/>
      <c r="E15" s="491"/>
      <c r="F15" s="258" t="s">
        <v>242</v>
      </c>
      <c r="G15" s="274" t="s">
        <v>243</v>
      </c>
      <c r="H15" s="249">
        <f>H57</f>
        <v>1.5015530473575147</v>
      </c>
      <c r="I15" s="135"/>
      <c r="J15" s="249">
        <f>I57+K57</f>
        <v>0.10499999999999998</v>
      </c>
      <c r="K15" s="249">
        <f>L57</f>
        <v>8.4717525671369184E-2</v>
      </c>
      <c r="L15" s="329">
        <f>M57</f>
        <v>0</v>
      </c>
      <c r="M15" s="249">
        <f t="shared" si="0"/>
        <v>1.3118355216861455</v>
      </c>
      <c r="N15" s="249"/>
      <c r="O15" s="249">
        <f t="shared" si="1"/>
        <v>1.5015530473575147</v>
      </c>
      <c r="P15" s="249">
        <f t="shared" si="2"/>
        <v>1.3118355216861455</v>
      </c>
      <c r="Q15" s="250"/>
      <c r="R15" s="250"/>
      <c r="S15" s="250"/>
      <c r="T15" s="251"/>
      <c r="U15" s="251"/>
    </row>
    <row r="16" spans="1:21" ht="30.75" thickBot="1" x14ac:dyDescent="0.25">
      <c r="A16" t="str">
        <f>[2]Shock_data!A156</f>
        <v>Q_MTEP_2401_2</v>
      </c>
      <c r="B16" s="241"/>
      <c r="C16" s="492"/>
      <c r="D16" s="252" t="s">
        <v>244</v>
      </c>
      <c r="E16" s="491"/>
      <c r="F16" s="258" t="s">
        <v>245</v>
      </c>
      <c r="G16" s="274" t="s">
        <v>43</v>
      </c>
      <c r="H16" s="249">
        <f>H41</f>
        <v>6.4611427691146641</v>
      </c>
      <c r="J16" s="249">
        <f>I41+K41</f>
        <v>0.34499999999999997</v>
      </c>
      <c r="K16" s="249">
        <f>L41</f>
        <v>0.27835758434878449</v>
      </c>
      <c r="L16" s="329">
        <f>M41</f>
        <v>0</v>
      </c>
      <c r="M16" s="249">
        <f t="shared" si="0"/>
        <v>5.8377851847658802</v>
      </c>
      <c r="N16" s="249"/>
      <c r="O16" s="249">
        <f t="shared" si="1"/>
        <v>6.4611427691146641</v>
      </c>
      <c r="P16" s="249">
        <f t="shared" si="2"/>
        <v>5.8377851847658802</v>
      </c>
      <c r="Q16" s="250"/>
      <c r="R16" s="250"/>
      <c r="S16" s="250"/>
      <c r="T16" s="251"/>
      <c r="U16" s="251"/>
    </row>
    <row r="17" spans="1:21" ht="15.75" thickBot="1" x14ac:dyDescent="0.25">
      <c r="A17" t="str">
        <f>[2]Shock_data!A157</f>
        <v>Q_MTEP_2402_2</v>
      </c>
      <c r="B17" s="241"/>
      <c r="C17" s="492"/>
      <c r="D17" s="252"/>
      <c r="E17" s="491"/>
      <c r="F17" s="258" t="s">
        <v>246</v>
      </c>
      <c r="G17" s="274" t="s">
        <v>50</v>
      </c>
      <c r="H17" s="249">
        <f>H34</f>
        <v>1.8119253317839281</v>
      </c>
      <c r="I17" s="135"/>
      <c r="J17" s="135">
        <f>I34+K34</f>
        <v>0.03</v>
      </c>
      <c r="K17" s="249">
        <f>L34</f>
        <v>2.4205007334676915E-2</v>
      </c>
      <c r="L17" s="329">
        <f>M33</f>
        <v>0</v>
      </c>
      <c r="M17" s="249">
        <f t="shared" si="0"/>
        <v>1.7577203244492512</v>
      </c>
      <c r="N17" s="249"/>
      <c r="O17" s="249">
        <f t="shared" si="1"/>
        <v>1.8119253317839281</v>
      </c>
      <c r="P17" s="249">
        <f t="shared" si="2"/>
        <v>1.7577203244492512</v>
      </c>
      <c r="Q17" s="250"/>
      <c r="R17" s="250"/>
      <c r="S17" s="250"/>
      <c r="T17" s="251"/>
      <c r="U17" s="251"/>
    </row>
    <row r="18" spans="1:21" ht="15.75" thickBot="1" x14ac:dyDescent="0.25">
      <c r="A18" t="str">
        <f>[2]Shock_data!A158</f>
        <v>Q_MTEP_2403_2</v>
      </c>
      <c r="B18" s="241"/>
      <c r="C18" s="492"/>
      <c r="D18" s="252"/>
      <c r="E18" s="491"/>
      <c r="F18" s="258" t="s">
        <v>247</v>
      </c>
      <c r="G18" s="274" t="s">
        <v>238</v>
      </c>
      <c r="H18" s="249">
        <f>H48+H58</f>
        <v>0.5</v>
      </c>
      <c r="I18" s="135"/>
      <c r="J18" s="249">
        <f>I48+I58+K48+K58</f>
        <v>7.5000000000000011E-2</v>
      </c>
      <c r="K18" s="249">
        <f>L48+L58</f>
        <v>6.0512518336692279E-2</v>
      </c>
      <c r="L18" s="329">
        <f>M48</f>
        <v>0</v>
      </c>
      <c r="M18" s="249">
        <f t="shared" si="0"/>
        <v>0.36448748166330769</v>
      </c>
      <c r="N18" s="249"/>
      <c r="O18" s="249">
        <f t="shared" si="1"/>
        <v>0.5</v>
      </c>
      <c r="P18" s="249">
        <f t="shared" si="2"/>
        <v>0.36448748166330769</v>
      </c>
      <c r="Q18" s="250"/>
      <c r="R18" s="250"/>
      <c r="S18" s="250"/>
      <c r="T18" s="251"/>
      <c r="U18" s="251"/>
    </row>
    <row r="19" spans="1:21" ht="15.75" thickBot="1" x14ac:dyDescent="0.25">
      <c r="A19" t="str">
        <f>[2]Shock_data!A159</f>
        <v>Q_MTEP_2404_2</v>
      </c>
      <c r="B19" s="241"/>
      <c r="C19" s="492"/>
      <c r="D19" s="252"/>
      <c r="E19" s="491"/>
      <c r="F19" s="258" t="s">
        <v>248</v>
      </c>
      <c r="G19" s="270" t="s">
        <v>58</v>
      </c>
      <c r="H19" s="249">
        <f>H25</f>
        <v>4.0201856086575631</v>
      </c>
      <c r="I19" s="135"/>
      <c r="J19" s="135">
        <f>I25+K25</f>
        <v>0</v>
      </c>
      <c r="K19" s="249">
        <f>L25</f>
        <v>0</v>
      </c>
      <c r="L19" s="329">
        <f>M25</f>
        <v>0</v>
      </c>
      <c r="M19" s="249">
        <f t="shared" si="0"/>
        <v>4.0201856086575631</v>
      </c>
      <c r="N19" s="249"/>
      <c r="O19" s="249">
        <f t="shared" si="1"/>
        <v>4.0201856086575631</v>
      </c>
      <c r="P19" s="249">
        <f t="shared" si="2"/>
        <v>4.0201856086575631</v>
      </c>
      <c r="Q19" s="250"/>
      <c r="R19" s="256"/>
      <c r="S19" s="250"/>
      <c r="T19" s="251"/>
      <c r="U19" s="251"/>
    </row>
    <row r="20" spans="1:21" ht="15.75" thickBot="1" x14ac:dyDescent="0.25">
      <c r="B20" s="241"/>
      <c r="C20" s="492"/>
      <c r="D20" s="252"/>
      <c r="E20" s="491"/>
      <c r="F20" s="258"/>
      <c r="H20" s="251">
        <f>SUM(H2:H3,H4:H11,H12:H19)</f>
        <v>103.36836145177813</v>
      </c>
      <c r="I20" s="251">
        <f t="shared" ref="I20:O20" si="4">SUM(I2:I3,I4:I11,I12:I19)</f>
        <v>0</v>
      </c>
      <c r="J20" s="251">
        <f t="shared" si="4"/>
        <v>15.260837069497661</v>
      </c>
      <c r="K20" s="251">
        <f t="shared" si="4"/>
        <v>4.9865177082332712</v>
      </c>
      <c r="L20" s="251">
        <f>SUM(L2:L3,L4:L11,L12:L19)</f>
        <v>1.1102230246251565E-16</v>
      </c>
      <c r="M20" s="251">
        <f>SUM(M2:M3,M4:M11,M12:M19)</f>
        <v>83.121006674047209</v>
      </c>
      <c r="N20" s="251">
        <f t="shared" si="4"/>
        <v>0</v>
      </c>
      <c r="O20" s="251">
        <f t="shared" si="4"/>
        <v>103.36836145177813</v>
      </c>
      <c r="P20" s="259">
        <f>M20</f>
        <v>83.121006674047209</v>
      </c>
      <c r="R20" s="250"/>
      <c r="T20" s="251"/>
      <c r="U20" s="251"/>
    </row>
    <row r="21" spans="1:21" ht="15.75" thickBot="1" x14ac:dyDescent="0.25">
      <c r="A21" t="str">
        <f>[2]Shock_data!A160</f>
        <v>Q_MTEP_2405_2</v>
      </c>
      <c r="B21" s="241"/>
      <c r="C21" s="492"/>
      <c r="D21" s="252"/>
      <c r="E21" s="491"/>
      <c r="F21" s="260" t="s">
        <v>240</v>
      </c>
      <c r="H21" s="250">
        <f>H20-H63</f>
        <v>0</v>
      </c>
      <c r="I21" s="261"/>
      <c r="J21" s="250">
        <f>J20-I63-K63</f>
        <v>2.2204460492503131E-16</v>
      </c>
      <c r="K21" s="250">
        <f>K20-L63</f>
        <v>0</v>
      </c>
      <c r="L21" s="262"/>
      <c r="M21" s="250">
        <f>M20-N63</f>
        <v>0</v>
      </c>
      <c r="N21" s="250"/>
      <c r="T21" s="251"/>
      <c r="U21" s="251"/>
    </row>
    <row r="22" spans="1:21" ht="15.75" thickBot="1" x14ac:dyDescent="0.3">
      <c r="A22" t="str">
        <f>[2]Shock_data!A161</f>
        <v>Q_MTEP_2406_2</v>
      </c>
      <c r="B22" s="241"/>
      <c r="C22" s="263">
        <v>21</v>
      </c>
      <c r="D22" s="263" t="s">
        <v>249</v>
      </c>
      <c r="E22" s="264"/>
      <c r="F22" s="263" t="s">
        <v>250</v>
      </c>
      <c r="N22" s="251"/>
      <c r="T22" s="251"/>
      <c r="U22" s="251"/>
    </row>
    <row r="23" spans="1:21" ht="15.75" thickBot="1" x14ac:dyDescent="0.3">
      <c r="B23" s="241"/>
      <c r="C23" s="265"/>
      <c r="D23" s="265" t="s">
        <v>251</v>
      </c>
      <c r="E23" s="266"/>
      <c r="F23" s="267"/>
      <c r="G23" t="s">
        <v>296</v>
      </c>
      <c r="T23" s="251"/>
      <c r="U23" s="251"/>
    </row>
    <row r="24" spans="1:21" ht="38.25" x14ac:dyDescent="0.2">
      <c r="G24" s="249"/>
      <c r="H24" s="245" t="s">
        <v>252</v>
      </c>
      <c r="I24" s="245" t="s">
        <v>253</v>
      </c>
      <c r="J24" s="245" t="s">
        <v>254</v>
      </c>
      <c r="K24" s="245" t="s">
        <v>255</v>
      </c>
      <c r="L24" s="245" t="s">
        <v>256</v>
      </c>
      <c r="M24" s="268" t="s">
        <v>218</v>
      </c>
      <c r="N24" s="245" t="s">
        <v>324</v>
      </c>
      <c r="O24" s="245" t="s">
        <v>257</v>
      </c>
      <c r="P24" s="245" t="s">
        <v>258</v>
      </c>
      <c r="Q24" s="269"/>
      <c r="R24" s="269"/>
      <c r="T24" s="251"/>
      <c r="U24" s="251"/>
    </row>
    <row r="25" spans="1:21" ht="14.25" x14ac:dyDescent="0.2">
      <c r="G25" s="270" t="s">
        <v>259</v>
      </c>
      <c r="H25" s="273">
        <f>'FLUX 2050'!G43+'FLUX 2050'!G18</f>
        <v>4.0201856086575631</v>
      </c>
      <c r="I25" s="273">
        <f>'FLUX 2050'!I18</f>
        <v>0</v>
      </c>
      <c r="J25" s="249">
        <f>H25-I25</f>
        <v>4.0201856086575631</v>
      </c>
      <c r="K25" s="135"/>
      <c r="L25" s="286">
        <v>0</v>
      </c>
      <c r="M25" s="135"/>
      <c r="N25" s="249">
        <f>J25-K25-L25-M25</f>
        <v>4.0201856086575631</v>
      </c>
      <c r="O25" s="271"/>
      <c r="P25" s="249">
        <f t="shared" ref="P25:P62" si="5">N25-O25</f>
        <v>4.0201856086575631</v>
      </c>
      <c r="Q25" s="259"/>
      <c r="R25" s="259"/>
      <c r="T25" s="251"/>
      <c r="U25" s="251"/>
    </row>
    <row r="26" spans="1:21" ht="14.25" x14ac:dyDescent="0.2">
      <c r="G26" s="272" t="s">
        <v>260</v>
      </c>
      <c r="H26" s="273">
        <f>SUM(H27:H28)</f>
        <v>5.9074343177858619</v>
      </c>
      <c r="I26" s="273">
        <f>SUM(I27:I28)</f>
        <v>0.41352040224501002</v>
      </c>
      <c r="J26" s="249">
        <f t="shared" ref="J26:J59" si="6">H26-I26</f>
        <v>5.4939139155408521</v>
      </c>
      <c r="K26" s="135"/>
      <c r="L26" s="286">
        <f>SUM(L27:L28)</f>
        <v>0</v>
      </c>
      <c r="M26" s="135"/>
      <c r="N26" s="249">
        <f t="shared" ref="N26:N36" si="7">J26-K26-L26-M26</f>
        <v>5.4939139155408521</v>
      </c>
      <c r="O26" s="273"/>
      <c r="P26" s="249">
        <f t="shared" si="5"/>
        <v>5.4939139155408521</v>
      </c>
      <c r="Q26" s="259"/>
      <c r="R26" s="259"/>
      <c r="T26" s="251"/>
      <c r="U26" s="251"/>
    </row>
    <row r="27" spans="1:21" ht="14.25" x14ac:dyDescent="0.2">
      <c r="G27" s="274" t="s">
        <v>261</v>
      </c>
      <c r="H27" s="286">
        <f>'FLUX 2050'!G40+'FLUX 2050'!G41</f>
        <v>5.9074343177858619</v>
      </c>
      <c r="I27" s="273">
        <f>'FLUX 2050'!I41</f>
        <v>0.41352040224501002</v>
      </c>
      <c r="J27" s="249">
        <f t="shared" si="6"/>
        <v>5.4939139155408521</v>
      </c>
      <c r="K27" s="135"/>
      <c r="L27" s="286">
        <v>0</v>
      </c>
      <c r="M27" s="135"/>
      <c r="N27" s="249">
        <f t="shared" si="7"/>
        <v>5.4939139155408521</v>
      </c>
      <c r="O27" s="275"/>
      <c r="P27" s="249">
        <f t="shared" si="5"/>
        <v>5.4939139155408521</v>
      </c>
      <c r="Q27" s="259"/>
      <c r="R27" s="259"/>
      <c r="T27" s="251"/>
      <c r="U27" s="251"/>
    </row>
    <row r="28" spans="1:21" ht="14.25" x14ac:dyDescent="0.2">
      <c r="G28" s="274" t="s">
        <v>262</v>
      </c>
      <c r="H28" s="286">
        <v>0</v>
      </c>
      <c r="I28" s="286">
        <v>0</v>
      </c>
      <c r="J28" s="249">
        <f t="shared" si="6"/>
        <v>0</v>
      </c>
      <c r="K28" s="276"/>
      <c r="L28" s="273">
        <v>0</v>
      </c>
      <c r="M28" s="135"/>
      <c r="N28" s="249">
        <f t="shared" si="7"/>
        <v>0</v>
      </c>
      <c r="O28" s="271"/>
      <c r="P28" s="249">
        <f t="shared" si="5"/>
        <v>0</v>
      </c>
      <c r="Q28" s="259"/>
      <c r="R28" s="259"/>
      <c r="T28" s="251"/>
      <c r="U28" s="251"/>
    </row>
    <row r="29" spans="1:21" ht="14.25" x14ac:dyDescent="0.2">
      <c r="G29" s="135" t="s">
        <v>263</v>
      </c>
      <c r="H29" s="273">
        <f>SUM(H30:H32)</f>
        <v>9.3850852624806684</v>
      </c>
      <c r="I29" s="273">
        <f t="shared" ref="I29:N29" si="8">SUM(I30:I32)</f>
        <v>1.7865437175332493</v>
      </c>
      <c r="J29" s="273">
        <f t="shared" si="8"/>
        <v>7.5985415449474187</v>
      </c>
      <c r="K29" s="273">
        <f t="shared" si="8"/>
        <v>0</v>
      </c>
      <c r="L29" s="273">
        <f t="shared" si="8"/>
        <v>7.536019676181642E-2</v>
      </c>
      <c r="M29" s="273">
        <f t="shared" si="8"/>
        <v>-3.3934142841662536</v>
      </c>
      <c r="N29" s="273">
        <f t="shared" si="8"/>
        <v>10.916595632351855</v>
      </c>
      <c r="O29" s="273"/>
      <c r="P29" s="249">
        <f t="shared" si="5"/>
        <v>10.916595632351855</v>
      </c>
      <c r="Q29" s="259"/>
      <c r="R29" s="259"/>
      <c r="T29" s="251"/>
      <c r="U29" s="251"/>
    </row>
    <row r="30" spans="1:21" ht="14.25" x14ac:dyDescent="0.2">
      <c r="G30" s="277" t="s">
        <v>264</v>
      </c>
      <c r="H30" s="286">
        <f>'FLUX 2050'!G24-'FLUX 2050'!G19</f>
        <v>6.2090075424215581</v>
      </c>
      <c r="I30" s="286">
        <f>'FLUX 2050'!I24</f>
        <v>0</v>
      </c>
      <c r="J30" s="249">
        <f t="shared" si="6"/>
        <v>6.2090075424215581</v>
      </c>
      <c r="K30" s="249"/>
      <c r="L30" s="273">
        <f>'FLUX 2050'!O23*'FLUX 2050'!K24/'FLUX 2050'!L21+'FLUX 2050'!O26*'FLUX 2050'!K32/'FLUX 2050'!L26</f>
        <v>7.536019676181642E-2</v>
      </c>
      <c r="M30" s="249"/>
      <c r="N30" s="249">
        <f>J30-K30-L30-M30</f>
        <v>6.1336473456597416</v>
      </c>
      <c r="O30" s="275"/>
      <c r="P30" s="249">
        <f t="shared" si="5"/>
        <v>6.1336473456597416</v>
      </c>
      <c r="Q30" s="259"/>
      <c r="R30" s="259"/>
      <c r="T30" s="251"/>
      <c r="U30" s="251"/>
    </row>
    <row r="31" spans="1:21" ht="14.25" x14ac:dyDescent="0.2">
      <c r="G31" s="277" t="s">
        <v>265</v>
      </c>
      <c r="H31" s="286">
        <f>'FLUX 2050'!G19</f>
        <v>3.1760777200591099</v>
      </c>
      <c r="I31" s="286">
        <f>'FLUX 2050'!I19</f>
        <v>1.7865437175332493</v>
      </c>
      <c r="J31" s="249">
        <f t="shared" si="6"/>
        <v>1.3895340025258607</v>
      </c>
      <c r="K31" s="276"/>
      <c r="L31" s="273">
        <v>0</v>
      </c>
      <c r="M31" s="135"/>
      <c r="N31" s="249">
        <f t="shared" si="7"/>
        <v>1.3895340025258607</v>
      </c>
      <c r="O31" s="271"/>
      <c r="P31" s="249">
        <f t="shared" si="5"/>
        <v>1.3895340025258607</v>
      </c>
      <c r="Q31" s="259"/>
      <c r="R31" s="259"/>
      <c r="T31" s="251"/>
      <c r="U31" s="251"/>
    </row>
    <row r="32" spans="1:21" ht="14.25" x14ac:dyDescent="0.2">
      <c r="G32" s="277" t="s">
        <v>266</v>
      </c>
      <c r="H32" s="286">
        <v>0</v>
      </c>
      <c r="I32" s="286">
        <v>0</v>
      </c>
      <c r="J32" s="249">
        <f t="shared" si="6"/>
        <v>0</v>
      </c>
      <c r="K32" s="276"/>
      <c r="L32" s="273">
        <v>0</v>
      </c>
      <c r="M32" s="249">
        <f>-'FLUX 2050'!K23</f>
        <v>-3.3934142841662536</v>
      </c>
      <c r="N32" s="249">
        <f>J32-K32-L32-M32</f>
        <v>3.3934142841662536</v>
      </c>
      <c r="O32" s="271"/>
      <c r="P32" s="249">
        <f t="shared" si="5"/>
        <v>3.3934142841662536</v>
      </c>
      <c r="Q32" s="259"/>
      <c r="R32" s="259"/>
      <c r="T32" s="251"/>
      <c r="U32" s="251"/>
    </row>
    <row r="33" spans="7:21" ht="14.25" x14ac:dyDescent="0.2">
      <c r="G33" s="135" t="s">
        <v>267</v>
      </c>
      <c r="H33" s="273">
        <f>'FLUX 2050'!G10</f>
        <v>0</v>
      </c>
      <c r="I33" s="273">
        <f>'FLUX 2050'!I10</f>
        <v>0</v>
      </c>
      <c r="J33" s="249">
        <f t="shared" si="6"/>
        <v>0</v>
      </c>
      <c r="K33" s="135"/>
      <c r="L33" s="286">
        <f>'FLUX 2050'!O12*'FLUX 2050'!K10/'FLUX 2050'!L7</f>
        <v>0</v>
      </c>
      <c r="M33" s="135"/>
      <c r="N33" s="249">
        <f t="shared" si="7"/>
        <v>0</v>
      </c>
      <c r="O33" s="271"/>
      <c r="P33" s="249">
        <f t="shared" si="5"/>
        <v>0</v>
      </c>
      <c r="Q33" s="259"/>
      <c r="R33" s="259"/>
      <c r="T33" s="251"/>
      <c r="U33" s="251"/>
    </row>
    <row r="34" spans="7:21" ht="14.25" x14ac:dyDescent="0.2">
      <c r="G34" s="135" t="s">
        <v>268</v>
      </c>
      <c r="H34" s="273">
        <f>'FLUX 2050'!G36+'FLUX 2050'!G31</f>
        <v>1.8119253317839281</v>
      </c>
      <c r="I34" s="273">
        <f>'FLUX 2050'!I31</f>
        <v>0.03</v>
      </c>
      <c r="J34" s="249">
        <f t="shared" si="6"/>
        <v>1.7819253317839281</v>
      </c>
      <c r="K34" s="135"/>
      <c r="L34" s="286">
        <f>'FLUX 2050'!O26*'FLUX 2050'!K31/'FLUX 2050'!L26</f>
        <v>2.4205007334676915E-2</v>
      </c>
      <c r="M34" s="135"/>
      <c r="N34" s="249">
        <f t="shared" si="7"/>
        <v>1.7577203244492512</v>
      </c>
      <c r="O34" s="271"/>
      <c r="P34" s="249">
        <f t="shared" si="5"/>
        <v>1.7577203244492512</v>
      </c>
      <c r="Q34" s="259"/>
      <c r="R34" s="259"/>
      <c r="T34" s="251"/>
      <c r="U34" s="251"/>
    </row>
    <row r="35" spans="7:21" ht="14.25" x14ac:dyDescent="0.2">
      <c r="G35" s="135" t="s">
        <v>269</v>
      </c>
      <c r="H35" s="273">
        <f>'FLUX 2050'!G8</f>
        <v>5.268713384767346</v>
      </c>
      <c r="I35" s="273">
        <f>'FLUX 2050'!I8</f>
        <v>0</v>
      </c>
      <c r="J35" s="249">
        <f t="shared" si="6"/>
        <v>5.268713384767346</v>
      </c>
      <c r="K35" s="271"/>
      <c r="L35" s="273">
        <f>'FLUX 2050'!O12*'FLUX 2050'!K8/'FLUX 2050'!L7</f>
        <v>0.49779278926064702</v>
      </c>
      <c r="M35" s="135"/>
      <c r="N35" s="249">
        <f t="shared" si="7"/>
        <v>4.7709205955066993</v>
      </c>
      <c r="O35" s="271"/>
      <c r="P35" s="249">
        <f t="shared" si="5"/>
        <v>4.7709205955066993</v>
      </c>
      <c r="Q35" s="259"/>
      <c r="R35" s="259"/>
      <c r="T35" s="251"/>
      <c r="U35" s="251"/>
    </row>
    <row r="36" spans="7:21" ht="14.25" x14ac:dyDescent="0.2">
      <c r="G36" s="135" t="s">
        <v>270</v>
      </c>
      <c r="H36" s="273">
        <f>'FLUX 2050'!G15</f>
        <v>2.0777339018465657</v>
      </c>
      <c r="I36" s="273">
        <f>'FLUX 2050'!I15</f>
        <v>0</v>
      </c>
      <c r="J36" s="249">
        <f t="shared" si="6"/>
        <v>2.0777339018465657</v>
      </c>
      <c r="K36" s="135"/>
      <c r="L36" s="273">
        <f>'FLUX 2050'!O12*'FLUX 2050'!K15/'FLUX 2050'!L7</f>
        <v>0.19630617169874401</v>
      </c>
      <c r="M36" s="135"/>
      <c r="N36" s="249">
        <f t="shared" si="7"/>
        <v>1.8814277301478217</v>
      </c>
      <c r="O36" s="271"/>
      <c r="P36" s="249">
        <f t="shared" si="5"/>
        <v>1.8814277301478217</v>
      </c>
      <c r="Q36" s="259"/>
      <c r="R36" s="259"/>
      <c r="T36" s="251"/>
      <c r="U36" s="251"/>
    </row>
    <row r="37" spans="7:21" ht="14.25" x14ac:dyDescent="0.2">
      <c r="G37" s="135" t="s">
        <v>271</v>
      </c>
      <c r="H37" s="273">
        <f>'FLUX 2050'!G7</f>
        <v>19.904163043287927</v>
      </c>
      <c r="I37" s="273">
        <f>'FLUX 2050'!I7</f>
        <v>0</v>
      </c>
      <c r="J37" s="249">
        <f>H37-I37</f>
        <v>19.904163043287927</v>
      </c>
      <c r="K37" s="279">
        <f>+'FLUX 2050'!O12*'FLUX 2050'!K19/'FLUX 2050'!L7</f>
        <v>0.13128442493943004</v>
      </c>
      <c r="L37" s="273">
        <f>'FLUX 2050'!O12*'FLUX 2050'!K7/'FLUX 2050'!L7</f>
        <v>1.8805632638630438</v>
      </c>
      <c r="M37" s="279">
        <f>'FLUX 2050'!Q12</f>
        <v>4.2417678552078169</v>
      </c>
      <c r="N37" s="249">
        <f>J37-K37-L37-M37</f>
        <v>13.650547499277637</v>
      </c>
      <c r="O37" s="271"/>
      <c r="P37" s="249">
        <f t="shared" si="5"/>
        <v>13.650547499277637</v>
      </c>
      <c r="Q37" s="259"/>
      <c r="R37" s="259"/>
      <c r="T37" s="251"/>
      <c r="U37" s="251"/>
    </row>
    <row r="38" spans="7:21" ht="14.25" x14ac:dyDescent="0.2">
      <c r="G38" s="135" t="s">
        <v>272</v>
      </c>
      <c r="H38" s="273">
        <f>'FLUX 2050'!G9</f>
        <v>10.388370354887599</v>
      </c>
      <c r="I38" s="273">
        <f>'FLUX 2050'!I9</f>
        <v>0</v>
      </c>
      <c r="J38" s="249">
        <f t="shared" si="6"/>
        <v>10.388370354887599</v>
      </c>
      <c r="K38" s="135"/>
      <c r="L38" s="273">
        <f>'FLUX 2050'!O12*'FLUX 2050'!K9/'FLUX 2050'!L7</f>
        <v>0.98150259412155616</v>
      </c>
      <c r="M38" s="135"/>
      <c r="N38" s="249">
        <f>J38-K38-L38-M38</f>
        <v>9.4068677607660423</v>
      </c>
      <c r="O38" s="271"/>
      <c r="P38" s="249">
        <f t="shared" si="5"/>
        <v>9.4068677607660423</v>
      </c>
      <c r="Q38" s="259"/>
      <c r="R38" s="259"/>
      <c r="T38" s="251"/>
      <c r="U38" s="251"/>
    </row>
    <row r="39" spans="7:21" ht="14.25" x14ac:dyDescent="0.2">
      <c r="G39" s="135" t="s">
        <v>273</v>
      </c>
      <c r="H39" s="273">
        <f>SUM(H40:H41)</f>
        <v>7.4781787691146651</v>
      </c>
      <c r="I39" s="273">
        <f>SUM(I40:I41)</f>
        <v>1.2603324000000014</v>
      </c>
      <c r="J39" s="249">
        <f t="shared" si="6"/>
        <v>6.2178463691146639</v>
      </c>
      <c r="K39" s="249"/>
      <c r="L39" s="286">
        <f>SUM(L40:L41)</f>
        <v>0.28796663214178464</v>
      </c>
      <c r="M39" s="135"/>
      <c r="N39" s="249">
        <f>J39-K39-L39-M39</f>
        <v>5.9298797369728788</v>
      </c>
      <c r="O39" s="271"/>
      <c r="P39" s="249">
        <f t="shared" si="5"/>
        <v>5.9298797369728788</v>
      </c>
      <c r="Q39" s="259"/>
      <c r="R39" s="259"/>
      <c r="T39" s="251"/>
      <c r="U39" s="251"/>
    </row>
    <row r="40" spans="7:21" ht="14.25" x14ac:dyDescent="0.2">
      <c r="G40" s="277" t="s">
        <v>274</v>
      </c>
      <c r="H40" s="286">
        <f>'FLUX 2050'!G14</f>
        <v>1.0170360000000014</v>
      </c>
      <c r="I40" s="286">
        <f>'FLUX 2050'!I14</f>
        <v>0.91533240000000138</v>
      </c>
      <c r="J40" s="249">
        <f t="shared" si="6"/>
        <v>0.10170360000000001</v>
      </c>
      <c r="K40" s="276"/>
      <c r="L40" s="273">
        <f>'FLUX 2050'!O12*'FLUX 2050'!K14/'FLUX 2050'!L7</f>
        <v>9.6090477930001732E-3</v>
      </c>
      <c r="M40" s="135"/>
      <c r="N40" s="249">
        <f>J40-K40-L40-M40</f>
        <v>9.209455220699983E-2</v>
      </c>
      <c r="O40" s="271"/>
      <c r="P40" s="249">
        <f t="shared" si="5"/>
        <v>9.209455220699983E-2</v>
      </c>
      <c r="Q40" s="259"/>
      <c r="R40" s="259"/>
      <c r="T40" s="251"/>
      <c r="U40" s="251"/>
    </row>
    <row r="41" spans="7:21" ht="14.25" x14ac:dyDescent="0.2">
      <c r="G41" s="277" t="s">
        <v>275</v>
      </c>
      <c r="H41" s="286">
        <f>'FLUX 2050'!G30+'FLUX 2050'!G37+'FLUX 2050'!G38</f>
        <v>6.4611427691146641</v>
      </c>
      <c r="I41" s="286">
        <f>'FLUX 2050'!I30+'FLUX 2050'!I37+'FLUX 2050'!I38</f>
        <v>0.34499999999999997</v>
      </c>
      <c r="J41" s="249">
        <f t="shared" si="6"/>
        <v>6.1161427691146644</v>
      </c>
      <c r="K41" s="276"/>
      <c r="L41" s="273">
        <f>'FLUX 2050'!O26*'FLUX 2050'!K30/'FLUX 2050'!L26</f>
        <v>0.27835758434878449</v>
      </c>
      <c r="M41" s="135"/>
      <c r="N41" s="249">
        <f t="shared" ref="N41:N59" si="9">J41-K41-L41-M41</f>
        <v>5.8377851847658802</v>
      </c>
      <c r="O41" s="271"/>
      <c r="P41" s="249">
        <f t="shared" si="5"/>
        <v>5.8377851847658802</v>
      </c>
      <c r="Q41" s="259"/>
      <c r="R41" s="259"/>
      <c r="T41" s="251"/>
      <c r="U41" s="251"/>
    </row>
    <row r="42" spans="7:21" ht="14.25" x14ac:dyDescent="0.2">
      <c r="G42" s="135" t="s">
        <v>276</v>
      </c>
      <c r="H42" s="273">
        <f>SUM(H43:H44,H47:H48)</f>
        <v>22.223518090888057</v>
      </c>
      <c r="I42" s="273">
        <f>SUM(I43:I44,I47:I48)</f>
        <v>9.1398848185593984</v>
      </c>
      <c r="J42" s="249">
        <f t="shared" si="6"/>
        <v>13.083633272328658</v>
      </c>
      <c r="K42" s="249"/>
      <c r="L42" s="286">
        <f>L43+L44+L47+L48</f>
        <v>0.67173246154773247</v>
      </c>
      <c r="M42" s="135"/>
      <c r="N42" s="249">
        <f t="shared" si="9"/>
        <v>12.411900810780926</v>
      </c>
      <c r="O42" s="273"/>
      <c r="P42" s="249">
        <f t="shared" si="5"/>
        <v>12.411900810780926</v>
      </c>
      <c r="Q42" s="259"/>
      <c r="R42" s="259"/>
      <c r="T42" s="251"/>
      <c r="U42" s="251"/>
    </row>
    <row r="43" spans="7:21" ht="14.25" x14ac:dyDescent="0.2">
      <c r="G43" s="277" t="s">
        <v>276</v>
      </c>
      <c r="H43" s="286">
        <f>'FLUX 2050'!G35+'FLUX 2050'!G29</f>
        <v>8.4910849563097059</v>
      </c>
      <c r="I43" s="286">
        <f>'FLUX 2050'!I29+'FLUX 2050'!I35</f>
        <v>0.56647387314990505</v>
      </c>
      <c r="J43" s="249">
        <f>H43-I43</f>
        <v>7.9246110831598013</v>
      </c>
      <c r="K43" s="135"/>
      <c r="L43" s="286">
        <f>'FLUX 2050'!O26*'FLUX 2050'!K29/'FLUX 2050'!L26</f>
        <v>0.45705014181654291</v>
      </c>
      <c r="M43" s="135"/>
      <c r="N43" s="249">
        <f t="shared" si="9"/>
        <v>7.4675609413432582</v>
      </c>
      <c r="O43" s="275"/>
      <c r="P43" s="249">
        <f t="shared" si="5"/>
        <v>7.4675609413432582</v>
      </c>
      <c r="Q43" s="259"/>
      <c r="R43" s="259"/>
      <c r="T43" s="251"/>
      <c r="U43" s="251"/>
    </row>
    <row r="44" spans="7:21" ht="14.25" x14ac:dyDescent="0.2">
      <c r="G44" s="277" t="s">
        <v>277</v>
      </c>
      <c r="H44" s="286">
        <f>'FLUX 2050'!G22</f>
        <v>6.3098488818813134</v>
      </c>
      <c r="I44" s="286">
        <f>'FLUX 2050'!I22</f>
        <v>3.1549244409406567</v>
      </c>
      <c r="J44" s="249">
        <f t="shared" si="6"/>
        <v>3.1549244409406567</v>
      </c>
      <c r="K44" s="135"/>
      <c r="L44" s="273">
        <f>L45+L46</f>
        <v>2.5333358194244884E-2</v>
      </c>
      <c r="M44" s="135"/>
      <c r="N44" s="249">
        <f t="shared" si="9"/>
        <v>3.129591082746412</v>
      </c>
      <c r="O44" s="275"/>
      <c r="P44" s="249">
        <f t="shared" si="5"/>
        <v>3.129591082746412</v>
      </c>
      <c r="Q44" s="259"/>
      <c r="R44" s="259"/>
      <c r="T44" s="251"/>
      <c r="U44" s="251"/>
    </row>
    <row r="45" spans="7:21" ht="14.25" x14ac:dyDescent="0.2">
      <c r="G45" s="278" t="s">
        <v>278</v>
      </c>
      <c r="H45" s="286">
        <f>H44-H46</f>
        <v>1.6535747003255574</v>
      </c>
      <c r="I45" s="286">
        <f>$I$44*H45/$H$44</f>
        <v>0.82678735016277871</v>
      </c>
      <c r="J45" s="249">
        <f t="shared" si="6"/>
        <v>0.82678735016277871</v>
      </c>
      <c r="K45" s="135"/>
      <c r="L45" s="273">
        <f>'FLUX 2050'!O23*'FLUX 2050'!K22/'FLUX 2050'!L21</f>
        <v>2.5333358194244884E-2</v>
      </c>
      <c r="M45" s="135"/>
      <c r="N45" s="249">
        <f t="shared" si="9"/>
        <v>0.80145399196853384</v>
      </c>
      <c r="O45" s="275"/>
      <c r="P45" s="249">
        <f t="shared" si="5"/>
        <v>0.80145399196853384</v>
      </c>
      <c r="Q45" s="259"/>
      <c r="R45" s="259"/>
      <c r="T45" s="251"/>
      <c r="U45" s="251"/>
    </row>
    <row r="46" spans="7:21" ht="14.25" x14ac:dyDescent="0.2">
      <c r="G46" s="278" t="s">
        <v>279</v>
      </c>
      <c r="H46" s="286">
        <f>'FLUX 2050'!AA21*'FLUX 2050'!G22/SUM('FLUX 2050'!K21:K22)</f>
        <v>4.656274181555756</v>
      </c>
      <c r="I46" s="286">
        <f>$I$44*H46/$H$44</f>
        <v>2.328137090777878</v>
      </c>
      <c r="J46" s="249">
        <f t="shared" si="6"/>
        <v>2.328137090777878</v>
      </c>
      <c r="K46" s="135"/>
      <c r="L46" s="273">
        <v>0</v>
      </c>
      <c r="M46" s="135"/>
      <c r="N46" s="249">
        <f t="shared" si="9"/>
        <v>2.328137090777878</v>
      </c>
      <c r="O46" s="271"/>
      <c r="P46" s="249">
        <f t="shared" si="5"/>
        <v>2.328137090777878</v>
      </c>
      <c r="Q46" s="259"/>
      <c r="R46" s="259"/>
      <c r="T46" s="251"/>
      <c r="U46" s="251"/>
    </row>
    <row r="47" spans="7:21" ht="14.25" x14ac:dyDescent="0.2">
      <c r="G47" s="277" t="s">
        <v>280</v>
      </c>
      <c r="H47" s="286">
        <f>'FLUX 2050'!G13</f>
        <v>7.4225842526970363</v>
      </c>
      <c r="I47" s="286">
        <f>'FLUX 2050'!I13</f>
        <v>5.4184865044688362</v>
      </c>
      <c r="J47" s="249">
        <f t="shared" si="6"/>
        <v>2.0040977482282001</v>
      </c>
      <c r="K47" s="276"/>
      <c r="L47" s="273">
        <f>'FLUX 2050'!O12*'FLUX 2050'!K13/'FLUX 2050'!L7</f>
        <v>0.18934896153694464</v>
      </c>
      <c r="M47" s="135"/>
      <c r="N47" s="249">
        <f t="shared" si="9"/>
        <v>1.8147487866912555</v>
      </c>
      <c r="O47" s="271"/>
      <c r="P47" s="249">
        <f t="shared" si="5"/>
        <v>1.8147487866912555</v>
      </c>
      <c r="Q47" s="259"/>
      <c r="R47" s="259"/>
      <c r="T47" s="251"/>
      <c r="U47" s="251"/>
    </row>
    <row r="48" spans="7:21" ht="14.25" x14ac:dyDescent="0.2">
      <c r="G48" s="277" t="s">
        <v>281</v>
      </c>
      <c r="H48" s="286">
        <v>0</v>
      </c>
      <c r="I48" s="286"/>
      <c r="J48" s="249">
        <f t="shared" si="6"/>
        <v>0</v>
      </c>
      <c r="K48" s="135"/>
      <c r="L48" s="286">
        <v>0</v>
      </c>
      <c r="M48" s="135"/>
      <c r="N48" s="249">
        <f t="shared" si="9"/>
        <v>0</v>
      </c>
      <c r="O48" s="271"/>
      <c r="P48" s="249">
        <f t="shared" si="5"/>
        <v>0</v>
      </c>
      <c r="Q48" s="259"/>
      <c r="R48" s="259"/>
      <c r="T48" s="251"/>
      <c r="U48" s="251"/>
    </row>
    <row r="49" spans="7:21" ht="14.25" x14ac:dyDescent="0.2">
      <c r="G49" s="135" t="s">
        <v>282</v>
      </c>
      <c r="H49" s="273">
        <f>SUM(H50:H51)</f>
        <v>2.9995839860144065</v>
      </c>
      <c r="I49" s="273">
        <f>SUM(I50:I51)</f>
        <v>0</v>
      </c>
      <c r="J49" s="249">
        <f t="shared" si="6"/>
        <v>2.9995839860144065</v>
      </c>
      <c r="K49" s="135"/>
      <c r="L49" s="286">
        <f>L50+L51</f>
        <v>0</v>
      </c>
      <c r="M49" s="327"/>
      <c r="N49" s="249">
        <f t="shared" si="9"/>
        <v>2.9995839860144065</v>
      </c>
      <c r="O49" s="273"/>
      <c r="P49" s="249">
        <f t="shared" si="5"/>
        <v>2.9995839860144065</v>
      </c>
      <c r="Q49" s="259"/>
      <c r="R49" s="259"/>
      <c r="T49" s="251"/>
      <c r="U49" s="251"/>
    </row>
    <row r="50" spans="7:21" ht="14.25" x14ac:dyDescent="0.2">
      <c r="G50" s="277" t="s">
        <v>283</v>
      </c>
      <c r="H50" s="286">
        <v>0</v>
      </c>
      <c r="I50" s="286">
        <v>0</v>
      </c>
      <c r="J50" s="249">
        <f t="shared" si="6"/>
        <v>0</v>
      </c>
      <c r="K50" s="135"/>
      <c r="L50" s="286">
        <f>0</f>
        <v>0</v>
      </c>
      <c r="M50" s="328"/>
      <c r="N50" s="249">
        <f t="shared" si="9"/>
        <v>0</v>
      </c>
      <c r="O50" s="275"/>
      <c r="P50" s="249">
        <f t="shared" si="5"/>
        <v>0</v>
      </c>
      <c r="Q50" s="259"/>
      <c r="R50" s="259"/>
      <c r="T50" s="251"/>
      <c r="U50" s="251"/>
    </row>
    <row r="51" spans="7:21" ht="14.25" x14ac:dyDescent="0.2">
      <c r="G51" s="277" t="s">
        <v>284</v>
      </c>
      <c r="H51" s="286">
        <f>'FLUX 2050'!G39</f>
        <v>2.9995839860144065</v>
      </c>
      <c r="I51" s="286">
        <f>'FLUX 2050'!I39</f>
        <v>0</v>
      </c>
      <c r="J51" s="249">
        <f t="shared" si="6"/>
        <v>2.9995839860144065</v>
      </c>
      <c r="K51" s="135"/>
      <c r="L51" s="286">
        <f>0</f>
        <v>0</v>
      </c>
      <c r="M51" s="329"/>
      <c r="N51" s="249">
        <f>J51-K51-L51-M51</f>
        <v>2.9995839860144065</v>
      </c>
      <c r="O51" s="271"/>
      <c r="P51" s="249">
        <f t="shared" si="5"/>
        <v>2.9995839860144065</v>
      </c>
      <c r="Q51" s="259"/>
      <c r="R51" s="259"/>
      <c r="T51" s="251"/>
      <c r="U51" s="251"/>
    </row>
    <row r="52" spans="7:21" ht="14.25" x14ac:dyDescent="0.2">
      <c r="G52" s="135" t="s">
        <v>285</v>
      </c>
      <c r="H52" s="273">
        <f>SUM(H53:H54)</f>
        <v>8.7049110195726911</v>
      </c>
      <c r="I52" s="273">
        <f>SUM(I53:I54)</f>
        <v>0.597103841845676</v>
      </c>
      <c r="J52" s="249">
        <f t="shared" si="6"/>
        <v>8.1078071777270146</v>
      </c>
      <c r="K52" s="273"/>
      <c r="L52" s="273">
        <f>SUM(L53:L54)</f>
        <v>0.16807474910381565</v>
      </c>
      <c r="M52" s="273"/>
      <c r="N52" s="249">
        <f>J52-K52-L52-M52</f>
        <v>7.9397324286231994</v>
      </c>
      <c r="O52" s="273"/>
      <c r="P52" s="249">
        <f t="shared" si="5"/>
        <v>7.9397324286231994</v>
      </c>
      <c r="Q52" s="259"/>
      <c r="R52" s="259"/>
      <c r="T52" s="251"/>
      <c r="U52" s="251"/>
    </row>
    <row r="53" spans="7:21" ht="14.25" x14ac:dyDescent="0.2">
      <c r="G53" s="277" t="s">
        <v>286</v>
      </c>
      <c r="H53" s="286">
        <f>'FLUX 2050'!G21+'FLUX 2050'!G34+'FLUX 2050'!G26</f>
        <v>7.4772450953540028</v>
      </c>
      <c r="I53" s="286">
        <f>'FLUX 2050'!I21+'FLUX 2050'!I34+'FLUX 2050'!I26</f>
        <v>0.06</v>
      </c>
      <c r="J53" s="249">
        <f t="shared" si="6"/>
        <v>7.4172450953540032</v>
      </c>
      <c r="K53" s="135"/>
      <c r="L53" s="286">
        <f>'FLUX 2050'!O26*'FLUX 2050'!K26/'FLUX 2050'!L26+'FLUX 2050'!O23*'FLUX 2050'!K21/'FLUX 2050'!L21</f>
        <v>0.1028298211606947</v>
      </c>
      <c r="M53" s="329"/>
      <c r="N53" s="249">
        <f t="shared" si="9"/>
        <v>7.3144152741933084</v>
      </c>
      <c r="O53" s="275"/>
      <c r="P53" s="249">
        <f t="shared" si="5"/>
        <v>7.3144152741933084</v>
      </c>
      <c r="Q53" s="259"/>
      <c r="R53" s="259"/>
      <c r="T53" s="251"/>
      <c r="U53" s="251"/>
    </row>
    <row r="54" spans="7:21" ht="14.25" x14ac:dyDescent="0.2">
      <c r="G54" s="277" t="s">
        <v>287</v>
      </c>
      <c r="H54" s="286">
        <f>'FLUX 2050'!G11</f>
        <v>1.2276659242186883</v>
      </c>
      <c r="I54" s="286">
        <f>'FLUX 2050'!I11</f>
        <v>0.53710384184567606</v>
      </c>
      <c r="J54" s="249">
        <f t="shared" si="6"/>
        <v>0.6905620823730122</v>
      </c>
      <c r="K54" s="276"/>
      <c r="L54" s="273">
        <f>'FLUX 2050'!O12*'FLUX 2050'!K11/'FLUX 2050'!L7</f>
        <v>6.5244927943120951E-2</v>
      </c>
      <c r="M54" s="249"/>
      <c r="N54" s="249">
        <f t="shared" si="9"/>
        <v>0.62531715442989122</v>
      </c>
      <c r="O54" s="271"/>
      <c r="P54" s="249">
        <f t="shared" si="5"/>
        <v>0.62531715442989122</v>
      </c>
      <c r="Q54" s="259"/>
      <c r="R54" s="259"/>
      <c r="T54" s="251"/>
      <c r="U54" s="251"/>
    </row>
    <row r="55" spans="7:21" ht="14.25" x14ac:dyDescent="0.2">
      <c r="G55" s="135" t="s">
        <v>288</v>
      </c>
      <c r="H55" s="273">
        <f>SUM(H56:H57)</f>
        <v>2.698558380690848</v>
      </c>
      <c r="I55" s="273">
        <f>SUM(I56:I57)</f>
        <v>0.97881389333333313</v>
      </c>
      <c r="J55" s="249">
        <f t="shared" si="6"/>
        <v>1.7197444873575147</v>
      </c>
      <c r="K55" s="249"/>
      <c r="L55" s="286">
        <f>L56+L57</f>
        <v>0.11525294421356973</v>
      </c>
      <c r="M55" s="135"/>
      <c r="N55" s="249">
        <f>J55-K55-L55-M55</f>
        <v>1.604491543143945</v>
      </c>
      <c r="O55" s="271"/>
      <c r="P55" s="249">
        <f t="shared" si="5"/>
        <v>1.604491543143945</v>
      </c>
      <c r="Q55" s="259"/>
      <c r="R55" s="259"/>
      <c r="T55" s="251"/>
      <c r="U55" s="251"/>
    </row>
    <row r="56" spans="7:21" ht="14.25" x14ac:dyDescent="0.2">
      <c r="G56" s="277" t="s">
        <v>289</v>
      </c>
      <c r="H56" s="286">
        <f>'FLUX 2050'!G12</f>
        <v>1.197005333333333</v>
      </c>
      <c r="I56" s="286">
        <f>'FLUX 2050'!I12</f>
        <v>0.87381389333333315</v>
      </c>
      <c r="J56" s="249">
        <f t="shared" si="6"/>
        <v>0.32319143999999989</v>
      </c>
      <c r="K56" s="276"/>
      <c r="L56" s="273">
        <f>'FLUX 2050'!O12*'FLUX 2050'!K12/'FLUX 2050'!L7</f>
        <v>3.0535418542200547E-2</v>
      </c>
      <c r="M56" s="135"/>
      <c r="N56" s="249">
        <f t="shared" si="9"/>
        <v>0.29265602145779934</v>
      </c>
      <c r="O56" s="271"/>
      <c r="P56" s="249">
        <f t="shared" si="5"/>
        <v>0.29265602145779934</v>
      </c>
      <c r="Q56" s="259"/>
      <c r="R56" s="259"/>
      <c r="T56" s="251"/>
      <c r="U56" s="251"/>
    </row>
    <row r="57" spans="7:21" ht="14.25" x14ac:dyDescent="0.2">
      <c r="G57" s="277" t="s">
        <v>290</v>
      </c>
      <c r="H57" s="286">
        <f>'FLUX 2050'!G42+'FLUX 2050'!G27</f>
        <v>1.5015530473575147</v>
      </c>
      <c r="I57" s="286">
        <f>'FLUX 2050'!I27+'FLUX 2050'!I42</f>
        <v>0.10499999999999998</v>
      </c>
      <c r="J57" s="249">
        <f t="shared" si="6"/>
        <v>1.3965530473575147</v>
      </c>
      <c r="K57" s="135"/>
      <c r="L57" s="286">
        <f>'FLUX 2050'!O26*'FLUX 2050'!K27/'FLUX 2050'!L26</f>
        <v>8.4717525671369184E-2</v>
      </c>
      <c r="M57" s="135"/>
      <c r="N57" s="249">
        <f>J57-K57-L57-M57</f>
        <v>1.3118355216861455</v>
      </c>
      <c r="O57" s="271"/>
      <c r="P57" s="249">
        <f t="shared" si="5"/>
        <v>1.3118355216861455</v>
      </c>
      <c r="Q57" s="259"/>
      <c r="R57" s="259"/>
      <c r="T57" s="251"/>
      <c r="U57" s="251"/>
    </row>
    <row r="58" spans="7:21" ht="14.25" x14ac:dyDescent="0.2">
      <c r="G58" s="280" t="s">
        <v>291</v>
      </c>
      <c r="H58" s="286">
        <f>'FLUX 2050'!G28</f>
        <v>0.5</v>
      </c>
      <c r="I58" s="286">
        <f>'FLUX 2050'!I28</f>
        <v>7.5000000000000011E-2</v>
      </c>
      <c r="J58" s="249">
        <f t="shared" si="6"/>
        <v>0.42499999999999999</v>
      </c>
      <c r="K58" s="135"/>
      <c r="L58" s="286">
        <f>'FLUX 2050'!O26*'FLUX 2050'!K28/'FLUX 2050'!L26</f>
        <v>6.0512518336692279E-2</v>
      </c>
      <c r="M58" s="135"/>
      <c r="N58" s="249">
        <f t="shared" si="9"/>
        <v>0.36448748166330769</v>
      </c>
      <c r="O58" s="271"/>
      <c r="P58" s="249">
        <f t="shared" si="5"/>
        <v>0.36448748166330769</v>
      </c>
      <c r="Q58" s="259"/>
      <c r="R58" s="259"/>
      <c r="T58" s="251"/>
      <c r="U58" s="251"/>
    </row>
    <row r="59" spans="7:21" ht="14.25" x14ac:dyDescent="0.2">
      <c r="G59" s="280" t="s">
        <v>292</v>
      </c>
      <c r="H59" s="286">
        <f>'FLUX 2050'!G16</f>
        <v>0</v>
      </c>
      <c r="I59" s="286">
        <f>+'FLUX 2050'!I16</f>
        <v>0</v>
      </c>
      <c r="J59" s="249">
        <f t="shared" si="6"/>
        <v>0</v>
      </c>
      <c r="K59" s="135"/>
      <c r="L59" s="273">
        <f>'FLUX 2050'!O12*'FLUX 2050'!K16/'FLUX 2050'!L7</f>
        <v>0</v>
      </c>
      <c r="M59" s="135"/>
      <c r="N59" s="249">
        <f t="shared" si="9"/>
        <v>0</v>
      </c>
      <c r="O59" s="271"/>
      <c r="P59" s="249">
        <f t="shared" si="5"/>
        <v>0</v>
      </c>
      <c r="Q59" s="259"/>
      <c r="R59" s="259"/>
      <c r="T59" s="251"/>
      <c r="U59" s="251"/>
    </row>
    <row r="60" spans="7:21" ht="14.25" x14ac:dyDescent="0.2">
      <c r="G60" s="287" t="s">
        <v>297</v>
      </c>
      <c r="H60" s="273">
        <f>M37</f>
        <v>4.2417678552078169</v>
      </c>
      <c r="I60" s="273">
        <f>SUM(I61:I62)</f>
        <v>0.84835357104156339</v>
      </c>
      <c r="J60" s="273">
        <f>SUM(J61:J62)</f>
        <v>3.3934142841662536</v>
      </c>
      <c r="K60" s="275"/>
      <c r="L60" s="275">
        <f>SUM(L61:L62)</f>
        <v>2.7248379849192022E-2</v>
      </c>
      <c r="M60" s="275">
        <f>SUM(M61:M62)</f>
        <v>3.3934142841662536</v>
      </c>
      <c r="N60" s="249">
        <f>J60-K60-L60-M60</f>
        <v>-2.7248379849191817E-2</v>
      </c>
      <c r="O60" s="281"/>
      <c r="P60" s="249">
        <f t="shared" si="5"/>
        <v>-2.7248379849191817E-2</v>
      </c>
      <c r="Q60" s="259"/>
      <c r="R60" s="259"/>
      <c r="T60" s="251"/>
      <c r="U60" s="251"/>
    </row>
    <row r="61" spans="7:21" ht="14.25" x14ac:dyDescent="0.2">
      <c r="G61" s="278" t="s">
        <v>293</v>
      </c>
      <c r="H61" s="286"/>
      <c r="I61" s="286">
        <f>'FLUX 2050'!I23</f>
        <v>0.84835357104156339</v>
      </c>
      <c r="J61" s="249">
        <f>'FLUX 2050'!K23</f>
        <v>3.3934142841662536</v>
      </c>
      <c r="K61" s="249"/>
      <c r="L61" s="286">
        <f>'FLUX 2050'!O23*'FLUX 2050'!K23/'FLUX 2050'!L21</f>
        <v>2.7248379849192022E-2</v>
      </c>
      <c r="M61" s="249">
        <f>'FLUX 2050'!K23</f>
        <v>3.3934142841662536</v>
      </c>
      <c r="N61" s="249">
        <f>J61-K61-L61-M61</f>
        <v>-2.7248379849191817E-2</v>
      </c>
      <c r="O61" s="275"/>
      <c r="P61" s="249">
        <f t="shared" si="5"/>
        <v>-2.7248379849191817E-2</v>
      </c>
      <c r="Q61" s="259"/>
      <c r="R61" s="259"/>
      <c r="T61" s="251"/>
      <c r="U61" s="251"/>
    </row>
    <row r="62" spans="7:21" ht="14.25" x14ac:dyDescent="0.2">
      <c r="G62" s="278" t="s">
        <v>294</v>
      </c>
      <c r="H62" s="286">
        <v>0</v>
      </c>
      <c r="I62" s="286"/>
      <c r="J62" s="249">
        <f>H62-I62</f>
        <v>0</v>
      </c>
      <c r="K62" s="249"/>
      <c r="L62" s="286">
        <v>0</v>
      </c>
      <c r="M62" s="249"/>
      <c r="N62" s="249">
        <f>J62-K62-L62-M62</f>
        <v>0</v>
      </c>
      <c r="O62" s="271"/>
      <c r="P62" s="249">
        <f t="shared" si="5"/>
        <v>0</v>
      </c>
      <c r="Q62" s="259"/>
      <c r="R62" s="259"/>
      <c r="T62" s="251"/>
      <c r="U62" s="251"/>
    </row>
    <row r="63" spans="7:21" x14ac:dyDescent="0.2">
      <c r="G63" t="s">
        <v>223</v>
      </c>
      <c r="H63" s="251">
        <f>SUM(H58:H59,H55,H52,H49,H42,H39,H33:H38,H29,H25:H26,)</f>
        <v>103.36836145177813</v>
      </c>
      <c r="I63" s="282">
        <f>SUM(I25:I26,I29,I33:I39,I42,I49,I52,I55,I58:I60)</f>
        <v>15.129552644558231</v>
      </c>
      <c r="J63" s="282">
        <f>SUM(J25:J26,J29,J33:J39,J42,J49,J52,J55,J58:J60)</f>
        <v>92.480576662427694</v>
      </c>
      <c r="K63" s="251">
        <f>SUM(K25:K26,K29,K33:K39,K42,K49,K52,K55,K58:K60)</f>
        <v>0.13128442493943004</v>
      </c>
      <c r="L63" s="251">
        <f>SUM(L25:L26,L29,L33:L39,L42,L49,L52,L55,L58:L60)</f>
        <v>4.9865177082332703</v>
      </c>
      <c r="M63" s="282"/>
      <c r="N63" s="324">
        <f>SUM(N25:N26,N29,N33:N39,N42,N49,N52,N55,N58:N59,N60)</f>
        <v>83.12100667404718</v>
      </c>
      <c r="O63" s="282">
        <f>SUM(O58:O59,O55,O52,O49,O42,O39,O33:O38,O29,O25:O26,O60)</f>
        <v>0</v>
      </c>
      <c r="P63" s="282">
        <f>SUM(P58:P59,P55,P52,P49,P42,P39,P33:P38,P29,P25:P26,P60,M62)</f>
        <v>83.121006674047194</v>
      </c>
      <c r="Q63" s="283"/>
      <c r="R63" s="283"/>
      <c r="T63" s="251"/>
      <c r="U63" s="251"/>
    </row>
    <row r="64" spans="7:21" ht="14.25" x14ac:dyDescent="0.2">
      <c r="G64" t="s">
        <v>295</v>
      </c>
      <c r="H64" s="282">
        <f>H63-H59-H58</f>
        <v>102.86836145177813</v>
      </c>
      <c r="N64" s="292"/>
      <c r="O64" s="284"/>
      <c r="P64" s="285"/>
      <c r="T64" s="251"/>
      <c r="U64" s="251"/>
    </row>
    <row r="66" spans="8:14" x14ac:dyDescent="0.2">
      <c r="H66" s="288">
        <f>H63-SUM('FLUX 2050'!H7:H43)+'FLUX 2050'!Q12+'FLUX 2050'!S21+'FLUX 2050'!R12</f>
        <v>3.1086244689504383E-15</v>
      </c>
      <c r="I66" s="288">
        <f>I63-SUM('FLUX 2050'!I7:I43)</f>
        <v>0</v>
      </c>
      <c r="L66" s="288">
        <f>L63-'FLUX 2050'!O12-'FLUX 2050'!O23-'FLUX 2050'!O26+K63</f>
        <v>-1.1102230246251565E-15</v>
      </c>
      <c r="M66" s="325">
        <f>SUM(M37+M61+M32)-H60</f>
        <v>0</v>
      </c>
      <c r="N66" s="326">
        <f>N63-'FLUX 2050'!V5-'FLUX 2050'!P12</f>
        <v>0</v>
      </c>
    </row>
    <row r="68" spans="8:14" x14ac:dyDescent="0.2">
      <c r="H68" s="107"/>
      <c r="J68" s="107"/>
    </row>
  </sheetData>
  <mergeCells count="6">
    <mergeCell ref="C2:C4"/>
    <mergeCell ref="E2:E4"/>
    <mergeCell ref="C5:C13"/>
    <mergeCell ref="E5:E13"/>
    <mergeCell ref="C14:C21"/>
    <mergeCell ref="E14:E2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9"/>
  <sheetViews>
    <sheetView workbookViewId="0">
      <selection activeCell="C19" sqref="C19"/>
    </sheetView>
  </sheetViews>
  <sheetFormatPr baseColWidth="10" defaultRowHeight="12.75" x14ac:dyDescent="0.2"/>
  <cols>
    <col min="1" max="1" width="34.28515625" style="154" bestFit="1" customWidth="1"/>
    <col min="2" max="2" width="7.140625" style="154" bestFit="1" customWidth="1"/>
    <col min="3" max="5" width="5" style="154" bestFit="1" customWidth="1"/>
    <col min="6" max="6" width="4.42578125" style="154" bestFit="1" customWidth="1"/>
    <col min="7" max="16384" width="11.42578125" style="154"/>
  </cols>
  <sheetData>
    <row r="2" spans="1:6" x14ac:dyDescent="0.2">
      <c r="C2" s="154">
        <v>2010</v>
      </c>
      <c r="D2" s="154">
        <v>2030</v>
      </c>
      <c r="E2" s="154">
        <v>2050</v>
      </c>
    </row>
    <row r="3" spans="1:6" x14ac:dyDescent="0.2">
      <c r="A3" s="154" t="s">
        <v>117</v>
      </c>
      <c r="B3" s="154" t="s">
        <v>120</v>
      </c>
      <c r="C3" s="155">
        <f>62.88</f>
        <v>62.88</v>
      </c>
      <c r="D3" s="154">
        <v>68.900000000000006</v>
      </c>
      <c r="E3" s="155">
        <f>74.13</f>
        <v>74.13</v>
      </c>
    </row>
    <row r="4" spans="1:6" x14ac:dyDescent="0.2">
      <c r="A4" s="154" t="s">
        <v>118</v>
      </c>
      <c r="B4" s="154" t="s">
        <v>121</v>
      </c>
      <c r="C4" s="156">
        <f>C5*264.34/155.46</f>
        <v>256.59879240362903</v>
      </c>
      <c r="D4" s="156">
        <f>'[1]Primaire et final'!C5</f>
        <v>185.46950727357458</v>
      </c>
      <c r="E4" s="156">
        <f>'[1]Primaire et final'!M5</f>
        <v>103.36836145177814</v>
      </c>
    </row>
    <row r="5" spans="1:6" x14ac:dyDescent="0.2">
      <c r="A5" s="154" t="s">
        <v>119</v>
      </c>
      <c r="B5" s="154" t="s">
        <v>121</v>
      </c>
      <c r="C5" s="156">
        <f>'[1]BILAN ENR Energie finale '!C4</f>
        <v>150.90734760939765</v>
      </c>
      <c r="D5" s="156">
        <f>'[1]BILAN ENR Energie finale '!D4</f>
        <v>123.12387168308</v>
      </c>
      <c r="E5" s="156">
        <f>'[1]BILAN ENR Energie finale '!E4</f>
        <v>82.3</v>
      </c>
    </row>
    <row r="7" spans="1:6" x14ac:dyDescent="0.2">
      <c r="A7" s="154" t="s">
        <v>122</v>
      </c>
      <c r="B7" s="154" t="s">
        <v>123</v>
      </c>
      <c r="C7" s="155">
        <f t="shared" ref="C7:E7" si="0">C4/C3</f>
        <v>4.0807695992943547</v>
      </c>
      <c r="D7" s="155">
        <f t="shared" si="0"/>
        <v>2.691865127337802</v>
      </c>
      <c r="E7" s="155">
        <f t="shared" si="0"/>
        <v>1.3944200924292209</v>
      </c>
      <c r="F7" s="157">
        <f>E7/C7</f>
        <v>0.34170517558020025</v>
      </c>
    </row>
    <row r="8" spans="1:6" x14ac:dyDescent="0.2">
      <c r="A8" s="154" t="s">
        <v>124</v>
      </c>
      <c r="B8" s="154" t="s">
        <v>123</v>
      </c>
      <c r="C8" s="155">
        <f>C5/C3</f>
        <v>2.3999260115998351</v>
      </c>
      <c r="D8" s="155">
        <f t="shared" ref="D8:E8" si="1">D5/D3</f>
        <v>1.7869937834989837</v>
      </c>
      <c r="E8" s="155">
        <f t="shared" si="1"/>
        <v>1.1102117900984756</v>
      </c>
      <c r="F8" s="157">
        <f>E8/C8</f>
        <v>0.46260250721579033</v>
      </c>
    </row>
    <row r="9" spans="1:6" x14ac:dyDescent="0.2">
      <c r="A9" s="154" t="s">
        <v>125</v>
      </c>
      <c r="C9" s="155"/>
      <c r="D9" s="155"/>
      <c r="E9" s="155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XFD1048576"/>
    </sheetView>
  </sheetViews>
  <sheetFormatPr baseColWidth="10" defaultRowHeight="12.75" x14ac:dyDescent="0.2"/>
  <cols>
    <col min="1" max="1" width="17.42578125" style="1" bestFit="1" customWidth="1"/>
    <col min="2" max="2" width="13.85546875" style="1" customWidth="1"/>
    <col min="3" max="3" width="7.7109375" style="1" bestFit="1" customWidth="1"/>
    <col min="4" max="4" width="6.85546875" style="1" customWidth="1"/>
    <col min="5" max="5" width="6.28515625" style="1" customWidth="1"/>
    <col min="6" max="16384" width="11.42578125" style="1"/>
  </cols>
  <sheetData>
    <row r="1" spans="1:5" x14ac:dyDescent="0.2">
      <c r="A1" s="63"/>
    </row>
    <row r="2" spans="1:5" x14ac:dyDescent="0.2">
      <c r="A2" s="41"/>
      <c r="B2" s="40"/>
      <c r="C2" s="39" t="s">
        <v>0</v>
      </c>
      <c r="D2" s="378" t="s">
        <v>1</v>
      </c>
      <c r="E2" s="379"/>
    </row>
    <row r="3" spans="1:5" x14ac:dyDescent="0.2">
      <c r="A3" s="11" t="s">
        <v>2</v>
      </c>
      <c r="B3" s="37"/>
      <c r="C3" s="38">
        <v>2010</v>
      </c>
      <c r="D3" s="37">
        <v>2030</v>
      </c>
      <c r="E3" s="36">
        <v>2050</v>
      </c>
    </row>
    <row r="4" spans="1:5" x14ac:dyDescent="0.2">
      <c r="A4" s="376" t="s">
        <v>3</v>
      </c>
      <c r="B4" s="377"/>
      <c r="C4" s="35">
        <v>150.90734760939765</v>
      </c>
      <c r="D4" s="34">
        <v>123.12387168308</v>
      </c>
      <c r="E4" s="33">
        <v>82.3</v>
      </c>
    </row>
    <row r="5" spans="1:5" x14ac:dyDescent="0.2">
      <c r="A5" s="16"/>
      <c r="B5" s="32" t="s">
        <v>4</v>
      </c>
      <c r="C5" s="62">
        <v>18.558050482453272</v>
      </c>
      <c r="D5" s="61">
        <v>42.562137502623102</v>
      </c>
      <c r="E5" s="60">
        <v>45.5</v>
      </c>
    </row>
    <row r="6" spans="1:5" x14ac:dyDescent="0.2">
      <c r="A6" s="21" t="s">
        <v>5</v>
      </c>
      <c r="B6" s="20"/>
      <c r="C6" s="56">
        <v>37.74294374977147</v>
      </c>
      <c r="D6" s="55">
        <v>32.488812384640447</v>
      </c>
      <c r="E6" s="54">
        <v>32.799999999999997</v>
      </c>
    </row>
    <row r="7" spans="1:5" x14ac:dyDescent="0.2">
      <c r="A7" s="28"/>
      <c r="B7" s="10" t="s">
        <v>4</v>
      </c>
      <c r="C7" s="59">
        <v>6.5</v>
      </c>
      <c r="D7" s="58">
        <v>15.173670694770564</v>
      </c>
      <c r="E7" s="57">
        <v>16.399999999999999</v>
      </c>
    </row>
    <row r="8" spans="1:5" x14ac:dyDescent="0.2">
      <c r="A8" s="27" t="s">
        <v>6</v>
      </c>
      <c r="B8" s="26"/>
      <c r="C8" s="35">
        <v>70.264403859626185</v>
      </c>
      <c r="D8" s="34">
        <v>56.670405445467807</v>
      </c>
      <c r="E8" s="33">
        <v>39.5</v>
      </c>
    </row>
    <row r="9" spans="1:5" x14ac:dyDescent="0.2">
      <c r="A9" s="22"/>
      <c r="B9" s="15" t="s">
        <v>7</v>
      </c>
      <c r="C9" s="53">
        <v>9.6580504824532731</v>
      </c>
      <c r="D9" s="52">
        <v>24.388466807852538</v>
      </c>
      <c r="E9" s="51">
        <v>22.5</v>
      </c>
    </row>
    <row r="10" spans="1:5" x14ac:dyDescent="0.2">
      <c r="A10" s="27" t="s">
        <v>8</v>
      </c>
      <c r="B10" s="26"/>
      <c r="C10" s="35">
        <v>42.9</v>
      </c>
      <c r="D10" s="34">
        <v>33.964653852971921</v>
      </c>
      <c r="E10" s="33">
        <v>10</v>
      </c>
    </row>
    <row r="11" spans="1:5" x14ac:dyDescent="0.2">
      <c r="A11" s="16"/>
      <c r="B11" s="15" t="s">
        <v>7</v>
      </c>
      <c r="C11" s="53">
        <v>2.4</v>
      </c>
      <c r="D11" s="52">
        <v>3</v>
      </c>
      <c r="E11" s="51">
        <v>6.6</v>
      </c>
    </row>
    <row r="12" spans="1:5" x14ac:dyDescent="0.2">
      <c r="A12" s="50" t="s">
        <v>9</v>
      </c>
      <c r="B12" s="49"/>
      <c r="C12" s="48">
        <v>1</v>
      </c>
      <c r="D12" s="47">
        <v>3.3351839637785341</v>
      </c>
      <c r="E12" s="46">
        <v>4.2</v>
      </c>
    </row>
    <row r="13" spans="1:5" x14ac:dyDescent="0.2">
      <c r="A13" s="45"/>
      <c r="B13" s="42"/>
      <c r="C13" s="44"/>
      <c r="D13" s="43"/>
      <c r="E13" s="42"/>
    </row>
    <row r="15" spans="1:5" x14ac:dyDescent="0.2">
      <c r="A15" s="41"/>
      <c r="B15" s="40"/>
      <c r="C15" s="39" t="s">
        <v>0</v>
      </c>
      <c r="D15" s="378" t="s">
        <v>1</v>
      </c>
      <c r="E15" s="379"/>
    </row>
    <row r="16" spans="1:5" x14ac:dyDescent="0.2">
      <c r="A16" s="11" t="s">
        <v>10</v>
      </c>
      <c r="B16" s="37"/>
      <c r="C16" s="38">
        <v>2010</v>
      </c>
      <c r="D16" s="37">
        <v>2030</v>
      </c>
      <c r="E16" s="36">
        <v>2050</v>
      </c>
    </row>
    <row r="17" spans="1:5" x14ac:dyDescent="0.2">
      <c r="A17" s="376" t="s">
        <v>11</v>
      </c>
      <c r="B17" s="377"/>
      <c r="C17" s="35">
        <f>C4</f>
        <v>150.90734760939765</v>
      </c>
      <c r="D17" s="34">
        <f>D4</f>
        <v>123.12387168308</v>
      </c>
      <c r="E17" s="33">
        <f>E4</f>
        <v>82.3</v>
      </c>
    </row>
    <row r="18" spans="1:5" x14ac:dyDescent="0.2">
      <c r="A18" s="16"/>
      <c r="B18" s="32" t="s">
        <v>4</v>
      </c>
      <c r="C18" s="31">
        <f t="shared" ref="C18:E19" si="0">C5/C$4</f>
        <v>0.12297645393972574</v>
      </c>
      <c r="D18" s="30">
        <f>D5/D$4</f>
        <v>0.34568550290700534</v>
      </c>
      <c r="E18" s="29">
        <f t="shared" si="0"/>
        <v>0.55285540704738767</v>
      </c>
    </row>
    <row r="19" spans="1:5" x14ac:dyDescent="0.2">
      <c r="A19" s="21" t="s">
        <v>5</v>
      </c>
      <c r="B19" s="20"/>
      <c r="C19" s="19">
        <f t="shared" si="0"/>
        <v>0.25010673335445366</v>
      </c>
      <c r="D19" s="18">
        <f t="shared" si="0"/>
        <v>0.26387094509394921</v>
      </c>
      <c r="E19" s="17">
        <f t="shared" si="0"/>
        <v>0.39854191980558928</v>
      </c>
    </row>
    <row r="20" spans="1:5" x14ac:dyDescent="0.2">
      <c r="A20" s="28"/>
      <c r="B20" s="10" t="s">
        <v>4</v>
      </c>
      <c r="C20" s="9">
        <f>C7/C6</f>
        <v>0.17221762147366571</v>
      </c>
      <c r="D20" s="8">
        <f>D7/D6</f>
        <v>0.46704294743454933</v>
      </c>
      <c r="E20" s="7">
        <f>E7/E6</f>
        <v>0.5</v>
      </c>
    </row>
    <row r="21" spans="1:5" x14ac:dyDescent="0.2">
      <c r="A21" s="27" t="s">
        <v>6</v>
      </c>
      <c r="B21" s="26"/>
      <c r="C21" s="25">
        <f>C8/C$4</f>
        <v>0.46561287420872088</v>
      </c>
      <c r="D21" s="24">
        <f>D8/D$4</f>
        <v>0.46027147027456256</v>
      </c>
      <c r="E21" s="23">
        <f>E8/E$4</f>
        <v>0.47995139732685299</v>
      </c>
    </row>
    <row r="22" spans="1:5" x14ac:dyDescent="0.2">
      <c r="A22" s="22"/>
      <c r="B22" s="15" t="s">
        <v>7</v>
      </c>
      <c r="C22" s="14">
        <f>C9/C8</f>
        <v>0.13745296269428359</v>
      </c>
      <c r="D22" s="13">
        <f>D9/D8</f>
        <v>0.43035631413155867</v>
      </c>
      <c r="E22" s="12">
        <f>E9/E8</f>
        <v>0.569620253164557</v>
      </c>
    </row>
    <row r="23" spans="1:5" x14ac:dyDescent="0.2">
      <c r="A23" s="21" t="s">
        <v>8</v>
      </c>
      <c r="B23" s="20"/>
      <c r="C23" s="19">
        <f>C10/C$4</f>
        <v>0.28428039243682546</v>
      </c>
      <c r="D23" s="18">
        <f>D10/D$4</f>
        <v>0.27585758463148974</v>
      </c>
      <c r="E23" s="17">
        <f>E10/E$4</f>
        <v>0.12150668286755772</v>
      </c>
    </row>
    <row r="24" spans="1:5" x14ac:dyDescent="0.2">
      <c r="A24" s="11"/>
      <c r="B24" s="10" t="s">
        <v>7</v>
      </c>
      <c r="C24" s="9">
        <f>C11/C10</f>
        <v>5.5944055944055944E-2</v>
      </c>
      <c r="D24" s="8">
        <f>D11/D10</f>
        <v>8.832711833268099E-2</v>
      </c>
      <c r="E24" s="7">
        <f>E11/E10</f>
        <v>0.65999999999999992</v>
      </c>
    </row>
    <row r="25" spans="1:5" x14ac:dyDescent="0.2">
      <c r="A25" s="6" t="s">
        <v>9</v>
      </c>
      <c r="B25" s="5"/>
      <c r="C25" s="4">
        <f>C12/C$4</f>
        <v>6.6265825742849761E-3</v>
      </c>
      <c r="D25" s="3">
        <f>D12/D$4</f>
        <v>2.7088036772944201E-2</v>
      </c>
      <c r="E25" s="2">
        <f>E12/E$4</f>
        <v>5.1032806804374248E-2</v>
      </c>
    </row>
    <row r="26" spans="1:5" x14ac:dyDescent="0.2">
      <c r="A26" s="45"/>
      <c r="B26" s="42"/>
      <c r="C26" s="18"/>
      <c r="D26" s="18"/>
      <c r="E26" s="18"/>
    </row>
    <row r="27" spans="1:5" x14ac:dyDescent="0.2">
      <c r="A27" s="45"/>
      <c r="B27" s="42"/>
      <c r="C27" s="18"/>
      <c r="D27" s="18"/>
      <c r="E27" s="18"/>
    </row>
    <row r="28" spans="1:5" x14ac:dyDescent="0.2">
      <c r="A28" s="41"/>
      <c r="B28" s="40"/>
      <c r="C28" s="39" t="s">
        <v>0</v>
      </c>
      <c r="D28" s="378" t="s">
        <v>1</v>
      </c>
      <c r="E28" s="379"/>
    </row>
    <row r="29" spans="1:5" x14ac:dyDescent="0.2">
      <c r="A29" s="11" t="s">
        <v>2</v>
      </c>
      <c r="B29" s="37"/>
      <c r="C29" s="38">
        <v>2010</v>
      </c>
      <c r="D29" s="37">
        <v>2030</v>
      </c>
      <c r="E29" s="36">
        <v>2050</v>
      </c>
    </row>
    <row r="30" spans="1:5" x14ac:dyDescent="0.2">
      <c r="A30" s="376" t="s">
        <v>3</v>
      </c>
      <c r="B30" s="377"/>
      <c r="C30" s="35">
        <f>C4</f>
        <v>150.90734760939765</v>
      </c>
      <c r="D30" s="34">
        <f>D4</f>
        <v>123.12387168308</v>
      </c>
      <c r="E30" s="33">
        <f>E4</f>
        <v>82.3</v>
      </c>
    </row>
    <row r="31" spans="1:5" x14ac:dyDescent="0.2">
      <c r="A31" s="16"/>
      <c r="B31" s="32" t="s">
        <v>4</v>
      </c>
      <c r="C31" s="62">
        <f t="shared" ref="C31:E38" si="1">C5</f>
        <v>18.558050482453272</v>
      </c>
      <c r="D31" s="61">
        <f t="shared" si="1"/>
        <v>42.562137502623102</v>
      </c>
      <c r="E31" s="152" t="s">
        <v>116</v>
      </c>
    </row>
    <row r="32" spans="1:5" x14ac:dyDescent="0.2">
      <c r="A32" s="21" t="s">
        <v>5</v>
      </c>
      <c r="B32" s="20"/>
      <c r="C32" s="56">
        <f t="shared" si="1"/>
        <v>37.74294374977147</v>
      </c>
      <c r="D32" s="55">
        <f t="shared" si="1"/>
        <v>32.488812384640447</v>
      </c>
      <c r="E32" s="54">
        <f t="shared" si="1"/>
        <v>32.799999999999997</v>
      </c>
    </row>
    <row r="33" spans="1:5" x14ac:dyDescent="0.2">
      <c r="A33" s="28"/>
      <c r="B33" s="10" t="s">
        <v>4</v>
      </c>
      <c r="C33" s="59">
        <f t="shared" si="1"/>
        <v>6.5</v>
      </c>
      <c r="D33" s="58">
        <f t="shared" si="1"/>
        <v>15.173670694770564</v>
      </c>
      <c r="E33" s="153" t="s">
        <v>116</v>
      </c>
    </row>
    <row r="34" spans="1:5" x14ac:dyDescent="0.2">
      <c r="A34" s="27" t="s">
        <v>6</v>
      </c>
      <c r="B34" s="26"/>
      <c r="C34" s="35">
        <f t="shared" si="1"/>
        <v>70.264403859626185</v>
      </c>
      <c r="D34" s="34">
        <f t="shared" si="1"/>
        <v>56.670405445467807</v>
      </c>
      <c r="E34" s="33">
        <f t="shared" si="1"/>
        <v>39.5</v>
      </c>
    </row>
    <row r="35" spans="1:5" x14ac:dyDescent="0.2">
      <c r="A35" s="22"/>
      <c r="B35" s="15" t="s">
        <v>7</v>
      </c>
      <c r="C35" s="53">
        <f t="shared" si="1"/>
        <v>9.6580504824532731</v>
      </c>
      <c r="D35" s="52">
        <f t="shared" si="1"/>
        <v>24.388466807852538</v>
      </c>
      <c r="E35" s="51">
        <f t="shared" si="1"/>
        <v>22.5</v>
      </c>
    </row>
    <row r="36" spans="1:5" x14ac:dyDescent="0.2">
      <c r="A36" s="27" t="s">
        <v>8</v>
      </c>
      <c r="B36" s="26"/>
      <c r="C36" s="35">
        <f t="shared" si="1"/>
        <v>42.9</v>
      </c>
      <c r="D36" s="34">
        <f t="shared" si="1"/>
        <v>33.964653852971921</v>
      </c>
      <c r="E36" s="33">
        <f t="shared" si="1"/>
        <v>10</v>
      </c>
    </row>
    <row r="37" spans="1:5" x14ac:dyDescent="0.2">
      <c r="A37" s="16"/>
      <c r="B37" s="15" t="s">
        <v>7</v>
      </c>
      <c r="C37" s="53">
        <f t="shared" si="1"/>
        <v>2.4</v>
      </c>
      <c r="D37" s="52">
        <f t="shared" si="1"/>
        <v>3</v>
      </c>
      <c r="E37" s="51">
        <f t="shared" si="1"/>
        <v>6.6</v>
      </c>
    </row>
    <row r="38" spans="1:5" ht="15.75" customHeight="1" x14ac:dyDescent="0.2">
      <c r="A38" s="50" t="s">
        <v>9</v>
      </c>
      <c r="B38" s="49"/>
      <c r="C38" s="48">
        <f t="shared" si="1"/>
        <v>1</v>
      </c>
      <c r="D38" s="47">
        <f t="shared" si="1"/>
        <v>3.3351839637785341</v>
      </c>
      <c r="E38" s="46">
        <f t="shared" si="1"/>
        <v>4.2</v>
      </c>
    </row>
    <row r="39" spans="1:5" ht="15.75" customHeight="1" x14ac:dyDescent="0.2">
      <c r="A39" s="45"/>
      <c r="B39" s="42"/>
      <c r="C39" s="44"/>
      <c r="D39" s="43"/>
      <c r="E39" s="42"/>
    </row>
    <row r="41" spans="1:5" x14ac:dyDescent="0.2">
      <c r="A41" s="41"/>
      <c r="B41" s="40"/>
      <c r="C41" s="39" t="s">
        <v>0</v>
      </c>
      <c r="D41" s="380" t="s">
        <v>1</v>
      </c>
      <c r="E41" s="379"/>
    </row>
    <row r="42" spans="1:5" x14ac:dyDescent="0.2">
      <c r="A42" s="11" t="s">
        <v>10</v>
      </c>
      <c r="B42" s="37"/>
      <c r="C42" s="38">
        <v>2010</v>
      </c>
      <c r="D42" s="37">
        <v>2030</v>
      </c>
      <c r="E42" s="36">
        <v>2050</v>
      </c>
    </row>
    <row r="43" spans="1:5" x14ac:dyDescent="0.2">
      <c r="A43" s="376" t="s">
        <v>11</v>
      </c>
      <c r="B43" s="377"/>
      <c r="C43" s="35">
        <f>C17</f>
        <v>150.90734760939765</v>
      </c>
      <c r="D43" s="34">
        <f>D17</f>
        <v>123.12387168308</v>
      </c>
      <c r="E43" s="33">
        <f>E17</f>
        <v>82.3</v>
      </c>
    </row>
    <row r="44" spans="1:5" x14ac:dyDescent="0.2">
      <c r="A44" s="16"/>
      <c r="B44" s="32" t="s">
        <v>4</v>
      </c>
      <c r="C44" s="31">
        <f>C18</f>
        <v>0.12297645393972574</v>
      </c>
      <c r="D44" s="30">
        <f>D18</f>
        <v>0.34568550290700534</v>
      </c>
      <c r="E44" s="150" t="s">
        <v>115</v>
      </c>
    </row>
    <row r="45" spans="1:5" x14ac:dyDescent="0.2">
      <c r="A45" s="21" t="s">
        <v>5</v>
      </c>
      <c r="B45" s="20"/>
      <c r="C45" s="19">
        <f t="shared" ref="C45:E45" si="2">C19</f>
        <v>0.25010673335445366</v>
      </c>
      <c r="D45" s="18">
        <f t="shared" si="2"/>
        <v>0.26387094509394921</v>
      </c>
      <c r="E45" s="17">
        <f t="shared" si="2"/>
        <v>0.39854191980558928</v>
      </c>
    </row>
    <row r="46" spans="1:5" x14ac:dyDescent="0.2">
      <c r="A46" s="28"/>
      <c r="B46" s="10" t="s">
        <v>4</v>
      </c>
      <c r="C46" s="9">
        <f>C20</f>
        <v>0.17221762147366571</v>
      </c>
      <c r="D46" s="8">
        <f>D20</f>
        <v>0.46704294743454933</v>
      </c>
      <c r="E46" s="151" t="s">
        <v>116</v>
      </c>
    </row>
    <row r="47" spans="1:5" x14ac:dyDescent="0.2">
      <c r="A47" s="27" t="s">
        <v>6</v>
      </c>
      <c r="B47" s="26"/>
      <c r="C47" s="25">
        <f t="shared" ref="C47:E51" si="3">C21</f>
        <v>0.46561287420872088</v>
      </c>
      <c r="D47" s="24">
        <f t="shared" si="3"/>
        <v>0.46027147027456256</v>
      </c>
      <c r="E47" s="23">
        <f t="shared" si="3"/>
        <v>0.47995139732685299</v>
      </c>
    </row>
    <row r="48" spans="1:5" x14ac:dyDescent="0.2">
      <c r="A48" s="22"/>
      <c r="B48" s="15" t="s">
        <v>7</v>
      </c>
      <c r="C48" s="14">
        <f t="shared" si="3"/>
        <v>0.13745296269428359</v>
      </c>
      <c r="D48" s="13">
        <f t="shared" si="3"/>
        <v>0.43035631413155867</v>
      </c>
      <c r="E48" s="12">
        <f t="shared" si="3"/>
        <v>0.569620253164557</v>
      </c>
    </row>
    <row r="49" spans="1:5" x14ac:dyDescent="0.2">
      <c r="A49" s="21" t="s">
        <v>8</v>
      </c>
      <c r="B49" s="20"/>
      <c r="C49" s="19">
        <f t="shared" si="3"/>
        <v>0.28428039243682546</v>
      </c>
      <c r="D49" s="18">
        <f t="shared" si="3"/>
        <v>0.27585758463148974</v>
      </c>
      <c r="E49" s="17">
        <f t="shared" si="3"/>
        <v>0.12150668286755772</v>
      </c>
    </row>
    <row r="50" spans="1:5" x14ac:dyDescent="0.2">
      <c r="A50" s="11"/>
      <c r="B50" s="10" t="s">
        <v>7</v>
      </c>
      <c r="C50" s="9">
        <f t="shared" si="3"/>
        <v>5.5944055944055944E-2</v>
      </c>
      <c r="D50" s="8">
        <f t="shared" si="3"/>
        <v>8.832711833268099E-2</v>
      </c>
      <c r="E50" s="7">
        <f t="shared" si="3"/>
        <v>0.65999999999999992</v>
      </c>
    </row>
    <row r="51" spans="1:5" x14ac:dyDescent="0.2">
      <c r="A51" s="6" t="s">
        <v>9</v>
      </c>
      <c r="B51" s="5"/>
      <c r="C51" s="4">
        <f t="shared" si="3"/>
        <v>6.6265825742849761E-3</v>
      </c>
      <c r="D51" s="3">
        <f t="shared" si="3"/>
        <v>2.7088036772944201E-2</v>
      </c>
      <c r="E51" s="2">
        <f t="shared" si="3"/>
        <v>5.1032806804374248E-2</v>
      </c>
    </row>
  </sheetData>
  <mergeCells count="8">
    <mergeCell ref="A43:B43"/>
    <mergeCell ref="D28:E28"/>
    <mergeCell ref="A30:B30"/>
    <mergeCell ref="A17:B17"/>
    <mergeCell ref="D2:E2"/>
    <mergeCell ref="D15:E15"/>
    <mergeCell ref="A4:B4"/>
    <mergeCell ref="D41:E4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workbookViewId="0">
      <selection activeCell="K25" sqref="K25"/>
    </sheetView>
  </sheetViews>
  <sheetFormatPr baseColWidth="10" defaultRowHeight="12.75" x14ac:dyDescent="0.2"/>
  <cols>
    <col min="1" max="1" width="14.85546875" style="102" bestFit="1" customWidth="1"/>
    <col min="2" max="2" width="28.28515625" style="102" customWidth="1"/>
    <col min="3" max="3" width="9.42578125" style="102" bestFit="1" customWidth="1"/>
    <col min="4" max="4" width="4.28515625" style="70" customWidth="1"/>
    <col min="5" max="5" width="11.42578125" style="70" customWidth="1"/>
    <col min="6" max="6" width="23.5703125" style="70" bestFit="1" customWidth="1"/>
    <col min="7" max="7" width="6.42578125" style="70" customWidth="1"/>
    <col min="8" max="8" width="6.5703125" style="70" customWidth="1"/>
    <col min="9" max="9" width="7.140625" style="70" customWidth="1"/>
    <col min="10" max="10" width="5.7109375" style="70" customWidth="1"/>
    <col min="11" max="11" width="5.85546875" style="70" customWidth="1"/>
    <col min="12" max="12" width="8" style="70" customWidth="1"/>
    <col min="13" max="13" width="6.85546875" style="70" bestFit="1" customWidth="1"/>
    <col min="14" max="14" width="9.7109375" style="70" customWidth="1"/>
    <col min="15" max="15" width="7.42578125" style="70" customWidth="1"/>
    <col min="16" max="16" width="6.85546875" style="70" customWidth="1"/>
    <col min="17" max="17" width="6" style="70" customWidth="1"/>
    <col min="18" max="18" width="8.85546875" style="70" bestFit="1" customWidth="1"/>
    <col min="19" max="19" width="8.42578125" style="70" bestFit="1" customWidth="1"/>
    <col min="20" max="20" width="16.28515625" style="70" bestFit="1" customWidth="1"/>
    <col min="21" max="21" width="3.140625" style="70" customWidth="1"/>
    <col min="22" max="22" width="8.42578125" style="70" bestFit="1" customWidth="1"/>
    <col min="23" max="23" width="4.42578125" style="70" bestFit="1" customWidth="1"/>
    <col min="24" max="24" width="8.85546875" style="70" bestFit="1" customWidth="1"/>
    <col min="25" max="25" width="9.85546875" style="70" bestFit="1" customWidth="1"/>
    <col min="26" max="26" width="8.85546875" style="70" bestFit="1" customWidth="1"/>
    <col min="27" max="27" width="8.42578125" style="70" bestFit="1" customWidth="1"/>
    <col min="28" max="28" width="3.28515625" style="70" customWidth="1"/>
    <col min="29" max="256" width="11.42578125" style="70"/>
    <col min="257" max="257" width="14.85546875" style="70" bestFit="1" customWidth="1"/>
    <col min="258" max="258" width="28.28515625" style="70" customWidth="1"/>
    <col min="259" max="259" width="4.42578125" style="70" bestFit="1" customWidth="1"/>
    <col min="260" max="260" width="4.28515625" style="70" customWidth="1"/>
    <col min="261" max="261" width="11.42578125" style="70" customWidth="1"/>
    <col min="262" max="262" width="23.5703125" style="70" bestFit="1" customWidth="1"/>
    <col min="263" max="263" width="8" style="70" customWidth="1"/>
    <col min="264" max="264" width="7.28515625" style="70" customWidth="1"/>
    <col min="265" max="265" width="7.140625" style="70" customWidth="1"/>
    <col min="266" max="266" width="5.7109375" style="70" customWidth="1"/>
    <col min="267" max="267" width="5.85546875" style="70" customWidth="1"/>
    <col min="268" max="268" width="8" style="70" customWidth="1"/>
    <col min="269" max="269" width="5.140625" style="70" customWidth="1"/>
    <col min="270" max="270" width="9.7109375" style="70" customWidth="1"/>
    <col min="271" max="271" width="7.42578125" style="70" customWidth="1"/>
    <col min="272" max="272" width="6.85546875" style="70" customWidth="1"/>
    <col min="273" max="273" width="6" style="70" customWidth="1"/>
    <col min="274" max="275" width="7.42578125" style="70" bestFit="1" customWidth="1"/>
    <col min="276" max="276" width="16.28515625" style="70" bestFit="1" customWidth="1"/>
    <col min="277" max="277" width="3.140625" style="70" customWidth="1"/>
    <col min="278" max="278" width="5.5703125" style="70" bestFit="1" customWidth="1"/>
    <col min="279" max="279" width="4.42578125" style="70" bestFit="1" customWidth="1"/>
    <col min="280" max="282" width="4.5703125" style="70" bestFit="1" customWidth="1"/>
    <col min="283" max="283" width="5.42578125" style="70" bestFit="1" customWidth="1"/>
    <col min="284" max="284" width="3.28515625" style="70" customWidth="1"/>
    <col min="285" max="512" width="11.42578125" style="70"/>
    <col min="513" max="513" width="14.85546875" style="70" bestFit="1" customWidth="1"/>
    <col min="514" max="514" width="28.28515625" style="70" customWidth="1"/>
    <col min="515" max="515" width="4.42578125" style="70" bestFit="1" customWidth="1"/>
    <col min="516" max="516" width="4.28515625" style="70" customWidth="1"/>
    <col min="517" max="517" width="11.42578125" style="70" customWidth="1"/>
    <col min="518" max="518" width="23.5703125" style="70" bestFit="1" customWidth="1"/>
    <col min="519" max="519" width="8" style="70" customWidth="1"/>
    <col min="520" max="520" width="7.28515625" style="70" customWidth="1"/>
    <col min="521" max="521" width="7.140625" style="70" customWidth="1"/>
    <col min="522" max="522" width="5.7109375" style="70" customWidth="1"/>
    <col min="523" max="523" width="5.85546875" style="70" customWidth="1"/>
    <col min="524" max="524" width="8" style="70" customWidth="1"/>
    <col min="525" max="525" width="5.140625" style="70" customWidth="1"/>
    <col min="526" max="526" width="9.7109375" style="70" customWidth="1"/>
    <col min="527" max="527" width="7.42578125" style="70" customWidth="1"/>
    <col min="528" max="528" width="6.85546875" style="70" customWidth="1"/>
    <col min="529" max="529" width="6" style="70" customWidth="1"/>
    <col min="530" max="531" width="7.42578125" style="70" bestFit="1" customWidth="1"/>
    <col min="532" max="532" width="16.28515625" style="70" bestFit="1" customWidth="1"/>
    <col min="533" max="533" width="3.140625" style="70" customWidth="1"/>
    <col min="534" max="534" width="5.5703125" style="70" bestFit="1" customWidth="1"/>
    <col min="535" max="535" width="4.42578125" style="70" bestFit="1" customWidth="1"/>
    <col min="536" max="538" width="4.5703125" style="70" bestFit="1" customWidth="1"/>
    <col min="539" max="539" width="5.42578125" style="70" bestFit="1" customWidth="1"/>
    <col min="540" max="540" width="3.28515625" style="70" customWidth="1"/>
    <col min="541" max="768" width="11.42578125" style="70"/>
    <col min="769" max="769" width="14.85546875" style="70" bestFit="1" customWidth="1"/>
    <col min="770" max="770" width="28.28515625" style="70" customWidth="1"/>
    <col min="771" max="771" width="4.42578125" style="70" bestFit="1" customWidth="1"/>
    <col min="772" max="772" width="4.28515625" style="70" customWidth="1"/>
    <col min="773" max="773" width="11.42578125" style="70" customWidth="1"/>
    <col min="774" max="774" width="23.5703125" style="70" bestFit="1" customWidth="1"/>
    <col min="775" max="775" width="8" style="70" customWidth="1"/>
    <col min="776" max="776" width="7.28515625" style="70" customWidth="1"/>
    <col min="777" max="777" width="7.140625" style="70" customWidth="1"/>
    <col min="778" max="778" width="5.7109375" style="70" customWidth="1"/>
    <col min="779" max="779" width="5.85546875" style="70" customWidth="1"/>
    <col min="780" max="780" width="8" style="70" customWidth="1"/>
    <col min="781" max="781" width="5.140625" style="70" customWidth="1"/>
    <col min="782" max="782" width="9.7109375" style="70" customWidth="1"/>
    <col min="783" max="783" width="7.42578125" style="70" customWidth="1"/>
    <col min="784" max="784" width="6.85546875" style="70" customWidth="1"/>
    <col min="785" max="785" width="6" style="70" customWidth="1"/>
    <col min="786" max="787" width="7.42578125" style="70" bestFit="1" customWidth="1"/>
    <col min="788" max="788" width="16.28515625" style="70" bestFit="1" customWidth="1"/>
    <col min="789" max="789" width="3.140625" style="70" customWidth="1"/>
    <col min="790" max="790" width="5.5703125" style="70" bestFit="1" customWidth="1"/>
    <col min="791" max="791" width="4.42578125" style="70" bestFit="1" customWidth="1"/>
    <col min="792" max="794" width="4.5703125" style="70" bestFit="1" customWidth="1"/>
    <col min="795" max="795" width="5.42578125" style="70" bestFit="1" customWidth="1"/>
    <col min="796" max="796" width="3.28515625" style="70" customWidth="1"/>
    <col min="797" max="1024" width="11.42578125" style="70"/>
    <col min="1025" max="1025" width="14.85546875" style="70" bestFit="1" customWidth="1"/>
    <col min="1026" max="1026" width="28.28515625" style="70" customWidth="1"/>
    <col min="1027" max="1027" width="4.42578125" style="70" bestFit="1" customWidth="1"/>
    <col min="1028" max="1028" width="4.28515625" style="70" customWidth="1"/>
    <col min="1029" max="1029" width="11.42578125" style="70" customWidth="1"/>
    <col min="1030" max="1030" width="23.5703125" style="70" bestFit="1" customWidth="1"/>
    <col min="1031" max="1031" width="8" style="70" customWidth="1"/>
    <col min="1032" max="1032" width="7.28515625" style="70" customWidth="1"/>
    <col min="1033" max="1033" width="7.140625" style="70" customWidth="1"/>
    <col min="1034" max="1034" width="5.7109375" style="70" customWidth="1"/>
    <col min="1035" max="1035" width="5.85546875" style="70" customWidth="1"/>
    <col min="1036" max="1036" width="8" style="70" customWidth="1"/>
    <col min="1037" max="1037" width="5.140625" style="70" customWidth="1"/>
    <col min="1038" max="1038" width="9.7109375" style="70" customWidth="1"/>
    <col min="1039" max="1039" width="7.42578125" style="70" customWidth="1"/>
    <col min="1040" max="1040" width="6.85546875" style="70" customWidth="1"/>
    <col min="1041" max="1041" width="6" style="70" customWidth="1"/>
    <col min="1042" max="1043" width="7.42578125" style="70" bestFit="1" customWidth="1"/>
    <col min="1044" max="1044" width="16.28515625" style="70" bestFit="1" customWidth="1"/>
    <col min="1045" max="1045" width="3.140625" style="70" customWidth="1"/>
    <col min="1046" max="1046" width="5.5703125" style="70" bestFit="1" customWidth="1"/>
    <col min="1047" max="1047" width="4.42578125" style="70" bestFit="1" customWidth="1"/>
    <col min="1048" max="1050" width="4.5703125" style="70" bestFit="1" customWidth="1"/>
    <col min="1051" max="1051" width="5.42578125" style="70" bestFit="1" customWidth="1"/>
    <col min="1052" max="1052" width="3.28515625" style="70" customWidth="1"/>
    <col min="1053" max="1280" width="11.42578125" style="70"/>
    <col min="1281" max="1281" width="14.85546875" style="70" bestFit="1" customWidth="1"/>
    <col min="1282" max="1282" width="28.28515625" style="70" customWidth="1"/>
    <col min="1283" max="1283" width="4.42578125" style="70" bestFit="1" customWidth="1"/>
    <col min="1284" max="1284" width="4.28515625" style="70" customWidth="1"/>
    <col min="1285" max="1285" width="11.42578125" style="70" customWidth="1"/>
    <col min="1286" max="1286" width="23.5703125" style="70" bestFit="1" customWidth="1"/>
    <col min="1287" max="1287" width="8" style="70" customWidth="1"/>
    <col min="1288" max="1288" width="7.28515625" style="70" customWidth="1"/>
    <col min="1289" max="1289" width="7.140625" style="70" customWidth="1"/>
    <col min="1290" max="1290" width="5.7109375" style="70" customWidth="1"/>
    <col min="1291" max="1291" width="5.85546875" style="70" customWidth="1"/>
    <col min="1292" max="1292" width="8" style="70" customWidth="1"/>
    <col min="1293" max="1293" width="5.140625" style="70" customWidth="1"/>
    <col min="1294" max="1294" width="9.7109375" style="70" customWidth="1"/>
    <col min="1295" max="1295" width="7.42578125" style="70" customWidth="1"/>
    <col min="1296" max="1296" width="6.85546875" style="70" customWidth="1"/>
    <col min="1297" max="1297" width="6" style="70" customWidth="1"/>
    <col min="1298" max="1299" width="7.42578125" style="70" bestFit="1" customWidth="1"/>
    <col min="1300" max="1300" width="16.28515625" style="70" bestFit="1" customWidth="1"/>
    <col min="1301" max="1301" width="3.140625" style="70" customWidth="1"/>
    <col min="1302" max="1302" width="5.5703125" style="70" bestFit="1" customWidth="1"/>
    <col min="1303" max="1303" width="4.42578125" style="70" bestFit="1" customWidth="1"/>
    <col min="1304" max="1306" width="4.5703125" style="70" bestFit="1" customWidth="1"/>
    <col min="1307" max="1307" width="5.42578125" style="70" bestFit="1" customWidth="1"/>
    <col min="1308" max="1308" width="3.28515625" style="70" customWidth="1"/>
    <col min="1309" max="1536" width="11.42578125" style="70"/>
    <col min="1537" max="1537" width="14.85546875" style="70" bestFit="1" customWidth="1"/>
    <col min="1538" max="1538" width="28.28515625" style="70" customWidth="1"/>
    <col min="1539" max="1539" width="4.42578125" style="70" bestFit="1" customWidth="1"/>
    <col min="1540" max="1540" width="4.28515625" style="70" customWidth="1"/>
    <col min="1541" max="1541" width="11.42578125" style="70" customWidth="1"/>
    <col min="1542" max="1542" width="23.5703125" style="70" bestFit="1" customWidth="1"/>
    <col min="1543" max="1543" width="8" style="70" customWidth="1"/>
    <col min="1544" max="1544" width="7.28515625" style="70" customWidth="1"/>
    <col min="1545" max="1545" width="7.140625" style="70" customWidth="1"/>
    <col min="1546" max="1546" width="5.7109375" style="70" customWidth="1"/>
    <col min="1547" max="1547" width="5.85546875" style="70" customWidth="1"/>
    <col min="1548" max="1548" width="8" style="70" customWidth="1"/>
    <col min="1549" max="1549" width="5.140625" style="70" customWidth="1"/>
    <col min="1550" max="1550" width="9.7109375" style="70" customWidth="1"/>
    <col min="1551" max="1551" width="7.42578125" style="70" customWidth="1"/>
    <col min="1552" max="1552" width="6.85546875" style="70" customWidth="1"/>
    <col min="1553" max="1553" width="6" style="70" customWidth="1"/>
    <col min="1554" max="1555" width="7.42578125" style="70" bestFit="1" customWidth="1"/>
    <col min="1556" max="1556" width="16.28515625" style="70" bestFit="1" customWidth="1"/>
    <col min="1557" max="1557" width="3.140625" style="70" customWidth="1"/>
    <col min="1558" max="1558" width="5.5703125" style="70" bestFit="1" customWidth="1"/>
    <col min="1559" max="1559" width="4.42578125" style="70" bestFit="1" customWidth="1"/>
    <col min="1560" max="1562" width="4.5703125" style="70" bestFit="1" customWidth="1"/>
    <col min="1563" max="1563" width="5.42578125" style="70" bestFit="1" customWidth="1"/>
    <col min="1564" max="1564" width="3.28515625" style="70" customWidth="1"/>
    <col min="1565" max="1792" width="11.42578125" style="70"/>
    <col min="1793" max="1793" width="14.85546875" style="70" bestFit="1" customWidth="1"/>
    <col min="1794" max="1794" width="28.28515625" style="70" customWidth="1"/>
    <col min="1795" max="1795" width="4.42578125" style="70" bestFit="1" customWidth="1"/>
    <col min="1796" max="1796" width="4.28515625" style="70" customWidth="1"/>
    <col min="1797" max="1797" width="11.42578125" style="70" customWidth="1"/>
    <col min="1798" max="1798" width="23.5703125" style="70" bestFit="1" customWidth="1"/>
    <col min="1799" max="1799" width="8" style="70" customWidth="1"/>
    <col min="1800" max="1800" width="7.28515625" style="70" customWidth="1"/>
    <col min="1801" max="1801" width="7.140625" style="70" customWidth="1"/>
    <col min="1802" max="1802" width="5.7109375" style="70" customWidth="1"/>
    <col min="1803" max="1803" width="5.85546875" style="70" customWidth="1"/>
    <col min="1804" max="1804" width="8" style="70" customWidth="1"/>
    <col min="1805" max="1805" width="5.140625" style="70" customWidth="1"/>
    <col min="1806" max="1806" width="9.7109375" style="70" customWidth="1"/>
    <col min="1807" max="1807" width="7.42578125" style="70" customWidth="1"/>
    <col min="1808" max="1808" width="6.85546875" style="70" customWidth="1"/>
    <col min="1809" max="1809" width="6" style="70" customWidth="1"/>
    <col min="1810" max="1811" width="7.42578125" style="70" bestFit="1" customWidth="1"/>
    <col min="1812" max="1812" width="16.28515625" style="70" bestFit="1" customWidth="1"/>
    <col min="1813" max="1813" width="3.140625" style="70" customWidth="1"/>
    <col min="1814" max="1814" width="5.5703125" style="70" bestFit="1" customWidth="1"/>
    <col min="1815" max="1815" width="4.42578125" style="70" bestFit="1" customWidth="1"/>
    <col min="1816" max="1818" width="4.5703125" style="70" bestFit="1" customWidth="1"/>
    <col min="1819" max="1819" width="5.42578125" style="70" bestFit="1" customWidth="1"/>
    <col min="1820" max="1820" width="3.28515625" style="70" customWidth="1"/>
    <col min="1821" max="2048" width="11.42578125" style="70"/>
    <col min="2049" max="2049" width="14.85546875" style="70" bestFit="1" customWidth="1"/>
    <col min="2050" max="2050" width="28.28515625" style="70" customWidth="1"/>
    <col min="2051" max="2051" width="4.42578125" style="70" bestFit="1" customWidth="1"/>
    <col min="2052" max="2052" width="4.28515625" style="70" customWidth="1"/>
    <col min="2053" max="2053" width="11.42578125" style="70" customWidth="1"/>
    <col min="2054" max="2054" width="23.5703125" style="70" bestFit="1" customWidth="1"/>
    <col min="2055" max="2055" width="8" style="70" customWidth="1"/>
    <col min="2056" max="2056" width="7.28515625" style="70" customWidth="1"/>
    <col min="2057" max="2057" width="7.140625" style="70" customWidth="1"/>
    <col min="2058" max="2058" width="5.7109375" style="70" customWidth="1"/>
    <col min="2059" max="2059" width="5.85546875" style="70" customWidth="1"/>
    <col min="2060" max="2060" width="8" style="70" customWidth="1"/>
    <col min="2061" max="2061" width="5.140625" style="70" customWidth="1"/>
    <col min="2062" max="2062" width="9.7109375" style="70" customWidth="1"/>
    <col min="2063" max="2063" width="7.42578125" style="70" customWidth="1"/>
    <col min="2064" max="2064" width="6.85546875" style="70" customWidth="1"/>
    <col min="2065" max="2065" width="6" style="70" customWidth="1"/>
    <col min="2066" max="2067" width="7.42578125" style="70" bestFit="1" customWidth="1"/>
    <col min="2068" max="2068" width="16.28515625" style="70" bestFit="1" customWidth="1"/>
    <col min="2069" max="2069" width="3.140625" style="70" customWidth="1"/>
    <col min="2070" max="2070" width="5.5703125" style="70" bestFit="1" customWidth="1"/>
    <col min="2071" max="2071" width="4.42578125" style="70" bestFit="1" customWidth="1"/>
    <col min="2072" max="2074" width="4.5703125" style="70" bestFit="1" customWidth="1"/>
    <col min="2075" max="2075" width="5.42578125" style="70" bestFit="1" customWidth="1"/>
    <col min="2076" max="2076" width="3.28515625" style="70" customWidth="1"/>
    <col min="2077" max="2304" width="11.42578125" style="70"/>
    <col min="2305" max="2305" width="14.85546875" style="70" bestFit="1" customWidth="1"/>
    <col min="2306" max="2306" width="28.28515625" style="70" customWidth="1"/>
    <col min="2307" max="2307" width="4.42578125" style="70" bestFit="1" customWidth="1"/>
    <col min="2308" max="2308" width="4.28515625" style="70" customWidth="1"/>
    <col min="2309" max="2309" width="11.42578125" style="70" customWidth="1"/>
    <col min="2310" max="2310" width="23.5703125" style="70" bestFit="1" customWidth="1"/>
    <col min="2311" max="2311" width="8" style="70" customWidth="1"/>
    <col min="2312" max="2312" width="7.28515625" style="70" customWidth="1"/>
    <col min="2313" max="2313" width="7.140625" style="70" customWidth="1"/>
    <col min="2314" max="2314" width="5.7109375" style="70" customWidth="1"/>
    <col min="2315" max="2315" width="5.85546875" style="70" customWidth="1"/>
    <col min="2316" max="2316" width="8" style="70" customWidth="1"/>
    <col min="2317" max="2317" width="5.140625" style="70" customWidth="1"/>
    <col min="2318" max="2318" width="9.7109375" style="70" customWidth="1"/>
    <col min="2319" max="2319" width="7.42578125" style="70" customWidth="1"/>
    <col min="2320" max="2320" width="6.85546875" style="70" customWidth="1"/>
    <col min="2321" max="2321" width="6" style="70" customWidth="1"/>
    <col min="2322" max="2323" width="7.42578125" style="70" bestFit="1" customWidth="1"/>
    <col min="2324" max="2324" width="16.28515625" style="70" bestFit="1" customWidth="1"/>
    <col min="2325" max="2325" width="3.140625" style="70" customWidth="1"/>
    <col min="2326" max="2326" width="5.5703125" style="70" bestFit="1" customWidth="1"/>
    <col min="2327" max="2327" width="4.42578125" style="70" bestFit="1" customWidth="1"/>
    <col min="2328" max="2330" width="4.5703125" style="70" bestFit="1" customWidth="1"/>
    <col min="2331" max="2331" width="5.42578125" style="70" bestFit="1" customWidth="1"/>
    <col min="2332" max="2332" width="3.28515625" style="70" customWidth="1"/>
    <col min="2333" max="2560" width="11.42578125" style="70"/>
    <col min="2561" max="2561" width="14.85546875" style="70" bestFit="1" customWidth="1"/>
    <col min="2562" max="2562" width="28.28515625" style="70" customWidth="1"/>
    <col min="2563" max="2563" width="4.42578125" style="70" bestFit="1" customWidth="1"/>
    <col min="2564" max="2564" width="4.28515625" style="70" customWidth="1"/>
    <col min="2565" max="2565" width="11.42578125" style="70" customWidth="1"/>
    <col min="2566" max="2566" width="23.5703125" style="70" bestFit="1" customWidth="1"/>
    <col min="2567" max="2567" width="8" style="70" customWidth="1"/>
    <col min="2568" max="2568" width="7.28515625" style="70" customWidth="1"/>
    <col min="2569" max="2569" width="7.140625" style="70" customWidth="1"/>
    <col min="2570" max="2570" width="5.7109375" style="70" customWidth="1"/>
    <col min="2571" max="2571" width="5.85546875" style="70" customWidth="1"/>
    <col min="2572" max="2572" width="8" style="70" customWidth="1"/>
    <col min="2573" max="2573" width="5.140625" style="70" customWidth="1"/>
    <col min="2574" max="2574" width="9.7109375" style="70" customWidth="1"/>
    <col min="2575" max="2575" width="7.42578125" style="70" customWidth="1"/>
    <col min="2576" max="2576" width="6.85546875" style="70" customWidth="1"/>
    <col min="2577" max="2577" width="6" style="70" customWidth="1"/>
    <col min="2578" max="2579" width="7.42578125" style="70" bestFit="1" customWidth="1"/>
    <col min="2580" max="2580" width="16.28515625" style="70" bestFit="1" customWidth="1"/>
    <col min="2581" max="2581" width="3.140625" style="70" customWidth="1"/>
    <col min="2582" max="2582" width="5.5703125" style="70" bestFit="1" customWidth="1"/>
    <col min="2583" max="2583" width="4.42578125" style="70" bestFit="1" customWidth="1"/>
    <col min="2584" max="2586" width="4.5703125" style="70" bestFit="1" customWidth="1"/>
    <col min="2587" max="2587" width="5.42578125" style="70" bestFit="1" customWidth="1"/>
    <col min="2588" max="2588" width="3.28515625" style="70" customWidth="1"/>
    <col min="2589" max="2816" width="11.42578125" style="70"/>
    <col min="2817" max="2817" width="14.85546875" style="70" bestFit="1" customWidth="1"/>
    <col min="2818" max="2818" width="28.28515625" style="70" customWidth="1"/>
    <col min="2819" max="2819" width="4.42578125" style="70" bestFit="1" customWidth="1"/>
    <col min="2820" max="2820" width="4.28515625" style="70" customWidth="1"/>
    <col min="2821" max="2821" width="11.42578125" style="70" customWidth="1"/>
    <col min="2822" max="2822" width="23.5703125" style="70" bestFit="1" customWidth="1"/>
    <col min="2823" max="2823" width="8" style="70" customWidth="1"/>
    <col min="2824" max="2824" width="7.28515625" style="70" customWidth="1"/>
    <col min="2825" max="2825" width="7.140625" style="70" customWidth="1"/>
    <col min="2826" max="2826" width="5.7109375" style="70" customWidth="1"/>
    <col min="2827" max="2827" width="5.85546875" style="70" customWidth="1"/>
    <col min="2828" max="2828" width="8" style="70" customWidth="1"/>
    <col min="2829" max="2829" width="5.140625" style="70" customWidth="1"/>
    <col min="2830" max="2830" width="9.7109375" style="70" customWidth="1"/>
    <col min="2831" max="2831" width="7.42578125" style="70" customWidth="1"/>
    <col min="2832" max="2832" width="6.85546875" style="70" customWidth="1"/>
    <col min="2833" max="2833" width="6" style="70" customWidth="1"/>
    <col min="2834" max="2835" width="7.42578125" style="70" bestFit="1" customWidth="1"/>
    <col min="2836" max="2836" width="16.28515625" style="70" bestFit="1" customWidth="1"/>
    <col min="2837" max="2837" width="3.140625" style="70" customWidth="1"/>
    <col min="2838" max="2838" width="5.5703125" style="70" bestFit="1" customWidth="1"/>
    <col min="2839" max="2839" width="4.42578125" style="70" bestFit="1" customWidth="1"/>
    <col min="2840" max="2842" width="4.5703125" style="70" bestFit="1" customWidth="1"/>
    <col min="2843" max="2843" width="5.42578125" style="70" bestFit="1" customWidth="1"/>
    <col min="2844" max="2844" width="3.28515625" style="70" customWidth="1"/>
    <col min="2845" max="3072" width="11.42578125" style="70"/>
    <col min="3073" max="3073" width="14.85546875" style="70" bestFit="1" customWidth="1"/>
    <col min="3074" max="3074" width="28.28515625" style="70" customWidth="1"/>
    <col min="3075" max="3075" width="4.42578125" style="70" bestFit="1" customWidth="1"/>
    <col min="3076" max="3076" width="4.28515625" style="70" customWidth="1"/>
    <col min="3077" max="3077" width="11.42578125" style="70" customWidth="1"/>
    <col min="3078" max="3078" width="23.5703125" style="70" bestFit="1" customWidth="1"/>
    <col min="3079" max="3079" width="8" style="70" customWidth="1"/>
    <col min="3080" max="3080" width="7.28515625" style="70" customWidth="1"/>
    <col min="3081" max="3081" width="7.140625" style="70" customWidth="1"/>
    <col min="3082" max="3082" width="5.7109375" style="70" customWidth="1"/>
    <col min="3083" max="3083" width="5.85546875" style="70" customWidth="1"/>
    <col min="3084" max="3084" width="8" style="70" customWidth="1"/>
    <col min="3085" max="3085" width="5.140625" style="70" customWidth="1"/>
    <col min="3086" max="3086" width="9.7109375" style="70" customWidth="1"/>
    <col min="3087" max="3087" width="7.42578125" style="70" customWidth="1"/>
    <col min="3088" max="3088" width="6.85546875" style="70" customWidth="1"/>
    <col min="3089" max="3089" width="6" style="70" customWidth="1"/>
    <col min="3090" max="3091" width="7.42578125" style="70" bestFit="1" customWidth="1"/>
    <col min="3092" max="3092" width="16.28515625" style="70" bestFit="1" customWidth="1"/>
    <col min="3093" max="3093" width="3.140625" style="70" customWidth="1"/>
    <col min="3094" max="3094" width="5.5703125" style="70" bestFit="1" customWidth="1"/>
    <col min="3095" max="3095" width="4.42578125" style="70" bestFit="1" customWidth="1"/>
    <col min="3096" max="3098" width="4.5703125" style="70" bestFit="1" customWidth="1"/>
    <col min="3099" max="3099" width="5.42578125" style="70" bestFit="1" customWidth="1"/>
    <col min="3100" max="3100" width="3.28515625" style="70" customWidth="1"/>
    <col min="3101" max="3328" width="11.42578125" style="70"/>
    <col min="3329" max="3329" width="14.85546875" style="70" bestFit="1" customWidth="1"/>
    <col min="3330" max="3330" width="28.28515625" style="70" customWidth="1"/>
    <col min="3331" max="3331" width="4.42578125" style="70" bestFit="1" customWidth="1"/>
    <col min="3332" max="3332" width="4.28515625" style="70" customWidth="1"/>
    <col min="3333" max="3333" width="11.42578125" style="70" customWidth="1"/>
    <col min="3334" max="3334" width="23.5703125" style="70" bestFit="1" customWidth="1"/>
    <col min="3335" max="3335" width="8" style="70" customWidth="1"/>
    <col min="3336" max="3336" width="7.28515625" style="70" customWidth="1"/>
    <col min="3337" max="3337" width="7.140625" style="70" customWidth="1"/>
    <col min="3338" max="3338" width="5.7109375" style="70" customWidth="1"/>
    <col min="3339" max="3339" width="5.85546875" style="70" customWidth="1"/>
    <col min="3340" max="3340" width="8" style="70" customWidth="1"/>
    <col min="3341" max="3341" width="5.140625" style="70" customWidth="1"/>
    <col min="3342" max="3342" width="9.7109375" style="70" customWidth="1"/>
    <col min="3343" max="3343" width="7.42578125" style="70" customWidth="1"/>
    <col min="3344" max="3344" width="6.85546875" style="70" customWidth="1"/>
    <col min="3345" max="3345" width="6" style="70" customWidth="1"/>
    <col min="3346" max="3347" width="7.42578125" style="70" bestFit="1" customWidth="1"/>
    <col min="3348" max="3348" width="16.28515625" style="70" bestFit="1" customWidth="1"/>
    <col min="3349" max="3349" width="3.140625" style="70" customWidth="1"/>
    <col min="3350" max="3350" width="5.5703125" style="70" bestFit="1" customWidth="1"/>
    <col min="3351" max="3351" width="4.42578125" style="70" bestFit="1" customWidth="1"/>
    <col min="3352" max="3354" width="4.5703125" style="70" bestFit="1" customWidth="1"/>
    <col min="3355" max="3355" width="5.42578125" style="70" bestFit="1" customWidth="1"/>
    <col min="3356" max="3356" width="3.28515625" style="70" customWidth="1"/>
    <col min="3357" max="3584" width="11.42578125" style="70"/>
    <col min="3585" max="3585" width="14.85546875" style="70" bestFit="1" customWidth="1"/>
    <col min="3586" max="3586" width="28.28515625" style="70" customWidth="1"/>
    <col min="3587" max="3587" width="4.42578125" style="70" bestFit="1" customWidth="1"/>
    <col min="3588" max="3588" width="4.28515625" style="70" customWidth="1"/>
    <col min="3589" max="3589" width="11.42578125" style="70" customWidth="1"/>
    <col min="3590" max="3590" width="23.5703125" style="70" bestFit="1" customWidth="1"/>
    <col min="3591" max="3591" width="8" style="70" customWidth="1"/>
    <col min="3592" max="3592" width="7.28515625" style="70" customWidth="1"/>
    <col min="3593" max="3593" width="7.140625" style="70" customWidth="1"/>
    <col min="3594" max="3594" width="5.7109375" style="70" customWidth="1"/>
    <col min="3595" max="3595" width="5.85546875" style="70" customWidth="1"/>
    <col min="3596" max="3596" width="8" style="70" customWidth="1"/>
    <col min="3597" max="3597" width="5.140625" style="70" customWidth="1"/>
    <col min="3598" max="3598" width="9.7109375" style="70" customWidth="1"/>
    <col min="3599" max="3599" width="7.42578125" style="70" customWidth="1"/>
    <col min="3600" max="3600" width="6.85546875" style="70" customWidth="1"/>
    <col min="3601" max="3601" width="6" style="70" customWidth="1"/>
    <col min="3602" max="3603" width="7.42578125" style="70" bestFit="1" customWidth="1"/>
    <col min="3604" max="3604" width="16.28515625" style="70" bestFit="1" customWidth="1"/>
    <col min="3605" max="3605" width="3.140625" style="70" customWidth="1"/>
    <col min="3606" max="3606" width="5.5703125" style="70" bestFit="1" customWidth="1"/>
    <col min="3607" max="3607" width="4.42578125" style="70" bestFit="1" customWidth="1"/>
    <col min="3608" max="3610" width="4.5703125" style="70" bestFit="1" customWidth="1"/>
    <col min="3611" max="3611" width="5.42578125" style="70" bestFit="1" customWidth="1"/>
    <col min="3612" max="3612" width="3.28515625" style="70" customWidth="1"/>
    <col min="3613" max="3840" width="11.42578125" style="70"/>
    <col min="3841" max="3841" width="14.85546875" style="70" bestFit="1" customWidth="1"/>
    <col min="3842" max="3842" width="28.28515625" style="70" customWidth="1"/>
    <col min="3843" max="3843" width="4.42578125" style="70" bestFit="1" customWidth="1"/>
    <col min="3844" max="3844" width="4.28515625" style="70" customWidth="1"/>
    <col min="3845" max="3845" width="11.42578125" style="70" customWidth="1"/>
    <col min="3846" max="3846" width="23.5703125" style="70" bestFit="1" customWidth="1"/>
    <col min="3847" max="3847" width="8" style="70" customWidth="1"/>
    <col min="3848" max="3848" width="7.28515625" style="70" customWidth="1"/>
    <col min="3849" max="3849" width="7.140625" style="70" customWidth="1"/>
    <col min="3850" max="3850" width="5.7109375" style="70" customWidth="1"/>
    <col min="3851" max="3851" width="5.85546875" style="70" customWidth="1"/>
    <col min="3852" max="3852" width="8" style="70" customWidth="1"/>
    <col min="3853" max="3853" width="5.140625" style="70" customWidth="1"/>
    <col min="3854" max="3854" width="9.7109375" style="70" customWidth="1"/>
    <col min="3855" max="3855" width="7.42578125" style="70" customWidth="1"/>
    <col min="3856" max="3856" width="6.85546875" style="70" customWidth="1"/>
    <col min="3857" max="3857" width="6" style="70" customWidth="1"/>
    <col min="3858" max="3859" width="7.42578125" style="70" bestFit="1" customWidth="1"/>
    <col min="3860" max="3860" width="16.28515625" style="70" bestFit="1" customWidth="1"/>
    <col min="3861" max="3861" width="3.140625" style="70" customWidth="1"/>
    <col min="3862" max="3862" width="5.5703125" style="70" bestFit="1" customWidth="1"/>
    <col min="3863" max="3863" width="4.42578125" style="70" bestFit="1" customWidth="1"/>
    <col min="3864" max="3866" width="4.5703125" style="70" bestFit="1" customWidth="1"/>
    <col min="3867" max="3867" width="5.42578125" style="70" bestFit="1" customWidth="1"/>
    <col min="3868" max="3868" width="3.28515625" style="70" customWidth="1"/>
    <col min="3869" max="4096" width="11.42578125" style="70"/>
    <col min="4097" max="4097" width="14.85546875" style="70" bestFit="1" customWidth="1"/>
    <col min="4098" max="4098" width="28.28515625" style="70" customWidth="1"/>
    <col min="4099" max="4099" width="4.42578125" style="70" bestFit="1" customWidth="1"/>
    <col min="4100" max="4100" width="4.28515625" style="70" customWidth="1"/>
    <col min="4101" max="4101" width="11.42578125" style="70" customWidth="1"/>
    <col min="4102" max="4102" width="23.5703125" style="70" bestFit="1" customWidth="1"/>
    <col min="4103" max="4103" width="8" style="70" customWidth="1"/>
    <col min="4104" max="4104" width="7.28515625" style="70" customWidth="1"/>
    <col min="4105" max="4105" width="7.140625" style="70" customWidth="1"/>
    <col min="4106" max="4106" width="5.7109375" style="70" customWidth="1"/>
    <col min="4107" max="4107" width="5.85546875" style="70" customWidth="1"/>
    <col min="4108" max="4108" width="8" style="70" customWidth="1"/>
    <col min="4109" max="4109" width="5.140625" style="70" customWidth="1"/>
    <col min="4110" max="4110" width="9.7109375" style="70" customWidth="1"/>
    <col min="4111" max="4111" width="7.42578125" style="70" customWidth="1"/>
    <col min="4112" max="4112" width="6.85546875" style="70" customWidth="1"/>
    <col min="4113" max="4113" width="6" style="70" customWidth="1"/>
    <col min="4114" max="4115" width="7.42578125" style="70" bestFit="1" customWidth="1"/>
    <col min="4116" max="4116" width="16.28515625" style="70" bestFit="1" customWidth="1"/>
    <col min="4117" max="4117" width="3.140625" style="70" customWidth="1"/>
    <col min="4118" max="4118" width="5.5703125" style="70" bestFit="1" customWidth="1"/>
    <col min="4119" max="4119" width="4.42578125" style="70" bestFit="1" customWidth="1"/>
    <col min="4120" max="4122" width="4.5703125" style="70" bestFit="1" customWidth="1"/>
    <col min="4123" max="4123" width="5.42578125" style="70" bestFit="1" customWidth="1"/>
    <col min="4124" max="4124" width="3.28515625" style="70" customWidth="1"/>
    <col min="4125" max="4352" width="11.42578125" style="70"/>
    <col min="4353" max="4353" width="14.85546875" style="70" bestFit="1" customWidth="1"/>
    <col min="4354" max="4354" width="28.28515625" style="70" customWidth="1"/>
    <col min="4355" max="4355" width="4.42578125" style="70" bestFit="1" customWidth="1"/>
    <col min="4356" max="4356" width="4.28515625" style="70" customWidth="1"/>
    <col min="4357" max="4357" width="11.42578125" style="70" customWidth="1"/>
    <col min="4358" max="4358" width="23.5703125" style="70" bestFit="1" customWidth="1"/>
    <col min="4359" max="4359" width="8" style="70" customWidth="1"/>
    <col min="4360" max="4360" width="7.28515625" style="70" customWidth="1"/>
    <col min="4361" max="4361" width="7.140625" style="70" customWidth="1"/>
    <col min="4362" max="4362" width="5.7109375" style="70" customWidth="1"/>
    <col min="4363" max="4363" width="5.85546875" style="70" customWidth="1"/>
    <col min="4364" max="4364" width="8" style="70" customWidth="1"/>
    <col min="4365" max="4365" width="5.140625" style="70" customWidth="1"/>
    <col min="4366" max="4366" width="9.7109375" style="70" customWidth="1"/>
    <col min="4367" max="4367" width="7.42578125" style="70" customWidth="1"/>
    <col min="4368" max="4368" width="6.85546875" style="70" customWidth="1"/>
    <col min="4369" max="4369" width="6" style="70" customWidth="1"/>
    <col min="4370" max="4371" width="7.42578125" style="70" bestFit="1" customWidth="1"/>
    <col min="4372" max="4372" width="16.28515625" style="70" bestFit="1" customWidth="1"/>
    <col min="4373" max="4373" width="3.140625" style="70" customWidth="1"/>
    <col min="4374" max="4374" width="5.5703125" style="70" bestFit="1" customWidth="1"/>
    <col min="4375" max="4375" width="4.42578125" style="70" bestFit="1" customWidth="1"/>
    <col min="4376" max="4378" width="4.5703125" style="70" bestFit="1" customWidth="1"/>
    <col min="4379" max="4379" width="5.42578125" style="70" bestFit="1" customWidth="1"/>
    <col min="4380" max="4380" width="3.28515625" style="70" customWidth="1"/>
    <col min="4381" max="4608" width="11.42578125" style="70"/>
    <col min="4609" max="4609" width="14.85546875" style="70" bestFit="1" customWidth="1"/>
    <col min="4610" max="4610" width="28.28515625" style="70" customWidth="1"/>
    <col min="4611" max="4611" width="4.42578125" style="70" bestFit="1" customWidth="1"/>
    <col min="4612" max="4612" width="4.28515625" style="70" customWidth="1"/>
    <col min="4613" max="4613" width="11.42578125" style="70" customWidth="1"/>
    <col min="4614" max="4614" width="23.5703125" style="70" bestFit="1" customWidth="1"/>
    <col min="4615" max="4615" width="8" style="70" customWidth="1"/>
    <col min="4616" max="4616" width="7.28515625" style="70" customWidth="1"/>
    <col min="4617" max="4617" width="7.140625" style="70" customWidth="1"/>
    <col min="4618" max="4618" width="5.7109375" style="70" customWidth="1"/>
    <col min="4619" max="4619" width="5.85546875" style="70" customWidth="1"/>
    <col min="4620" max="4620" width="8" style="70" customWidth="1"/>
    <col min="4621" max="4621" width="5.140625" style="70" customWidth="1"/>
    <col min="4622" max="4622" width="9.7109375" style="70" customWidth="1"/>
    <col min="4623" max="4623" width="7.42578125" style="70" customWidth="1"/>
    <col min="4624" max="4624" width="6.85546875" style="70" customWidth="1"/>
    <col min="4625" max="4625" width="6" style="70" customWidth="1"/>
    <col min="4626" max="4627" width="7.42578125" style="70" bestFit="1" customWidth="1"/>
    <col min="4628" max="4628" width="16.28515625" style="70" bestFit="1" customWidth="1"/>
    <col min="4629" max="4629" width="3.140625" style="70" customWidth="1"/>
    <col min="4630" max="4630" width="5.5703125" style="70" bestFit="1" customWidth="1"/>
    <col min="4631" max="4631" width="4.42578125" style="70" bestFit="1" customWidth="1"/>
    <col min="4632" max="4634" width="4.5703125" style="70" bestFit="1" customWidth="1"/>
    <col min="4635" max="4635" width="5.42578125" style="70" bestFit="1" customWidth="1"/>
    <col min="4636" max="4636" width="3.28515625" style="70" customWidth="1"/>
    <col min="4637" max="4864" width="11.42578125" style="70"/>
    <col min="4865" max="4865" width="14.85546875" style="70" bestFit="1" customWidth="1"/>
    <col min="4866" max="4866" width="28.28515625" style="70" customWidth="1"/>
    <col min="4867" max="4867" width="4.42578125" style="70" bestFit="1" customWidth="1"/>
    <col min="4868" max="4868" width="4.28515625" style="70" customWidth="1"/>
    <col min="4869" max="4869" width="11.42578125" style="70" customWidth="1"/>
    <col min="4870" max="4870" width="23.5703125" style="70" bestFit="1" customWidth="1"/>
    <col min="4871" max="4871" width="8" style="70" customWidth="1"/>
    <col min="4872" max="4872" width="7.28515625" style="70" customWidth="1"/>
    <col min="4873" max="4873" width="7.140625" style="70" customWidth="1"/>
    <col min="4874" max="4874" width="5.7109375" style="70" customWidth="1"/>
    <col min="4875" max="4875" width="5.85546875" style="70" customWidth="1"/>
    <col min="4876" max="4876" width="8" style="70" customWidth="1"/>
    <col min="4877" max="4877" width="5.140625" style="70" customWidth="1"/>
    <col min="4878" max="4878" width="9.7109375" style="70" customWidth="1"/>
    <col min="4879" max="4879" width="7.42578125" style="70" customWidth="1"/>
    <col min="4880" max="4880" width="6.85546875" style="70" customWidth="1"/>
    <col min="4881" max="4881" width="6" style="70" customWidth="1"/>
    <col min="4882" max="4883" width="7.42578125" style="70" bestFit="1" customWidth="1"/>
    <col min="4884" max="4884" width="16.28515625" style="70" bestFit="1" customWidth="1"/>
    <col min="4885" max="4885" width="3.140625" style="70" customWidth="1"/>
    <col min="4886" max="4886" width="5.5703125" style="70" bestFit="1" customWidth="1"/>
    <col min="4887" max="4887" width="4.42578125" style="70" bestFit="1" customWidth="1"/>
    <col min="4888" max="4890" width="4.5703125" style="70" bestFit="1" customWidth="1"/>
    <col min="4891" max="4891" width="5.42578125" style="70" bestFit="1" customWidth="1"/>
    <col min="4892" max="4892" width="3.28515625" style="70" customWidth="1"/>
    <col min="4893" max="5120" width="11.42578125" style="70"/>
    <col min="5121" max="5121" width="14.85546875" style="70" bestFit="1" customWidth="1"/>
    <col min="5122" max="5122" width="28.28515625" style="70" customWidth="1"/>
    <col min="5123" max="5123" width="4.42578125" style="70" bestFit="1" customWidth="1"/>
    <col min="5124" max="5124" width="4.28515625" style="70" customWidth="1"/>
    <col min="5125" max="5125" width="11.42578125" style="70" customWidth="1"/>
    <col min="5126" max="5126" width="23.5703125" style="70" bestFit="1" customWidth="1"/>
    <col min="5127" max="5127" width="8" style="70" customWidth="1"/>
    <col min="5128" max="5128" width="7.28515625" style="70" customWidth="1"/>
    <col min="5129" max="5129" width="7.140625" style="70" customWidth="1"/>
    <col min="5130" max="5130" width="5.7109375" style="70" customWidth="1"/>
    <col min="5131" max="5131" width="5.85546875" style="70" customWidth="1"/>
    <col min="5132" max="5132" width="8" style="70" customWidth="1"/>
    <col min="5133" max="5133" width="5.140625" style="70" customWidth="1"/>
    <col min="5134" max="5134" width="9.7109375" style="70" customWidth="1"/>
    <col min="5135" max="5135" width="7.42578125" style="70" customWidth="1"/>
    <col min="5136" max="5136" width="6.85546875" style="70" customWidth="1"/>
    <col min="5137" max="5137" width="6" style="70" customWidth="1"/>
    <col min="5138" max="5139" width="7.42578125" style="70" bestFit="1" customWidth="1"/>
    <col min="5140" max="5140" width="16.28515625" style="70" bestFit="1" customWidth="1"/>
    <col min="5141" max="5141" width="3.140625" style="70" customWidth="1"/>
    <col min="5142" max="5142" width="5.5703125" style="70" bestFit="1" customWidth="1"/>
    <col min="5143" max="5143" width="4.42578125" style="70" bestFit="1" customWidth="1"/>
    <col min="5144" max="5146" width="4.5703125" style="70" bestFit="1" customWidth="1"/>
    <col min="5147" max="5147" width="5.42578125" style="70" bestFit="1" customWidth="1"/>
    <col min="5148" max="5148" width="3.28515625" style="70" customWidth="1"/>
    <col min="5149" max="5376" width="11.42578125" style="70"/>
    <col min="5377" max="5377" width="14.85546875" style="70" bestFit="1" customWidth="1"/>
    <col min="5378" max="5378" width="28.28515625" style="70" customWidth="1"/>
    <col min="5379" max="5379" width="4.42578125" style="70" bestFit="1" customWidth="1"/>
    <col min="5380" max="5380" width="4.28515625" style="70" customWidth="1"/>
    <col min="5381" max="5381" width="11.42578125" style="70" customWidth="1"/>
    <col min="5382" max="5382" width="23.5703125" style="70" bestFit="1" customWidth="1"/>
    <col min="5383" max="5383" width="8" style="70" customWidth="1"/>
    <col min="5384" max="5384" width="7.28515625" style="70" customWidth="1"/>
    <col min="5385" max="5385" width="7.140625" style="70" customWidth="1"/>
    <col min="5386" max="5386" width="5.7109375" style="70" customWidth="1"/>
    <col min="5387" max="5387" width="5.85546875" style="70" customWidth="1"/>
    <col min="5388" max="5388" width="8" style="70" customWidth="1"/>
    <col min="5389" max="5389" width="5.140625" style="70" customWidth="1"/>
    <col min="5390" max="5390" width="9.7109375" style="70" customWidth="1"/>
    <col min="5391" max="5391" width="7.42578125" style="70" customWidth="1"/>
    <col min="5392" max="5392" width="6.85546875" style="70" customWidth="1"/>
    <col min="5393" max="5393" width="6" style="70" customWidth="1"/>
    <col min="5394" max="5395" width="7.42578125" style="70" bestFit="1" customWidth="1"/>
    <col min="5396" max="5396" width="16.28515625" style="70" bestFit="1" customWidth="1"/>
    <col min="5397" max="5397" width="3.140625" style="70" customWidth="1"/>
    <col min="5398" max="5398" width="5.5703125" style="70" bestFit="1" customWidth="1"/>
    <col min="5399" max="5399" width="4.42578125" style="70" bestFit="1" customWidth="1"/>
    <col min="5400" max="5402" width="4.5703125" style="70" bestFit="1" customWidth="1"/>
    <col min="5403" max="5403" width="5.42578125" style="70" bestFit="1" customWidth="1"/>
    <col min="5404" max="5404" width="3.28515625" style="70" customWidth="1"/>
    <col min="5405" max="5632" width="11.42578125" style="70"/>
    <col min="5633" max="5633" width="14.85546875" style="70" bestFit="1" customWidth="1"/>
    <col min="5634" max="5634" width="28.28515625" style="70" customWidth="1"/>
    <col min="5635" max="5635" width="4.42578125" style="70" bestFit="1" customWidth="1"/>
    <col min="5636" max="5636" width="4.28515625" style="70" customWidth="1"/>
    <col min="5637" max="5637" width="11.42578125" style="70" customWidth="1"/>
    <col min="5638" max="5638" width="23.5703125" style="70" bestFit="1" customWidth="1"/>
    <col min="5639" max="5639" width="8" style="70" customWidth="1"/>
    <col min="5640" max="5640" width="7.28515625" style="70" customWidth="1"/>
    <col min="5641" max="5641" width="7.140625" style="70" customWidth="1"/>
    <col min="5642" max="5642" width="5.7109375" style="70" customWidth="1"/>
    <col min="5643" max="5643" width="5.85546875" style="70" customWidth="1"/>
    <col min="5644" max="5644" width="8" style="70" customWidth="1"/>
    <col min="5645" max="5645" width="5.140625" style="70" customWidth="1"/>
    <col min="5646" max="5646" width="9.7109375" style="70" customWidth="1"/>
    <col min="5647" max="5647" width="7.42578125" style="70" customWidth="1"/>
    <col min="5648" max="5648" width="6.85546875" style="70" customWidth="1"/>
    <col min="5649" max="5649" width="6" style="70" customWidth="1"/>
    <col min="5650" max="5651" width="7.42578125" style="70" bestFit="1" customWidth="1"/>
    <col min="5652" max="5652" width="16.28515625" style="70" bestFit="1" customWidth="1"/>
    <col min="5653" max="5653" width="3.140625" style="70" customWidth="1"/>
    <col min="5654" max="5654" width="5.5703125" style="70" bestFit="1" customWidth="1"/>
    <col min="5655" max="5655" width="4.42578125" style="70" bestFit="1" customWidth="1"/>
    <col min="5656" max="5658" width="4.5703125" style="70" bestFit="1" customWidth="1"/>
    <col min="5659" max="5659" width="5.42578125" style="70" bestFit="1" customWidth="1"/>
    <col min="5660" max="5660" width="3.28515625" style="70" customWidth="1"/>
    <col min="5661" max="5888" width="11.42578125" style="70"/>
    <col min="5889" max="5889" width="14.85546875" style="70" bestFit="1" customWidth="1"/>
    <col min="5890" max="5890" width="28.28515625" style="70" customWidth="1"/>
    <col min="5891" max="5891" width="4.42578125" style="70" bestFit="1" customWidth="1"/>
    <col min="5892" max="5892" width="4.28515625" style="70" customWidth="1"/>
    <col min="5893" max="5893" width="11.42578125" style="70" customWidth="1"/>
    <col min="5894" max="5894" width="23.5703125" style="70" bestFit="1" customWidth="1"/>
    <col min="5895" max="5895" width="8" style="70" customWidth="1"/>
    <col min="5896" max="5896" width="7.28515625" style="70" customWidth="1"/>
    <col min="5897" max="5897" width="7.140625" style="70" customWidth="1"/>
    <col min="5898" max="5898" width="5.7109375" style="70" customWidth="1"/>
    <col min="5899" max="5899" width="5.85546875" style="70" customWidth="1"/>
    <col min="5900" max="5900" width="8" style="70" customWidth="1"/>
    <col min="5901" max="5901" width="5.140625" style="70" customWidth="1"/>
    <col min="5902" max="5902" width="9.7109375" style="70" customWidth="1"/>
    <col min="5903" max="5903" width="7.42578125" style="70" customWidth="1"/>
    <col min="5904" max="5904" width="6.85546875" style="70" customWidth="1"/>
    <col min="5905" max="5905" width="6" style="70" customWidth="1"/>
    <col min="5906" max="5907" width="7.42578125" style="70" bestFit="1" customWidth="1"/>
    <col min="5908" max="5908" width="16.28515625" style="70" bestFit="1" customWidth="1"/>
    <col min="5909" max="5909" width="3.140625" style="70" customWidth="1"/>
    <col min="5910" max="5910" width="5.5703125" style="70" bestFit="1" customWidth="1"/>
    <col min="5911" max="5911" width="4.42578125" style="70" bestFit="1" customWidth="1"/>
    <col min="5912" max="5914" width="4.5703125" style="70" bestFit="1" customWidth="1"/>
    <col min="5915" max="5915" width="5.42578125" style="70" bestFit="1" customWidth="1"/>
    <col min="5916" max="5916" width="3.28515625" style="70" customWidth="1"/>
    <col min="5917" max="6144" width="11.42578125" style="70"/>
    <col min="6145" max="6145" width="14.85546875" style="70" bestFit="1" customWidth="1"/>
    <col min="6146" max="6146" width="28.28515625" style="70" customWidth="1"/>
    <col min="6147" max="6147" width="4.42578125" style="70" bestFit="1" customWidth="1"/>
    <col min="6148" max="6148" width="4.28515625" style="70" customWidth="1"/>
    <col min="6149" max="6149" width="11.42578125" style="70" customWidth="1"/>
    <col min="6150" max="6150" width="23.5703125" style="70" bestFit="1" customWidth="1"/>
    <col min="6151" max="6151" width="8" style="70" customWidth="1"/>
    <col min="6152" max="6152" width="7.28515625" style="70" customWidth="1"/>
    <col min="6153" max="6153" width="7.140625" style="70" customWidth="1"/>
    <col min="6154" max="6154" width="5.7109375" style="70" customWidth="1"/>
    <col min="6155" max="6155" width="5.85546875" style="70" customWidth="1"/>
    <col min="6156" max="6156" width="8" style="70" customWidth="1"/>
    <col min="6157" max="6157" width="5.140625" style="70" customWidth="1"/>
    <col min="6158" max="6158" width="9.7109375" style="70" customWidth="1"/>
    <col min="6159" max="6159" width="7.42578125" style="70" customWidth="1"/>
    <col min="6160" max="6160" width="6.85546875" style="70" customWidth="1"/>
    <col min="6161" max="6161" width="6" style="70" customWidth="1"/>
    <col min="6162" max="6163" width="7.42578125" style="70" bestFit="1" customWidth="1"/>
    <col min="6164" max="6164" width="16.28515625" style="70" bestFit="1" customWidth="1"/>
    <col min="6165" max="6165" width="3.140625" style="70" customWidth="1"/>
    <col min="6166" max="6166" width="5.5703125" style="70" bestFit="1" customWidth="1"/>
    <col min="6167" max="6167" width="4.42578125" style="70" bestFit="1" customWidth="1"/>
    <col min="6168" max="6170" width="4.5703125" style="70" bestFit="1" customWidth="1"/>
    <col min="6171" max="6171" width="5.42578125" style="70" bestFit="1" customWidth="1"/>
    <col min="6172" max="6172" width="3.28515625" style="70" customWidth="1"/>
    <col min="6173" max="6400" width="11.42578125" style="70"/>
    <col min="6401" max="6401" width="14.85546875" style="70" bestFit="1" customWidth="1"/>
    <col min="6402" max="6402" width="28.28515625" style="70" customWidth="1"/>
    <col min="6403" max="6403" width="4.42578125" style="70" bestFit="1" customWidth="1"/>
    <col min="6404" max="6404" width="4.28515625" style="70" customWidth="1"/>
    <col min="6405" max="6405" width="11.42578125" style="70" customWidth="1"/>
    <col min="6406" max="6406" width="23.5703125" style="70" bestFit="1" customWidth="1"/>
    <col min="6407" max="6407" width="8" style="70" customWidth="1"/>
    <col min="6408" max="6408" width="7.28515625" style="70" customWidth="1"/>
    <col min="6409" max="6409" width="7.140625" style="70" customWidth="1"/>
    <col min="6410" max="6410" width="5.7109375" style="70" customWidth="1"/>
    <col min="6411" max="6411" width="5.85546875" style="70" customWidth="1"/>
    <col min="6412" max="6412" width="8" style="70" customWidth="1"/>
    <col min="6413" max="6413" width="5.140625" style="70" customWidth="1"/>
    <col min="6414" max="6414" width="9.7109375" style="70" customWidth="1"/>
    <col min="6415" max="6415" width="7.42578125" style="70" customWidth="1"/>
    <col min="6416" max="6416" width="6.85546875" style="70" customWidth="1"/>
    <col min="6417" max="6417" width="6" style="70" customWidth="1"/>
    <col min="6418" max="6419" width="7.42578125" style="70" bestFit="1" customWidth="1"/>
    <col min="6420" max="6420" width="16.28515625" style="70" bestFit="1" customWidth="1"/>
    <col min="6421" max="6421" width="3.140625" style="70" customWidth="1"/>
    <col min="6422" max="6422" width="5.5703125" style="70" bestFit="1" customWidth="1"/>
    <col min="6423" max="6423" width="4.42578125" style="70" bestFit="1" customWidth="1"/>
    <col min="6424" max="6426" width="4.5703125" style="70" bestFit="1" customWidth="1"/>
    <col min="6427" max="6427" width="5.42578125" style="70" bestFit="1" customWidth="1"/>
    <col min="6428" max="6428" width="3.28515625" style="70" customWidth="1"/>
    <col min="6429" max="6656" width="11.42578125" style="70"/>
    <col min="6657" max="6657" width="14.85546875" style="70" bestFit="1" customWidth="1"/>
    <col min="6658" max="6658" width="28.28515625" style="70" customWidth="1"/>
    <col min="6659" max="6659" width="4.42578125" style="70" bestFit="1" customWidth="1"/>
    <col min="6660" max="6660" width="4.28515625" style="70" customWidth="1"/>
    <col min="6661" max="6661" width="11.42578125" style="70" customWidth="1"/>
    <col min="6662" max="6662" width="23.5703125" style="70" bestFit="1" customWidth="1"/>
    <col min="6663" max="6663" width="8" style="70" customWidth="1"/>
    <col min="6664" max="6664" width="7.28515625" style="70" customWidth="1"/>
    <col min="6665" max="6665" width="7.140625" style="70" customWidth="1"/>
    <col min="6666" max="6666" width="5.7109375" style="70" customWidth="1"/>
    <col min="6667" max="6667" width="5.85546875" style="70" customWidth="1"/>
    <col min="6668" max="6668" width="8" style="70" customWidth="1"/>
    <col min="6669" max="6669" width="5.140625" style="70" customWidth="1"/>
    <col min="6670" max="6670" width="9.7109375" style="70" customWidth="1"/>
    <col min="6671" max="6671" width="7.42578125" style="70" customWidth="1"/>
    <col min="6672" max="6672" width="6.85546875" style="70" customWidth="1"/>
    <col min="6673" max="6673" width="6" style="70" customWidth="1"/>
    <col min="6674" max="6675" width="7.42578125" style="70" bestFit="1" customWidth="1"/>
    <col min="6676" max="6676" width="16.28515625" style="70" bestFit="1" customWidth="1"/>
    <col min="6677" max="6677" width="3.140625" style="70" customWidth="1"/>
    <col min="6678" max="6678" width="5.5703125" style="70" bestFit="1" customWidth="1"/>
    <col min="6679" max="6679" width="4.42578125" style="70" bestFit="1" customWidth="1"/>
    <col min="6680" max="6682" width="4.5703125" style="70" bestFit="1" customWidth="1"/>
    <col min="6683" max="6683" width="5.42578125" style="70" bestFit="1" customWidth="1"/>
    <col min="6684" max="6684" width="3.28515625" style="70" customWidth="1"/>
    <col min="6685" max="6912" width="11.42578125" style="70"/>
    <col min="6913" max="6913" width="14.85546875" style="70" bestFit="1" customWidth="1"/>
    <col min="6914" max="6914" width="28.28515625" style="70" customWidth="1"/>
    <col min="6915" max="6915" width="4.42578125" style="70" bestFit="1" customWidth="1"/>
    <col min="6916" max="6916" width="4.28515625" style="70" customWidth="1"/>
    <col min="6917" max="6917" width="11.42578125" style="70" customWidth="1"/>
    <col min="6918" max="6918" width="23.5703125" style="70" bestFit="1" customWidth="1"/>
    <col min="6919" max="6919" width="8" style="70" customWidth="1"/>
    <col min="6920" max="6920" width="7.28515625" style="70" customWidth="1"/>
    <col min="6921" max="6921" width="7.140625" style="70" customWidth="1"/>
    <col min="6922" max="6922" width="5.7109375" style="70" customWidth="1"/>
    <col min="6923" max="6923" width="5.85546875" style="70" customWidth="1"/>
    <col min="6924" max="6924" width="8" style="70" customWidth="1"/>
    <col min="6925" max="6925" width="5.140625" style="70" customWidth="1"/>
    <col min="6926" max="6926" width="9.7109375" style="70" customWidth="1"/>
    <col min="6927" max="6927" width="7.42578125" style="70" customWidth="1"/>
    <col min="6928" max="6928" width="6.85546875" style="70" customWidth="1"/>
    <col min="6929" max="6929" width="6" style="70" customWidth="1"/>
    <col min="6930" max="6931" width="7.42578125" style="70" bestFit="1" customWidth="1"/>
    <col min="6932" max="6932" width="16.28515625" style="70" bestFit="1" customWidth="1"/>
    <col min="6933" max="6933" width="3.140625" style="70" customWidth="1"/>
    <col min="6934" max="6934" width="5.5703125" style="70" bestFit="1" customWidth="1"/>
    <col min="6935" max="6935" width="4.42578125" style="70" bestFit="1" customWidth="1"/>
    <col min="6936" max="6938" width="4.5703125" style="70" bestFit="1" customWidth="1"/>
    <col min="6939" max="6939" width="5.42578125" style="70" bestFit="1" customWidth="1"/>
    <col min="6940" max="6940" width="3.28515625" style="70" customWidth="1"/>
    <col min="6941" max="7168" width="11.42578125" style="70"/>
    <col min="7169" max="7169" width="14.85546875" style="70" bestFit="1" customWidth="1"/>
    <col min="7170" max="7170" width="28.28515625" style="70" customWidth="1"/>
    <col min="7171" max="7171" width="4.42578125" style="70" bestFit="1" customWidth="1"/>
    <col min="7172" max="7172" width="4.28515625" style="70" customWidth="1"/>
    <col min="7173" max="7173" width="11.42578125" style="70" customWidth="1"/>
    <col min="7174" max="7174" width="23.5703125" style="70" bestFit="1" customWidth="1"/>
    <col min="7175" max="7175" width="8" style="70" customWidth="1"/>
    <col min="7176" max="7176" width="7.28515625" style="70" customWidth="1"/>
    <col min="7177" max="7177" width="7.140625" style="70" customWidth="1"/>
    <col min="7178" max="7178" width="5.7109375" style="70" customWidth="1"/>
    <col min="7179" max="7179" width="5.85546875" style="70" customWidth="1"/>
    <col min="7180" max="7180" width="8" style="70" customWidth="1"/>
    <col min="7181" max="7181" width="5.140625" style="70" customWidth="1"/>
    <col min="7182" max="7182" width="9.7109375" style="70" customWidth="1"/>
    <col min="7183" max="7183" width="7.42578125" style="70" customWidth="1"/>
    <col min="7184" max="7184" width="6.85546875" style="70" customWidth="1"/>
    <col min="7185" max="7185" width="6" style="70" customWidth="1"/>
    <col min="7186" max="7187" width="7.42578125" style="70" bestFit="1" customWidth="1"/>
    <col min="7188" max="7188" width="16.28515625" style="70" bestFit="1" customWidth="1"/>
    <col min="7189" max="7189" width="3.140625" style="70" customWidth="1"/>
    <col min="7190" max="7190" width="5.5703125" style="70" bestFit="1" customWidth="1"/>
    <col min="7191" max="7191" width="4.42578125" style="70" bestFit="1" customWidth="1"/>
    <col min="7192" max="7194" width="4.5703125" style="70" bestFit="1" customWidth="1"/>
    <col min="7195" max="7195" width="5.42578125" style="70" bestFit="1" customWidth="1"/>
    <col min="7196" max="7196" width="3.28515625" style="70" customWidth="1"/>
    <col min="7197" max="7424" width="11.42578125" style="70"/>
    <col min="7425" max="7425" width="14.85546875" style="70" bestFit="1" customWidth="1"/>
    <col min="7426" max="7426" width="28.28515625" style="70" customWidth="1"/>
    <col min="7427" max="7427" width="4.42578125" style="70" bestFit="1" customWidth="1"/>
    <col min="7428" max="7428" width="4.28515625" style="70" customWidth="1"/>
    <col min="7429" max="7429" width="11.42578125" style="70" customWidth="1"/>
    <col min="7430" max="7430" width="23.5703125" style="70" bestFit="1" customWidth="1"/>
    <col min="7431" max="7431" width="8" style="70" customWidth="1"/>
    <col min="7432" max="7432" width="7.28515625" style="70" customWidth="1"/>
    <col min="7433" max="7433" width="7.140625" style="70" customWidth="1"/>
    <col min="7434" max="7434" width="5.7109375" style="70" customWidth="1"/>
    <col min="7435" max="7435" width="5.85546875" style="70" customWidth="1"/>
    <col min="7436" max="7436" width="8" style="70" customWidth="1"/>
    <col min="7437" max="7437" width="5.140625" style="70" customWidth="1"/>
    <col min="7438" max="7438" width="9.7109375" style="70" customWidth="1"/>
    <col min="7439" max="7439" width="7.42578125" style="70" customWidth="1"/>
    <col min="7440" max="7440" width="6.85546875" style="70" customWidth="1"/>
    <col min="7441" max="7441" width="6" style="70" customWidth="1"/>
    <col min="7442" max="7443" width="7.42578125" style="70" bestFit="1" customWidth="1"/>
    <col min="7444" max="7444" width="16.28515625" style="70" bestFit="1" customWidth="1"/>
    <col min="7445" max="7445" width="3.140625" style="70" customWidth="1"/>
    <col min="7446" max="7446" width="5.5703125" style="70" bestFit="1" customWidth="1"/>
    <col min="7447" max="7447" width="4.42578125" style="70" bestFit="1" customWidth="1"/>
    <col min="7448" max="7450" width="4.5703125" style="70" bestFit="1" customWidth="1"/>
    <col min="7451" max="7451" width="5.42578125" style="70" bestFit="1" customWidth="1"/>
    <col min="7452" max="7452" width="3.28515625" style="70" customWidth="1"/>
    <col min="7453" max="7680" width="11.42578125" style="70"/>
    <col min="7681" max="7681" width="14.85546875" style="70" bestFit="1" customWidth="1"/>
    <col min="7682" max="7682" width="28.28515625" style="70" customWidth="1"/>
    <col min="7683" max="7683" width="4.42578125" style="70" bestFit="1" customWidth="1"/>
    <col min="7684" max="7684" width="4.28515625" style="70" customWidth="1"/>
    <col min="7685" max="7685" width="11.42578125" style="70" customWidth="1"/>
    <col min="7686" max="7686" width="23.5703125" style="70" bestFit="1" customWidth="1"/>
    <col min="7687" max="7687" width="8" style="70" customWidth="1"/>
    <col min="7688" max="7688" width="7.28515625" style="70" customWidth="1"/>
    <col min="7689" max="7689" width="7.140625" style="70" customWidth="1"/>
    <col min="7690" max="7690" width="5.7109375" style="70" customWidth="1"/>
    <col min="7691" max="7691" width="5.85546875" style="70" customWidth="1"/>
    <col min="7692" max="7692" width="8" style="70" customWidth="1"/>
    <col min="7693" max="7693" width="5.140625" style="70" customWidth="1"/>
    <col min="7694" max="7694" width="9.7109375" style="70" customWidth="1"/>
    <col min="7695" max="7695" width="7.42578125" style="70" customWidth="1"/>
    <col min="7696" max="7696" width="6.85546875" style="70" customWidth="1"/>
    <col min="7697" max="7697" width="6" style="70" customWidth="1"/>
    <col min="7698" max="7699" width="7.42578125" style="70" bestFit="1" customWidth="1"/>
    <col min="7700" max="7700" width="16.28515625" style="70" bestFit="1" customWidth="1"/>
    <col min="7701" max="7701" width="3.140625" style="70" customWidth="1"/>
    <col min="7702" max="7702" width="5.5703125" style="70" bestFit="1" customWidth="1"/>
    <col min="7703" max="7703" width="4.42578125" style="70" bestFit="1" customWidth="1"/>
    <col min="7704" max="7706" width="4.5703125" style="70" bestFit="1" customWidth="1"/>
    <col min="7707" max="7707" width="5.42578125" style="70" bestFit="1" customWidth="1"/>
    <col min="7708" max="7708" width="3.28515625" style="70" customWidth="1"/>
    <col min="7709" max="7936" width="11.42578125" style="70"/>
    <col min="7937" max="7937" width="14.85546875" style="70" bestFit="1" customWidth="1"/>
    <col min="7938" max="7938" width="28.28515625" style="70" customWidth="1"/>
    <col min="7939" max="7939" width="4.42578125" style="70" bestFit="1" customWidth="1"/>
    <col min="7940" max="7940" width="4.28515625" style="70" customWidth="1"/>
    <col min="7941" max="7941" width="11.42578125" style="70" customWidth="1"/>
    <col min="7942" max="7942" width="23.5703125" style="70" bestFit="1" customWidth="1"/>
    <col min="7943" max="7943" width="8" style="70" customWidth="1"/>
    <col min="7944" max="7944" width="7.28515625" style="70" customWidth="1"/>
    <col min="7945" max="7945" width="7.140625" style="70" customWidth="1"/>
    <col min="7946" max="7946" width="5.7109375" style="70" customWidth="1"/>
    <col min="7947" max="7947" width="5.85546875" style="70" customWidth="1"/>
    <col min="7948" max="7948" width="8" style="70" customWidth="1"/>
    <col min="7949" max="7949" width="5.140625" style="70" customWidth="1"/>
    <col min="7950" max="7950" width="9.7109375" style="70" customWidth="1"/>
    <col min="7951" max="7951" width="7.42578125" style="70" customWidth="1"/>
    <col min="7952" max="7952" width="6.85546875" style="70" customWidth="1"/>
    <col min="7953" max="7953" width="6" style="70" customWidth="1"/>
    <col min="7954" max="7955" width="7.42578125" style="70" bestFit="1" customWidth="1"/>
    <col min="7956" max="7956" width="16.28515625" style="70" bestFit="1" customWidth="1"/>
    <col min="7957" max="7957" width="3.140625" style="70" customWidth="1"/>
    <col min="7958" max="7958" width="5.5703125" style="70" bestFit="1" customWidth="1"/>
    <col min="7959" max="7959" width="4.42578125" style="70" bestFit="1" customWidth="1"/>
    <col min="7960" max="7962" width="4.5703125" style="70" bestFit="1" customWidth="1"/>
    <col min="7963" max="7963" width="5.42578125" style="70" bestFit="1" customWidth="1"/>
    <col min="7964" max="7964" width="3.28515625" style="70" customWidth="1"/>
    <col min="7965" max="8192" width="11.42578125" style="70"/>
    <col min="8193" max="8193" width="14.85546875" style="70" bestFit="1" customWidth="1"/>
    <col min="8194" max="8194" width="28.28515625" style="70" customWidth="1"/>
    <col min="8195" max="8195" width="4.42578125" style="70" bestFit="1" customWidth="1"/>
    <col min="8196" max="8196" width="4.28515625" style="70" customWidth="1"/>
    <col min="8197" max="8197" width="11.42578125" style="70" customWidth="1"/>
    <col min="8198" max="8198" width="23.5703125" style="70" bestFit="1" customWidth="1"/>
    <col min="8199" max="8199" width="8" style="70" customWidth="1"/>
    <col min="8200" max="8200" width="7.28515625" style="70" customWidth="1"/>
    <col min="8201" max="8201" width="7.140625" style="70" customWidth="1"/>
    <col min="8202" max="8202" width="5.7109375" style="70" customWidth="1"/>
    <col min="8203" max="8203" width="5.85546875" style="70" customWidth="1"/>
    <col min="8204" max="8204" width="8" style="70" customWidth="1"/>
    <col min="8205" max="8205" width="5.140625" style="70" customWidth="1"/>
    <col min="8206" max="8206" width="9.7109375" style="70" customWidth="1"/>
    <col min="8207" max="8207" width="7.42578125" style="70" customWidth="1"/>
    <col min="8208" max="8208" width="6.85546875" style="70" customWidth="1"/>
    <col min="8209" max="8209" width="6" style="70" customWidth="1"/>
    <col min="8210" max="8211" width="7.42578125" style="70" bestFit="1" customWidth="1"/>
    <col min="8212" max="8212" width="16.28515625" style="70" bestFit="1" customWidth="1"/>
    <col min="8213" max="8213" width="3.140625" style="70" customWidth="1"/>
    <col min="8214" max="8214" width="5.5703125" style="70" bestFit="1" customWidth="1"/>
    <col min="8215" max="8215" width="4.42578125" style="70" bestFit="1" customWidth="1"/>
    <col min="8216" max="8218" width="4.5703125" style="70" bestFit="1" customWidth="1"/>
    <col min="8219" max="8219" width="5.42578125" style="70" bestFit="1" customWidth="1"/>
    <col min="8220" max="8220" width="3.28515625" style="70" customWidth="1"/>
    <col min="8221" max="8448" width="11.42578125" style="70"/>
    <col min="8449" max="8449" width="14.85546875" style="70" bestFit="1" customWidth="1"/>
    <col min="8450" max="8450" width="28.28515625" style="70" customWidth="1"/>
    <col min="8451" max="8451" width="4.42578125" style="70" bestFit="1" customWidth="1"/>
    <col min="8452" max="8452" width="4.28515625" style="70" customWidth="1"/>
    <col min="8453" max="8453" width="11.42578125" style="70" customWidth="1"/>
    <col min="8454" max="8454" width="23.5703125" style="70" bestFit="1" customWidth="1"/>
    <col min="8455" max="8455" width="8" style="70" customWidth="1"/>
    <col min="8456" max="8456" width="7.28515625" style="70" customWidth="1"/>
    <col min="8457" max="8457" width="7.140625" style="70" customWidth="1"/>
    <col min="8458" max="8458" width="5.7109375" style="70" customWidth="1"/>
    <col min="8459" max="8459" width="5.85546875" style="70" customWidth="1"/>
    <col min="8460" max="8460" width="8" style="70" customWidth="1"/>
    <col min="8461" max="8461" width="5.140625" style="70" customWidth="1"/>
    <col min="8462" max="8462" width="9.7109375" style="70" customWidth="1"/>
    <col min="8463" max="8463" width="7.42578125" style="70" customWidth="1"/>
    <col min="8464" max="8464" width="6.85546875" style="70" customWidth="1"/>
    <col min="8465" max="8465" width="6" style="70" customWidth="1"/>
    <col min="8466" max="8467" width="7.42578125" style="70" bestFit="1" customWidth="1"/>
    <col min="8468" max="8468" width="16.28515625" style="70" bestFit="1" customWidth="1"/>
    <col min="8469" max="8469" width="3.140625" style="70" customWidth="1"/>
    <col min="8470" max="8470" width="5.5703125" style="70" bestFit="1" customWidth="1"/>
    <col min="8471" max="8471" width="4.42578125" style="70" bestFit="1" customWidth="1"/>
    <col min="8472" max="8474" width="4.5703125" style="70" bestFit="1" customWidth="1"/>
    <col min="8475" max="8475" width="5.42578125" style="70" bestFit="1" customWidth="1"/>
    <col min="8476" max="8476" width="3.28515625" style="70" customWidth="1"/>
    <col min="8477" max="8704" width="11.42578125" style="70"/>
    <col min="8705" max="8705" width="14.85546875" style="70" bestFit="1" customWidth="1"/>
    <col min="8706" max="8706" width="28.28515625" style="70" customWidth="1"/>
    <col min="8707" max="8707" width="4.42578125" style="70" bestFit="1" customWidth="1"/>
    <col min="8708" max="8708" width="4.28515625" style="70" customWidth="1"/>
    <col min="8709" max="8709" width="11.42578125" style="70" customWidth="1"/>
    <col min="8710" max="8710" width="23.5703125" style="70" bestFit="1" customWidth="1"/>
    <col min="8711" max="8711" width="8" style="70" customWidth="1"/>
    <col min="8712" max="8712" width="7.28515625" style="70" customWidth="1"/>
    <col min="8713" max="8713" width="7.140625" style="70" customWidth="1"/>
    <col min="8714" max="8714" width="5.7109375" style="70" customWidth="1"/>
    <col min="8715" max="8715" width="5.85546875" style="70" customWidth="1"/>
    <col min="8716" max="8716" width="8" style="70" customWidth="1"/>
    <col min="8717" max="8717" width="5.140625" style="70" customWidth="1"/>
    <col min="8718" max="8718" width="9.7109375" style="70" customWidth="1"/>
    <col min="8719" max="8719" width="7.42578125" style="70" customWidth="1"/>
    <col min="8720" max="8720" width="6.85546875" style="70" customWidth="1"/>
    <col min="8721" max="8721" width="6" style="70" customWidth="1"/>
    <col min="8722" max="8723" width="7.42578125" style="70" bestFit="1" customWidth="1"/>
    <col min="8724" max="8724" width="16.28515625" style="70" bestFit="1" customWidth="1"/>
    <col min="8725" max="8725" width="3.140625" style="70" customWidth="1"/>
    <col min="8726" max="8726" width="5.5703125" style="70" bestFit="1" customWidth="1"/>
    <col min="8727" max="8727" width="4.42578125" style="70" bestFit="1" customWidth="1"/>
    <col min="8728" max="8730" width="4.5703125" style="70" bestFit="1" customWidth="1"/>
    <col min="8731" max="8731" width="5.42578125" style="70" bestFit="1" customWidth="1"/>
    <col min="8732" max="8732" width="3.28515625" style="70" customWidth="1"/>
    <col min="8733" max="8960" width="11.42578125" style="70"/>
    <col min="8961" max="8961" width="14.85546875" style="70" bestFit="1" customWidth="1"/>
    <col min="8962" max="8962" width="28.28515625" style="70" customWidth="1"/>
    <col min="8963" max="8963" width="4.42578125" style="70" bestFit="1" customWidth="1"/>
    <col min="8964" max="8964" width="4.28515625" style="70" customWidth="1"/>
    <col min="8965" max="8965" width="11.42578125" style="70" customWidth="1"/>
    <col min="8966" max="8966" width="23.5703125" style="70" bestFit="1" customWidth="1"/>
    <col min="8967" max="8967" width="8" style="70" customWidth="1"/>
    <col min="8968" max="8968" width="7.28515625" style="70" customWidth="1"/>
    <col min="8969" max="8969" width="7.140625" style="70" customWidth="1"/>
    <col min="8970" max="8970" width="5.7109375" style="70" customWidth="1"/>
    <col min="8971" max="8971" width="5.85546875" style="70" customWidth="1"/>
    <col min="8972" max="8972" width="8" style="70" customWidth="1"/>
    <col min="8973" max="8973" width="5.140625" style="70" customWidth="1"/>
    <col min="8974" max="8974" width="9.7109375" style="70" customWidth="1"/>
    <col min="8975" max="8975" width="7.42578125" style="70" customWidth="1"/>
    <col min="8976" max="8976" width="6.85546875" style="70" customWidth="1"/>
    <col min="8977" max="8977" width="6" style="70" customWidth="1"/>
    <col min="8978" max="8979" width="7.42578125" style="70" bestFit="1" customWidth="1"/>
    <col min="8980" max="8980" width="16.28515625" style="70" bestFit="1" customWidth="1"/>
    <col min="8981" max="8981" width="3.140625" style="70" customWidth="1"/>
    <col min="8982" max="8982" width="5.5703125" style="70" bestFit="1" customWidth="1"/>
    <col min="8983" max="8983" width="4.42578125" style="70" bestFit="1" customWidth="1"/>
    <col min="8984" max="8986" width="4.5703125" style="70" bestFit="1" customWidth="1"/>
    <col min="8987" max="8987" width="5.42578125" style="70" bestFit="1" customWidth="1"/>
    <col min="8988" max="8988" width="3.28515625" style="70" customWidth="1"/>
    <col min="8989" max="9216" width="11.42578125" style="70"/>
    <col min="9217" max="9217" width="14.85546875" style="70" bestFit="1" customWidth="1"/>
    <col min="9218" max="9218" width="28.28515625" style="70" customWidth="1"/>
    <col min="9219" max="9219" width="4.42578125" style="70" bestFit="1" customWidth="1"/>
    <col min="9220" max="9220" width="4.28515625" style="70" customWidth="1"/>
    <col min="9221" max="9221" width="11.42578125" style="70" customWidth="1"/>
    <col min="9222" max="9222" width="23.5703125" style="70" bestFit="1" customWidth="1"/>
    <col min="9223" max="9223" width="8" style="70" customWidth="1"/>
    <col min="9224" max="9224" width="7.28515625" style="70" customWidth="1"/>
    <col min="9225" max="9225" width="7.140625" style="70" customWidth="1"/>
    <col min="9226" max="9226" width="5.7109375" style="70" customWidth="1"/>
    <col min="9227" max="9227" width="5.85546875" style="70" customWidth="1"/>
    <col min="9228" max="9228" width="8" style="70" customWidth="1"/>
    <col min="9229" max="9229" width="5.140625" style="70" customWidth="1"/>
    <col min="9230" max="9230" width="9.7109375" style="70" customWidth="1"/>
    <col min="9231" max="9231" width="7.42578125" style="70" customWidth="1"/>
    <col min="9232" max="9232" width="6.85546875" style="70" customWidth="1"/>
    <col min="9233" max="9233" width="6" style="70" customWidth="1"/>
    <col min="9234" max="9235" width="7.42578125" style="70" bestFit="1" customWidth="1"/>
    <col min="9236" max="9236" width="16.28515625" style="70" bestFit="1" customWidth="1"/>
    <col min="9237" max="9237" width="3.140625" style="70" customWidth="1"/>
    <col min="9238" max="9238" width="5.5703125" style="70" bestFit="1" customWidth="1"/>
    <col min="9239" max="9239" width="4.42578125" style="70" bestFit="1" customWidth="1"/>
    <col min="9240" max="9242" width="4.5703125" style="70" bestFit="1" customWidth="1"/>
    <col min="9243" max="9243" width="5.42578125" style="70" bestFit="1" customWidth="1"/>
    <col min="9244" max="9244" width="3.28515625" style="70" customWidth="1"/>
    <col min="9245" max="9472" width="11.42578125" style="70"/>
    <col min="9473" max="9473" width="14.85546875" style="70" bestFit="1" customWidth="1"/>
    <col min="9474" max="9474" width="28.28515625" style="70" customWidth="1"/>
    <col min="9475" max="9475" width="4.42578125" style="70" bestFit="1" customWidth="1"/>
    <col min="9476" max="9476" width="4.28515625" style="70" customWidth="1"/>
    <col min="9477" max="9477" width="11.42578125" style="70" customWidth="1"/>
    <col min="9478" max="9478" width="23.5703125" style="70" bestFit="1" customWidth="1"/>
    <col min="9479" max="9479" width="8" style="70" customWidth="1"/>
    <col min="9480" max="9480" width="7.28515625" style="70" customWidth="1"/>
    <col min="9481" max="9481" width="7.140625" style="70" customWidth="1"/>
    <col min="9482" max="9482" width="5.7109375" style="70" customWidth="1"/>
    <col min="9483" max="9483" width="5.85546875" style="70" customWidth="1"/>
    <col min="9484" max="9484" width="8" style="70" customWidth="1"/>
    <col min="9485" max="9485" width="5.140625" style="70" customWidth="1"/>
    <col min="9486" max="9486" width="9.7109375" style="70" customWidth="1"/>
    <col min="9487" max="9487" width="7.42578125" style="70" customWidth="1"/>
    <col min="9488" max="9488" width="6.85546875" style="70" customWidth="1"/>
    <col min="9489" max="9489" width="6" style="70" customWidth="1"/>
    <col min="9490" max="9491" width="7.42578125" style="70" bestFit="1" customWidth="1"/>
    <col min="9492" max="9492" width="16.28515625" style="70" bestFit="1" customWidth="1"/>
    <col min="9493" max="9493" width="3.140625" style="70" customWidth="1"/>
    <col min="9494" max="9494" width="5.5703125" style="70" bestFit="1" customWidth="1"/>
    <col min="9495" max="9495" width="4.42578125" style="70" bestFit="1" customWidth="1"/>
    <col min="9496" max="9498" width="4.5703125" style="70" bestFit="1" customWidth="1"/>
    <col min="9499" max="9499" width="5.42578125" style="70" bestFit="1" customWidth="1"/>
    <col min="9500" max="9500" width="3.28515625" style="70" customWidth="1"/>
    <col min="9501" max="9728" width="11.42578125" style="70"/>
    <col min="9729" max="9729" width="14.85546875" style="70" bestFit="1" customWidth="1"/>
    <col min="9730" max="9730" width="28.28515625" style="70" customWidth="1"/>
    <col min="9731" max="9731" width="4.42578125" style="70" bestFit="1" customWidth="1"/>
    <col min="9732" max="9732" width="4.28515625" style="70" customWidth="1"/>
    <col min="9733" max="9733" width="11.42578125" style="70" customWidth="1"/>
    <col min="9734" max="9734" width="23.5703125" style="70" bestFit="1" customWidth="1"/>
    <col min="9735" max="9735" width="8" style="70" customWidth="1"/>
    <col min="9736" max="9736" width="7.28515625" style="70" customWidth="1"/>
    <col min="9737" max="9737" width="7.140625" style="70" customWidth="1"/>
    <col min="9738" max="9738" width="5.7109375" style="70" customWidth="1"/>
    <col min="9739" max="9739" width="5.85546875" style="70" customWidth="1"/>
    <col min="9740" max="9740" width="8" style="70" customWidth="1"/>
    <col min="9741" max="9741" width="5.140625" style="70" customWidth="1"/>
    <col min="9742" max="9742" width="9.7109375" style="70" customWidth="1"/>
    <col min="9743" max="9743" width="7.42578125" style="70" customWidth="1"/>
    <col min="9744" max="9744" width="6.85546875" style="70" customWidth="1"/>
    <col min="9745" max="9745" width="6" style="70" customWidth="1"/>
    <col min="9746" max="9747" width="7.42578125" style="70" bestFit="1" customWidth="1"/>
    <col min="9748" max="9748" width="16.28515625" style="70" bestFit="1" customWidth="1"/>
    <col min="9749" max="9749" width="3.140625" style="70" customWidth="1"/>
    <col min="9750" max="9750" width="5.5703125" style="70" bestFit="1" customWidth="1"/>
    <col min="9751" max="9751" width="4.42578125" style="70" bestFit="1" customWidth="1"/>
    <col min="9752" max="9754" width="4.5703125" style="70" bestFit="1" customWidth="1"/>
    <col min="9755" max="9755" width="5.42578125" style="70" bestFit="1" customWidth="1"/>
    <col min="9756" max="9756" width="3.28515625" style="70" customWidth="1"/>
    <col min="9757" max="9984" width="11.42578125" style="70"/>
    <col min="9985" max="9985" width="14.85546875" style="70" bestFit="1" customWidth="1"/>
    <col min="9986" max="9986" width="28.28515625" style="70" customWidth="1"/>
    <col min="9987" max="9987" width="4.42578125" style="70" bestFit="1" customWidth="1"/>
    <col min="9988" max="9988" width="4.28515625" style="70" customWidth="1"/>
    <col min="9989" max="9989" width="11.42578125" style="70" customWidth="1"/>
    <col min="9990" max="9990" width="23.5703125" style="70" bestFit="1" customWidth="1"/>
    <col min="9991" max="9991" width="8" style="70" customWidth="1"/>
    <col min="9992" max="9992" width="7.28515625" style="70" customWidth="1"/>
    <col min="9993" max="9993" width="7.140625" style="70" customWidth="1"/>
    <col min="9994" max="9994" width="5.7109375" style="70" customWidth="1"/>
    <col min="9995" max="9995" width="5.85546875" style="70" customWidth="1"/>
    <col min="9996" max="9996" width="8" style="70" customWidth="1"/>
    <col min="9997" max="9997" width="5.140625" style="70" customWidth="1"/>
    <col min="9998" max="9998" width="9.7109375" style="70" customWidth="1"/>
    <col min="9999" max="9999" width="7.42578125" style="70" customWidth="1"/>
    <col min="10000" max="10000" width="6.85546875" style="70" customWidth="1"/>
    <col min="10001" max="10001" width="6" style="70" customWidth="1"/>
    <col min="10002" max="10003" width="7.42578125" style="70" bestFit="1" customWidth="1"/>
    <col min="10004" max="10004" width="16.28515625" style="70" bestFit="1" customWidth="1"/>
    <col min="10005" max="10005" width="3.140625" style="70" customWidth="1"/>
    <col min="10006" max="10006" width="5.5703125" style="70" bestFit="1" customWidth="1"/>
    <col min="10007" max="10007" width="4.42578125" style="70" bestFit="1" customWidth="1"/>
    <col min="10008" max="10010" width="4.5703125" style="70" bestFit="1" customWidth="1"/>
    <col min="10011" max="10011" width="5.42578125" style="70" bestFit="1" customWidth="1"/>
    <col min="10012" max="10012" width="3.28515625" style="70" customWidth="1"/>
    <col min="10013" max="10240" width="11.42578125" style="70"/>
    <col min="10241" max="10241" width="14.85546875" style="70" bestFit="1" customWidth="1"/>
    <col min="10242" max="10242" width="28.28515625" style="70" customWidth="1"/>
    <col min="10243" max="10243" width="4.42578125" style="70" bestFit="1" customWidth="1"/>
    <col min="10244" max="10244" width="4.28515625" style="70" customWidth="1"/>
    <col min="10245" max="10245" width="11.42578125" style="70" customWidth="1"/>
    <col min="10246" max="10246" width="23.5703125" style="70" bestFit="1" customWidth="1"/>
    <col min="10247" max="10247" width="8" style="70" customWidth="1"/>
    <col min="10248" max="10248" width="7.28515625" style="70" customWidth="1"/>
    <col min="10249" max="10249" width="7.140625" style="70" customWidth="1"/>
    <col min="10250" max="10250" width="5.7109375" style="70" customWidth="1"/>
    <col min="10251" max="10251" width="5.85546875" style="70" customWidth="1"/>
    <col min="10252" max="10252" width="8" style="70" customWidth="1"/>
    <col min="10253" max="10253" width="5.140625" style="70" customWidth="1"/>
    <col min="10254" max="10254" width="9.7109375" style="70" customWidth="1"/>
    <col min="10255" max="10255" width="7.42578125" style="70" customWidth="1"/>
    <col min="10256" max="10256" width="6.85546875" style="70" customWidth="1"/>
    <col min="10257" max="10257" width="6" style="70" customWidth="1"/>
    <col min="10258" max="10259" width="7.42578125" style="70" bestFit="1" customWidth="1"/>
    <col min="10260" max="10260" width="16.28515625" style="70" bestFit="1" customWidth="1"/>
    <col min="10261" max="10261" width="3.140625" style="70" customWidth="1"/>
    <col min="10262" max="10262" width="5.5703125" style="70" bestFit="1" customWidth="1"/>
    <col min="10263" max="10263" width="4.42578125" style="70" bestFit="1" customWidth="1"/>
    <col min="10264" max="10266" width="4.5703125" style="70" bestFit="1" customWidth="1"/>
    <col min="10267" max="10267" width="5.42578125" style="70" bestFit="1" customWidth="1"/>
    <col min="10268" max="10268" width="3.28515625" style="70" customWidth="1"/>
    <col min="10269" max="10496" width="11.42578125" style="70"/>
    <col min="10497" max="10497" width="14.85546875" style="70" bestFit="1" customWidth="1"/>
    <col min="10498" max="10498" width="28.28515625" style="70" customWidth="1"/>
    <col min="10499" max="10499" width="4.42578125" style="70" bestFit="1" customWidth="1"/>
    <col min="10500" max="10500" width="4.28515625" style="70" customWidth="1"/>
    <col min="10501" max="10501" width="11.42578125" style="70" customWidth="1"/>
    <col min="10502" max="10502" width="23.5703125" style="70" bestFit="1" customWidth="1"/>
    <col min="10503" max="10503" width="8" style="70" customWidth="1"/>
    <col min="10504" max="10504" width="7.28515625" style="70" customWidth="1"/>
    <col min="10505" max="10505" width="7.140625" style="70" customWidth="1"/>
    <col min="10506" max="10506" width="5.7109375" style="70" customWidth="1"/>
    <col min="10507" max="10507" width="5.85546875" style="70" customWidth="1"/>
    <col min="10508" max="10508" width="8" style="70" customWidth="1"/>
    <col min="10509" max="10509" width="5.140625" style="70" customWidth="1"/>
    <col min="10510" max="10510" width="9.7109375" style="70" customWidth="1"/>
    <col min="10511" max="10511" width="7.42578125" style="70" customWidth="1"/>
    <col min="10512" max="10512" width="6.85546875" style="70" customWidth="1"/>
    <col min="10513" max="10513" width="6" style="70" customWidth="1"/>
    <col min="10514" max="10515" width="7.42578125" style="70" bestFit="1" customWidth="1"/>
    <col min="10516" max="10516" width="16.28515625" style="70" bestFit="1" customWidth="1"/>
    <col min="10517" max="10517" width="3.140625" style="70" customWidth="1"/>
    <col min="10518" max="10518" width="5.5703125" style="70" bestFit="1" customWidth="1"/>
    <col min="10519" max="10519" width="4.42578125" style="70" bestFit="1" customWidth="1"/>
    <col min="10520" max="10522" width="4.5703125" style="70" bestFit="1" customWidth="1"/>
    <col min="10523" max="10523" width="5.42578125" style="70" bestFit="1" customWidth="1"/>
    <col min="10524" max="10524" width="3.28515625" style="70" customWidth="1"/>
    <col min="10525" max="10752" width="11.42578125" style="70"/>
    <col min="10753" max="10753" width="14.85546875" style="70" bestFit="1" customWidth="1"/>
    <col min="10754" max="10754" width="28.28515625" style="70" customWidth="1"/>
    <col min="10755" max="10755" width="4.42578125" style="70" bestFit="1" customWidth="1"/>
    <col min="10756" max="10756" width="4.28515625" style="70" customWidth="1"/>
    <col min="10757" max="10757" width="11.42578125" style="70" customWidth="1"/>
    <col min="10758" max="10758" width="23.5703125" style="70" bestFit="1" customWidth="1"/>
    <col min="10759" max="10759" width="8" style="70" customWidth="1"/>
    <col min="10760" max="10760" width="7.28515625" style="70" customWidth="1"/>
    <col min="10761" max="10761" width="7.140625" style="70" customWidth="1"/>
    <col min="10762" max="10762" width="5.7109375" style="70" customWidth="1"/>
    <col min="10763" max="10763" width="5.85546875" style="70" customWidth="1"/>
    <col min="10764" max="10764" width="8" style="70" customWidth="1"/>
    <col min="10765" max="10765" width="5.140625" style="70" customWidth="1"/>
    <col min="10766" max="10766" width="9.7109375" style="70" customWidth="1"/>
    <col min="10767" max="10767" width="7.42578125" style="70" customWidth="1"/>
    <col min="10768" max="10768" width="6.85546875" style="70" customWidth="1"/>
    <col min="10769" max="10769" width="6" style="70" customWidth="1"/>
    <col min="10770" max="10771" width="7.42578125" style="70" bestFit="1" customWidth="1"/>
    <col min="10772" max="10772" width="16.28515625" style="70" bestFit="1" customWidth="1"/>
    <col min="10773" max="10773" width="3.140625" style="70" customWidth="1"/>
    <col min="10774" max="10774" width="5.5703125" style="70" bestFit="1" customWidth="1"/>
    <col min="10775" max="10775" width="4.42578125" style="70" bestFit="1" customWidth="1"/>
    <col min="10776" max="10778" width="4.5703125" style="70" bestFit="1" customWidth="1"/>
    <col min="10779" max="10779" width="5.42578125" style="70" bestFit="1" customWidth="1"/>
    <col min="10780" max="10780" width="3.28515625" style="70" customWidth="1"/>
    <col min="10781" max="11008" width="11.42578125" style="70"/>
    <col min="11009" max="11009" width="14.85546875" style="70" bestFit="1" customWidth="1"/>
    <col min="11010" max="11010" width="28.28515625" style="70" customWidth="1"/>
    <col min="11011" max="11011" width="4.42578125" style="70" bestFit="1" customWidth="1"/>
    <col min="11012" max="11012" width="4.28515625" style="70" customWidth="1"/>
    <col min="11013" max="11013" width="11.42578125" style="70" customWidth="1"/>
    <col min="11014" max="11014" width="23.5703125" style="70" bestFit="1" customWidth="1"/>
    <col min="11015" max="11015" width="8" style="70" customWidth="1"/>
    <col min="11016" max="11016" width="7.28515625" style="70" customWidth="1"/>
    <col min="11017" max="11017" width="7.140625" style="70" customWidth="1"/>
    <col min="11018" max="11018" width="5.7109375" style="70" customWidth="1"/>
    <col min="11019" max="11019" width="5.85546875" style="70" customWidth="1"/>
    <col min="11020" max="11020" width="8" style="70" customWidth="1"/>
    <col min="11021" max="11021" width="5.140625" style="70" customWidth="1"/>
    <col min="11022" max="11022" width="9.7109375" style="70" customWidth="1"/>
    <col min="11023" max="11023" width="7.42578125" style="70" customWidth="1"/>
    <col min="11024" max="11024" width="6.85546875" style="70" customWidth="1"/>
    <col min="11025" max="11025" width="6" style="70" customWidth="1"/>
    <col min="11026" max="11027" width="7.42578125" style="70" bestFit="1" customWidth="1"/>
    <col min="11028" max="11028" width="16.28515625" style="70" bestFit="1" customWidth="1"/>
    <col min="11029" max="11029" width="3.140625" style="70" customWidth="1"/>
    <col min="11030" max="11030" width="5.5703125" style="70" bestFit="1" customWidth="1"/>
    <col min="11031" max="11031" width="4.42578125" style="70" bestFit="1" customWidth="1"/>
    <col min="11032" max="11034" width="4.5703125" style="70" bestFit="1" customWidth="1"/>
    <col min="11035" max="11035" width="5.42578125" style="70" bestFit="1" customWidth="1"/>
    <col min="11036" max="11036" width="3.28515625" style="70" customWidth="1"/>
    <col min="11037" max="11264" width="11.42578125" style="70"/>
    <col min="11265" max="11265" width="14.85546875" style="70" bestFit="1" customWidth="1"/>
    <col min="11266" max="11266" width="28.28515625" style="70" customWidth="1"/>
    <col min="11267" max="11267" width="4.42578125" style="70" bestFit="1" customWidth="1"/>
    <col min="11268" max="11268" width="4.28515625" style="70" customWidth="1"/>
    <col min="11269" max="11269" width="11.42578125" style="70" customWidth="1"/>
    <col min="11270" max="11270" width="23.5703125" style="70" bestFit="1" customWidth="1"/>
    <col min="11271" max="11271" width="8" style="70" customWidth="1"/>
    <col min="11272" max="11272" width="7.28515625" style="70" customWidth="1"/>
    <col min="11273" max="11273" width="7.140625" style="70" customWidth="1"/>
    <col min="11274" max="11274" width="5.7109375" style="70" customWidth="1"/>
    <col min="11275" max="11275" width="5.85546875" style="70" customWidth="1"/>
    <col min="11276" max="11276" width="8" style="70" customWidth="1"/>
    <col min="11277" max="11277" width="5.140625" style="70" customWidth="1"/>
    <col min="11278" max="11278" width="9.7109375" style="70" customWidth="1"/>
    <col min="11279" max="11279" width="7.42578125" style="70" customWidth="1"/>
    <col min="11280" max="11280" width="6.85546875" style="70" customWidth="1"/>
    <col min="11281" max="11281" width="6" style="70" customWidth="1"/>
    <col min="11282" max="11283" width="7.42578125" style="70" bestFit="1" customWidth="1"/>
    <col min="11284" max="11284" width="16.28515625" style="70" bestFit="1" customWidth="1"/>
    <col min="11285" max="11285" width="3.140625" style="70" customWidth="1"/>
    <col min="11286" max="11286" width="5.5703125" style="70" bestFit="1" customWidth="1"/>
    <col min="11287" max="11287" width="4.42578125" style="70" bestFit="1" customWidth="1"/>
    <col min="11288" max="11290" width="4.5703125" style="70" bestFit="1" customWidth="1"/>
    <col min="11291" max="11291" width="5.42578125" style="70" bestFit="1" customWidth="1"/>
    <col min="11292" max="11292" width="3.28515625" style="70" customWidth="1"/>
    <col min="11293" max="11520" width="11.42578125" style="70"/>
    <col min="11521" max="11521" width="14.85546875" style="70" bestFit="1" customWidth="1"/>
    <col min="11522" max="11522" width="28.28515625" style="70" customWidth="1"/>
    <col min="11523" max="11523" width="4.42578125" style="70" bestFit="1" customWidth="1"/>
    <col min="11524" max="11524" width="4.28515625" style="70" customWidth="1"/>
    <col min="11525" max="11525" width="11.42578125" style="70" customWidth="1"/>
    <col min="11526" max="11526" width="23.5703125" style="70" bestFit="1" customWidth="1"/>
    <col min="11527" max="11527" width="8" style="70" customWidth="1"/>
    <col min="11528" max="11528" width="7.28515625" style="70" customWidth="1"/>
    <col min="11529" max="11529" width="7.140625" style="70" customWidth="1"/>
    <col min="11530" max="11530" width="5.7109375" style="70" customWidth="1"/>
    <col min="11531" max="11531" width="5.85546875" style="70" customWidth="1"/>
    <col min="11532" max="11532" width="8" style="70" customWidth="1"/>
    <col min="11533" max="11533" width="5.140625" style="70" customWidth="1"/>
    <col min="11534" max="11534" width="9.7109375" style="70" customWidth="1"/>
    <col min="11535" max="11535" width="7.42578125" style="70" customWidth="1"/>
    <col min="11536" max="11536" width="6.85546875" style="70" customWidth="1"/>
    <col min="11537" max="11537" width="6" style="70" customWidth="1"/>
    <col min="11538" max="11539" width="7.42578125" style="70" bestFit="1" customWidth="1"/>
    <col min="11540" max="11540" width="16.28515625" style="70" bestFit="1" customWidth="1"/>
    <col min="11541" max="11541" width="3.140625" style="70" customWidth="1"/>
    <col min="11542" max="11542" width="5.5703125" style="70" bestFit="1" customWidth="1"/>
    <col min="11543" max="11543" width="4.42578125" style="70" bestFit="1" customWidth="1"/>
    <col min="11544" max="11546" width="4.5703125" style="70" bestFit="1" customWidth="1"/>
    <col min="11547" max="11547" width="5.42578125" style="70" bestFit="1" customWidth="1"/>
    <col min="11548" max="11548" width="3.28515625" style="70" customWidth="1"/>
    <col min="11549" max="11776" width="11.42578125" style="70"/>
    <col min="11777" max="11777" width="14.85546875" style="70" bestFit="1" customWidth="1"/>
    <col min="11778" max="11778" width="28.28515625" style="70" customWidth="1"/>
    <col min="11779" max="11779" width="4.42578125" style="70" bestFit="1" customWidth="1"/>
    <col min="11780" max="11780" width="4.28515625" style="70" customWidth="1"/>
    <col min="11781" max="11781" width="11.42578125" style="70" customWidth="1"/>
    <col min="11782" max="11782" width="23.5703125" style="70" bestFit="1" customWidth="1"/>
    <col min="11783" max="11783" width="8" style="70" customWidth="1"/>
    <col min="11784" max="11784" width="7.28515625" style="70" customWidth="1"/>
    <col min="11785" max="11785" width="7.140625" style="70" customWidth="1"/>
    <col min="11786" max="11786" width="5.7109375" style="70" customWidth="1"/>
    <col min="11787" max="11787" width="5.85546875" style="70" customWidth="1"/>
    <col min="11788" max="11788" width="8" style="70" customWidth="1"/>
    <col min="11789" max="11789" width="5.140625" style="70" customWidth="1"/>
    <col min="11790" max="11790" width="9.7109375" style="70" customWidth="1"/>
    <col min="11791" max="11791" width="7.42578125" style="70" customWidth="1"/>
    <col min="11792" max="11792" width="6.85546875" style="70" customWidth="1"/>
    <col min="11793" max="11793" width="6" style="70" customWidth="1"/>
    <col min="11794" max="11795" width="7.42578125" style="70" bestFit="1" customWidth="1"/>
    <col min="11796" max="11796" width="16.28515625" style="70" bestFit="1" customWidth="1"/>
    <col min="11797" max="11797" width="3.140625" style="70" customWidth="1"/>
    <col min="11798" max="11798" width="5.5703125" style="70" bestFit="1" customWidth="1"/>
    <col min="11799" max="11799" width="4.42578125" style="70" bestFit="1" customWidth="1"/>
    <col min="11800" max="11802" width="4.5703125" style="70" bestFit="1" customWidth="1"/>
    <col min="11803" max="11803" width="5.42578125" style="70" bestFit="1" customWidth="1"/>
    <col min="11804" max="11804" width="3.28515625" style="70" customWidth="1"/>
    <col min="11805" max="12032" width="11.42578125" style="70"/>
    <col min="12033" max="12033" width="14.85546875" style="70" bestFit="1" customWidth="1"/>
    <col min="12034" max="12034" width="28.28515625" style="70" customWidth="1"/>
    <col min="12035" max="12035" width="4.42578125" style="70" bestFit="1" customWidth="1"/>
    <col min="12036" max="12036" width="4.28515625" style="70" customWidth="1"/>
    <col min="12037" max="12037" width="11.42578125" style="70" customWidth="1"/>
    <col min="12038" max="12038" width="23.5703125" style="70" bestFit="1" customWidth="1"/>
    <col min="12039" max="12039" width="8" style="70" customWidth="1"/>
    <col min="12040" max="12040" width="7.28515625" style="70" customWidth="1"/>
    <col min="12041" max="12041" width="7.140625" style="70" customWidth="1"/>
    <col min="12042" max="12042" width="5.7109375" style="70" customWidth="1"/>
    <col min="12043" max="12043" width="5.85546875" style="70" customWidth="1"/>
    <col min="12044" max="12044" width="8" style="70" customWidth="1"/>
    <col min="12045" max="12045" width="5.140625" style="70" customWidth="1"/>
    <col min="12046" max="12046" width="9.7109375" style="70" customWidth="1"/>
    <col min="12047" max="12047" width="7.42578125" style="70" customWidth="1"/>
    <col min="12048" max="12048" width="6.85546875" style="70" customWidth="1"/>
    <col min="12049" max="12049" width="6" style="70" customWidth="1"/>
    <col min="12050" max="12051" width="7.42578125" style="70" bestFit="1" customWidth="1"/>
    <col min="12052" max="12052" width="16.28515625" style="70" bestFit="1" customWidth="1"/>
    <col min="12053" max="12053" width="3.140625" style="70" customWidth="1"/>
    <col min="12054" max="12054" width="5.5703125" style="70" bestFit="1" customWidth="1"/>
    <col min="12055" max="12055" width="4.42578125" style="70" bestFit="1" customWidth="1"/>
    <col min="12056" max="12058" width="4.5703125" style="70" bestFit="1" customWidth="1"/>
    <col min="12059" max="12059" width="5.42578125" style="70" bestFit="1" customWidth="1"/>
    <col min="12060" max="12060" width="3.28515625" style="70" customWidth="1"/>
    <col min="12061" max="12288" width="11.42578125" style="70"/>
    <col min="12289" max="12289" width="14.85546875" style="70" bestFit="1" customWidth="1"/>
    <col min="12290" max="12290" width="28.28515625" style="70" customWidth="1"/>
    <col min="12291" max="12291" width="4.42578125" style="70" bestFit="1" customWidth="1"/>
    <col min="12292" max="12292" width="4.28515625" style="70" customWidth="1"/>
    <col min="12293" max="12293" width="11.42578125" style="70" customWidth="1"/>
    <col min="12294" max="12294" width="23.5703125" style="70" bestFit="1" customWidth="1"/>
    <col min="12295" max="12295" width="8" style="70" customWidth="1"/>
    <col min="12296" max="12296" width="7.28515625" style="70" customWidth="1"/>
    <col min="12297" max="12297" width="7.140625" style="70" customWidth="1"/>
    <col min="12298" max="12298" width="5.7109375" style="70" customWidth="1"/>
    <col min="12299" max="12299" width="5.85546875" style="70" customWidth="1"/>
    <col min="12300" max="12300" width="8" style="70" customWidth="1"/>
    <col min="12301" max="12301" width="5.140625" style="70" customWidth="1"/>
    <col min="12302" max="12302" width="9.7109375" style="70" customWidth="1"/>
    <col min="12303" max="12303" width="7.42578125" style="70" customWidth="1"/>
    <col min="12304" max="12304" width="6.85546875" style="70" customWidth="1"/>
    <col min="12305" max="12305" width="6" style="70" customWidth="1"/>
    <col min="12306" max="12307" width="7.42578125" style="70" bestFit="1" customWidth="1"/>
    <col min="12308" max="12308" width="16.28515625" style="70" bestFit="1" customWidth="1"/>
    <col min="12309" max="12309" width="3.140625" style="70" customWidth="1"/>
    <col min="12310" max="12310" width="5.5703125" style="70" bestFit="1" customWidth="1"/>
    <col min="12311" max="12311" width="4.42578125" style="70" bestFit="1" customWidth="1"/>
    <col min="12312" max="12314" width="4.5703125" style="70" bestFit="1" customWidth="1"/>
    <col min="12315" max="12315" width="5.42578125" style="70" bestFit="1" customWidth="1"/>
    <col min="12316" max="12316" width="3.28515625" style="70" customWidth="1"/>
    <col min="12317" max="12544" width="11.42578125" style="70"/>
    <col min="12545" max="12545" width="14.85546875" style="70" bestFit="1" customWidth="1"/>
    <col min="12546" max="12546" width="28.28515625" style="70" customWidth="1"/>
    <col min="12547" max="12547" width="4.42578125" style="70" bestFit="1" customWidth="1"/>
    <col min="12548" max="12548" width="4.28515625" style="70" customWidth="1"/>
    <col min="12549" max="12549" width="11.42578125" style="70" customWidth="1"/>
    <col min="12550" max="12550" width="23.5703125" style="70" bestFit="1" customWidth="1"/>
    <col min="12551" max="12551" width="8" style="70" customWidth="1"/>
    <col min="12552" max="12552" width="7.28515625" style="70" customWidth="1"/>
    <col min="12553" max="12553" width="7.140625" style="70" customWidth="1"/>
    <col min="12554" max="12554" width="5.7109375" style="70" customWidth="1"/>
    <col min="12555" max="12555" width="5.85546875" style="70" customWidth="1"/>
    <col min="12556" max="12556" width="8" style="70" customWidth="1"/>
    <col min="12557" max="12557" width="5.140625" style="70" customWidth="1"/>
    <col min="12558" max="12558" width="9.7109375" style="70" customWidth="1"/>
    <col min="12559" max="12559" width="7.42578125" style="70" customWidth="1"/>
    <col min="12560" max="12560" width="6.85546875" style="70" customWidth="1"/>
    <col min="12561" max="12561" width="6" style="70" customWidth="1"/>
    <col min="12562" max="12563" width="7.42578125" style="70" bestFit="1" customWidth="1"/>
    <col min="12564" max="12564" width="16.28515625" style="70" bestFit="1" customWidth="1"/>
    <col min="12565" max="12565" width="3.140625" style="70" customWidth="1"/>
    <col min="12566" max="12566" width="5.5703125" style="70" bestFit="1" customWidth="1"/>
    <col min="12567" max="12567" width="4.42578125" style="70" bestFit="1" customWidth="1"/>
    <col min="12568" max="12570" width="4.5703125" style="70" bestFit="1" customWidth="1"/>
    <col min="12571" max="12571" width="5.42578125" style="70" bestFit="1" customWidth="1"/>
    <col min="12572" max="12572" width="3.28515625" style="70" customWidth="1"/>
    <col min="12573" max="12800" width="11.42578125" style="70"/>
    <col min="12801" max="12801" width="14.85546875" style="70" bestFit="1" customWidth="1"/>
    <col min="12802" max="12802" width="28.28515625" style="70" customWidth="1"/>
    <col min="12803" max="12803" width="4.42578125" style="70" bestFit="1" customWidth="1"/>
    <col min="12804" max="12804" width="4.28515625" style="70" customWidth="1"/>
    <col min="12805" max="12805" width="11.42578125" style="70" customWidth="1"/>
    <col min="12806" max="12806" width="23.5703125" style="70" bestFit="1" customWidth="1"/>
    <col min="12807" max="12807" width="8" style="70" customWidth="1"/>
    <col min="12808" max="12808" width="7.28515625" style="70" customWidth="1"/>
    <col min="12809" max="12809" width="7.140625" style="70" customWidth="1"/>
    <col min="12810" max="12810" width="5.7109375" style="70" customWidth="1"/>
    <col min="12811" max="12811" width="5.85546875" style="70" customWidth="1"/>
    <col min="12812" max="12812" width="8" style="70" customWidth="1"/>
    <col min="12813" max="12813" width="5.140625" style="70" customWidth="1"/>
    <col min="12814" max="12814" width="9.7109375" style="70" customWidth="1"/>
    <col min="12815" max="12815" width="7.42578125" style="70" customWidth="1"/>
    <col min="12816" max="12816" width="6.85546875" style="70" customWidth="1"/>
    <col min="12817" max="12817" width="6" style="70" customWidth="1"/>
    <col min="12818" max="12819" width="7.42578125" style="70" bestFit="1" customWidth="1"/>
    <col min="12820" max="12820" width="16.28515625" style="70" bestFit="1" customWidth="1"/>
    <col min="12821" max="12821" width="3.140625" style="70" customWidth="1"/>
    <col min="12822" max="12822" width="5.5703125" style="70" bestFit="1" customWidth="1"/>
    <col min="12823" max="12823" width="4.42578125" style="70" bestFit="1" customWidth="1"/>
    <col min="12824" max="12826" width="4.5703125" style="70" bestFit="1" customWidth="1"/>
    <col min="12827" max="12827" width="5.42578125" style="70" bestFit="1" customWidth="1"/>
    <col min="12828" max="12828" width="3.28515625" style="70" customWidth="1"/>
    <col min="12829" max="13056" width="11.42578125" style="70"/>
    <col min="13057" max="13057" width="14.85546875" style="70" bestFit="1" customWidth="1"/>
    <col min="13058" max="13058" width="28.28515625" style="70" customWidth="1"/>
    <col min="13059" max="13059" width="4.42578125" style="70" bestFit="1" customWidth="1"/>
    <col min="13060" max="13060" width="4.28515625" style="70" customWidth="1"/>
    <col min="13061" max="13061" width="11.42578125" style="70" customWidth="1"/>
    <col min="13062" max="13062" width="23.5703125" style="70" bestFit="1" customWidth="1"/>
    <col min="13063" max="13063" width="8" style="70" customWidth="1"/>
    <col min="13064" max="13064" width="7.28515625" style="70" customWidth="1"/>
    <col min="13065" max="13065" width="7.140625" style="70" customWidth="1"/>
    <col min="13066" max="13066" width="5.7109375" style="70" customWidth="1"/>
    <col min="13067" max="13067" width="5.85546875" style="70" customWidth="1"/>
    <col min="13068" max="13068" width="8" style="70" customWidth="1"/>
    <col min="13069" max="13069" width="5.140625" style="70" customWidth="1"/>
    <col min="13070" max="13070" width="9.7109375" style="70" customWidth="1"/>
    <col min="13071" max="13071" width="7.42578125" style="70" customWidth="1"/>
    <col min="13072" max="13072" width="6.85546875" style="70" customWidth="1"/>
    <col min="13073" max="13073" width="6" style="70" customWidth="1"/>
    <col min="13074" max="13075" width="7.42578125" style="70" bestFit="1" customWidth="1"/>
    <col min="13076" max="13076" width="16.28515625" style="70" bestFit="1" customWidth="1"/>
    <col min="13077" max="13077" width="3.140625" style="70" customWidth="1"/>
    <col min="13078" max="13078" width="5.5703125" style="70" bestFit="1" customWidth="1"/>
    <col min="13079" max="13079" width="4.42578125" style="70" bestFit="1" customWidth="1"/>
    <col min="13080" max="13082" width="4.5703125" style="70" bestFit="1" customWidth="1"/>
    <col min="13083" max="13083" width="5.42578125" style="70" bestFit="1" customWidth="1"/>
    <col min="13084" max="13084" width="3.28515625" style="70" customWidth="1"/>
    <col min="13085" max="13312" width="11.42578125" style="70"/>
    <col min="13313" max="13313" width="14.85546875" style="70" bestFit="1" customWidth="1"/>
    <col min="13314" max="13314" width="28.28515625" style="70" customWidth="1"/>
    <col min="13315" max="13315" width="4.42578125" style="70" bestFit="1" customWidth="1"/>
    <col min="13316" max="13316" width="4.28515625" style="70" customWidth="1"/>
    <col min="13317" max="13317" width="11.42578125" style="70" customWidth="1"/>
    <col min="13318" max="13318" width="23.5703125" style="70" bestFit="1" customWidth="1"/>
    <col min="13319" max="13319" width="8" style="70" customWidth="1"/>
    <col min="13320" max="13320" width="7.28515625" style="70" customWidth="1"/>
    <col min="13321" max="13321" width="7.140625" style="70" customWidth="1"/>
    <col min="13322" max="13322" width="5.7109375" style="70" customWidth="1"/>
    <col min="13323" max="13323" width="5.85546875" style="70" customWidth="1"/>
    <col min="13324" max="13324" width="8" style="70" customWidth="1"/>
    <col min="13325" max="13325" width="5.140625" style="70" customWidth="1"/>
    <col min="13326" max="13326" width="9.7109375" style="70" customWidth="1"/>
    <col min="13327" max="13327" width="7.42578125" style="70" customWidth="1"/>
    <col min="13328" max="13328" width="6.85546875" style="70" customWidth="1"/>
    <col min="13329" max="13329" width="6" style="70" customWidth="1"/>
    <col min="13330" max="13331" width="7.42578125" style="70" bestFit="1" customWidth="1"/>
    <col min="13332" max="13332" width="16.28515625" style="70" bestFit="1" customWidth="1"/>
    <col min="13333" max="13333" width="3.140625" style="70" customWidth="1"/>
    <col min="13334" max="13334" width="5.5703125" style="70" bestFit="1" customWidth="1"/>
    <col min="13335" max="13335" width="4.42578125" style="70" bestFit="1" customWidth="1"/>
    <col min="13336" max="13338" width="4.5703125" style="70" bestFit="1" customWidth="1"/>
    <col min="13339" max="13339" width="5.42578125" style="70" bestFit="1" customWidth="1"/>
    <col min="13340" max="13340" width="3.28515625" style="70" customWidth="1"/>
    <col min="13341" max="13568" width="11.42578125" style="70"/>
    <col min="13569" max="13569" width="14.85546875" style="70" bestFit="1" customWidth="1"/>
    <col min="13570" max="13570" width="28.28515625" style="70" customWidth="1"/>
    <col min="13571" max="13571" width="4.42578125" style="70" bestFit="1" customWidth="1"/>
    <col min="13572" max="13572" width="4.28515625" style="70" customWidth="1"/>
    <col min="13573" max="13573" width="11.42578125" style="70" customWidth="1"/>
    <col min="13574" max="13574" width="23.5703125" style="70" bestFit="1" customWidth="1"/>
    <col min="13575" max="13575" width="8" style="70" customWidth="1"/>
    <col min="13576" max="13576" width="7.28515625" style="70" customWidth="1"/>
    <col min="13577" max="13577" width="7.140625" style="70" customWidth="1"/>
    <col min="13578" max="13578" width="5.7109375" style="70" customWidth="1"/>
    <col min="13579" max="13579" width="5.85546875" style="70" customWidth="1"/>
    <col min="13580" max="13580" width="8" style="70" customWidth="1"/>
    <col min="13581" max="13581" width="5.140625" style="70" customWidth="1"/>
    <col min="13582" max="13582" width="9.7109375" style="70" customWidth="1"/>
    <col min="13583" max="13583" width="7.42578125" style="70" customWidth="1"/>
    <col min="13584" max="13584" width="6.85546875" style="70" customWidth="1"/>
    <col min="13585" max="13585" width="6" style="70" customWidth="1"/>
    <col min="13586" max="13587" width="7.42578125" style="70" bestFit="1" customWidth="1"/>
    <col min="13588" max="13588" width="16.28515625" style="70" bestFit="1" customWidth="1"/>
    <col min="13589" max="13589" width="3.140625" style="70" customWidth="1"/>
    <col min="13590" max="13590" width="5.5703125" style="70" bestFit="1" customWidth="1"/>
    <col min="13591" max="13591" width="4.42578125" style="70" bestFit="1" customWidth="1"/>
    <col min="13592" max="13594" width="4.5703125" style="70" bestFit="1" customWidth="1"/>
    <col min="13595" max="13595" width="5.42578125" style="70" bestFit="1" customWidth="1"/>
    <col min="13596" max="13596" width="3.28515625" style="70" customWidth="1"/>
    <col min="13597" max="13824" width="11.42578125" style="70"/>
    <col min="13825" max="13825" width="14.85546875" style="70" bestFit="1" customWidth="1"/>
    <col min="13826" max="13826" width="28.28515625" style="70" customWidth="1"/>
    <col min="13827" max="13827" width="4.42578125" style="70" bestFit="1" customWidth="1"/>
    <col min="13828" max="13828" width="4.28515625" style="70" customWidth="1"/>
    <col min="13829" max="13829" width="11.42578125" style="70" customWidth="1"/>
    <col min="13830" max="13830" width="23.5703125" style="70" bestFit="1" customWidth="1"/>
    <col min="13831" max="13831" width="8" style="70" customWidth="1"/>
    <col min="13832" max="13832" width="7.28515625" style="70" customWidth="1"/>
    <col min="13833" max="13833" width="7.140625" style="70" customWidth="1"/>
    <col min="13834" max="13834" width="5.7109375" style="70" customWidth="1"/>
    <col min="13835" max="13835" width="5.85546875" style="70" customWidth="1"/>
    <col min="13836" max="13836" width="8" style="70" customWidth="1"/>
    <col min="13837" max="13837" width="5.140625" style="70" customWidth="1"/>
    <col min="13838" max="13838" width="9.7109375" style="70" customWidth="1"/>
    <col min="13839" max="13839" width="7.42578125" style="70" customWidth="1"/>
    <col min="13840" max="13840" width="6.85546875" style="70" customWidth="1"/>
    <col min="13841" max="13841" width="6" style="70" customWidth="1"/>
    <col min="13842" max="13843" width="7.42578125" style="70" bestFit="1" customWidth="1"/>
    <col min="13844" max="13844" width="16.28515625" style="70" bestFit="1" customWidth="1"/>
    <col min="13845" max="13845" width="3.140625" style="70" customWidth="1"/>
    <col min="13846" max="13846" width="5.5703125" style="70" bestFit="1" customWidth="1"/>
    <col min="13847" max="13847" width="4.42578125" style="70" bestFit="1" customWidth="1"/>
    <col min="13848" max="13850" width="4.5703125" style="70" bestFit="1" customWidth="1"/>
    <col min="13851" max="13851" width="5.42578125" style="70" bestFit="1" customWidth="1"/>
    <col min="13852" max="13852" width="3.28515625" style="70" customWidth="1"/>
    <col min="13853" max="14080" width="11.42578125" style="70"/>
    <col min="14081" max="14081" width="14.85546875" style="70" bestFit="1" customWidth="1"/>
    <col min="14082" max="14082" width="28.28515625" style="70" customWidth="1"/>
    <col min="14083" max="14083" width="4.42578125" style="70" bestFit="1" customWidth="1"/>
    <col min="14084" max="14084" width="4.28515625" style="70" customWidth="1"/>
    <col min="14085" max="14085" width="11.42578125" style="70" customWidth="1"/>
    <col min="14086" max="14086" width="23.5703125" style="70" bestFit="1" customWidth="1"/>
    <col min="14087" max="14087" width="8" style="70" customWidth="1"/>
    <col min="14088" max="14088" width="7.28515625" style="70" customWidth="1"/>
    <col min="14089" max="14089" width="7.140625" style="70" customWidth="1"/>
    <col min="14090" max="14090" width="5.7109375" style="70" customWidth="1"/>
    <col min="14091" max="14091" width="5.85546875" style="70" customWidth="1"/>
    <col min="14092" max="14092" width="8" style="70" customWidth="1"/>
    <col min="14093" max="14093" width="5.140625" style="70" customWidth="1"/>
    <col min="14094" max="14094" width="9.7109375" style="70" customWidth="1"/>
    <col min="14095" max="14095" width="7.42578125" style="70" customWidth="1"/>
    <col min="14096" max="14096" width="6.85546875" style="70" customWidth="1"/>
    <col min="14097" max="14097" width="6" style="70" customWidth="1"/>
    <col min="14098" max="14099" width="7.42578125" style="70" bestFit="1" customWidth="1"/>
    <col min="14100" max="14100" width="16.28515625" style="70" bestFit="1" customWidth="1"/>
    <col min="14101" max="14101" width="3.140625" style="70" customWidth="1"/>
    <col min="14102" max="14102" width="5.5703125" style="70" bestFit="1" customWidth="1"/>
    <col min="14103" max="14103" width="4.42578125" style="70" bestFit="1" customWidth="1"/>
    <col min="14104" max="14106" width="4.5703125" style="70" bestFit="1" customWidth="1"/>
    <col min="14107" max="14107" width="5.42578125" style="70" bestFit="1" customWidth="1"/>
    <col min="14108" max="14108" width="3.28515625" style="70" customWidth="1"/>
    <col min="14109" max="14336" width="11.42578125" style="70"/>
    <col min="14337" max="14337" width="14.85546875" style="70" bestFit="1" customWidth="1"/>
    <col min="14338" max="14338" width="28.28515625" style="70" customWidth="1"/>
    <col min="14339" max="14339" width="4.42578125" style="70" bestFit="1" customWidth="1"/>
    <col min="14340" max="14340" width="4.28515625" style="70" customWidth="1"/>
    <col min="14341" max="14341" width="11.42578125" style="70" customWidth="1"/>
    <col min="14342" max="14342" width="23.5703125" style="70" bestFit="1" customWidth="1"/>
    <col min="14343" max="14343" width="8" style="70" customWidth="1"/>
    <col min="14344" max="14344" width="7.28515625" style="70" customWidth="1"/>
    <col min="14345" max="14345" width="7.140625" style="70" customWidth="1"/>
    <col min="14346" max="14346" width="5.7109375" style="70" customWidth="1"/>
    <col min="14347" max="14347" width="5.85546875" style="70" customWidth="1"/>
    <col min="14348" max="14348" width="8" style="70" customWidth="1"/>
    <col min="14349" max="14349" width="5.140625" style="70" customWidth="1"/>
    <col min="14350" max="14350" width="9.7109375" style="70" customWidth="1"/>
    <col min="14351" max="14351" width="7.42578125" style="70" customWidth="1"/>
    <col min="14352" max="14352" width="6.85546875" style="70" customWidth="1"/>
    <col min="14353" max="14353" width="6" style="70" customWidth="1"/>
    <col min="14354" max="14355" width="7.42578125" style="70" bestFit="1" customWidth="1"/>
    <col min="14356" max="14356" width="16.28515625" style="70" bestFit="1" customWidth="1"/>
    <col min="14357" max="14357" width="3.140625" style="70" customWidth="1"/>
    <col min="14358" max="14358" width="5.5703125" style="70" bestFit="1" customWidth="1"/>
    <col min="14359" max="14359" width="4.42578125" style="70" bestFit="1" customWidth="1"/>
    <col min="14360" max="14362" width="4.5703125" style="70" bestFit="1" customWidth="1"/>
    <col min="14363" max="14363" width="5.42578125" style="70" bestFit="1" customWidth="1"/>
    <col min="14364" max="14364" width="3.28515625" style="70" customWidth="1"/>
    <col min="14365" max="14592" width="11.42578125" style="70"/>
    <col min="14593" max="14593" width="14.85546875" style="70" bestFit="1" customWidth="1"/>
    <col min="14594" max="14594" width="28.28515625" style="70" customWidth="1"/>
    <col min="14595" max="14595" width="4.42578125" style="70" bestFit="1" customWidth="1"/>
    <col min="14596" max="14596" width="4.28515625" style="70" customWidth="1"/>
    <col min="14597" max="14597" width="11.42578125" style="70" customWidth="1"/>
    <col min="14598" max="14598" width="23.5703125" style="70" bestFit="1" customWidth="1"/>
    <col min="14599" max="14599" width="8" style="70" customWidth="1"/>
    <col min="14600" max="14600" width="7.28515625" style="70" customWidth="1"/>
    <col min="14601" max="14601" width="7.140625" style="70" customWidth="1"/>
    <col min="14602" max="14602" width="5.7109375" style="70" customWidth="1"/>
    <col min="14603" max="14603" width="5.85546875" style="70" customWidth="1"/>
    <col min="14604" max="14604" width="8" style="70" customWidth="1"/>
    <col min="14605" max="14605" width="5.140625" style="70" customWidth="1"/>
    <col min="14606" max="14606" width="9.7109375" style="70" customWidth="1"/>
    <col min="14607" max="14607" width="7.42578125" style="70" customWidth="1"/>
    <col min="14608" max="14608" width="6.85546875" style="70" customWidth="1"/>
    <col min="14609" max="14609" width="6" style="70" customWidth="1"/>
    <col min="14610" max="14611" width="7.42578125" style="70" bestFit="1" customWidth="1"/>
    <col min="14612" max="14612" width="16.28515625" style="70" bestFit="1" customWidth="1"/>
    <col min="14613" max="14613" width="3.140625" style="70" customWidth="1"/>
    <col min="14614" max="14614" width="5.5703125" style="70" bestFit="1" customWidth="1"/>
    <col min="14615" max="14615" width="4.42578125" style="70" bestFit="1" customWidth="1"/>
    <col min="14616" max="14618" width="4.5703125" style="70" bestFit="1" customWidth="1"/>
    <col min="14619" max="14619" width="5.42578125" style="70" bestFit="1" customWidth="1"/>
    <col min="14620" max="14620" width="3.28515625" style="70" customWidth="1"/>
    <col min="14621" max="14848" width="11.42578125" style="70"/>
    <col min="14849" max="14849" width="14.85546875" style="70" bestFit="1" customWidth="1"/>
    <col min="14850" max="14850" width="28.28515625" style="70" customWidth="1"/>
    <col min="14851" max="14851" width="4.42578125" style="70" bestFit="1" customWidth="1"/>
    <col min="14852" max="14852" width="4.28515625" style="70" customWidth="1"/>
    <col min="14853" max="14853" width="11.42578125" style="70" customWidth="1"/>
    <col min="14854" max="14854" width="23.5703125" style="70" bestFit="1" customWidth="1"/>
    <col min="14855" max="14855" width="8" style="70" customWidth="1"/>
    <col min="14856" max="14856" width="7.28515625" style="70" customWidth="1"/>
    <col min="14857" max="14857" width="7.140625" style="70" customWidth="1"/>
    <col min="14858" max="14858" width="5.7109375" style="70" customWidth="1"/>
    <col min="14859" max="14859" width="5.85546875" style="70" customWidth="1"/>
    <col min="14860" max="14860" width="8" style="70" customWidth="1"/>
    <col min="14861" max="14861" width="5.140625" style="70" customWidth="1"/>
    <col min="14862" max="14862" width="9.7109375" style="70" customWidth="1"/>
    <col min="14863" max="14863" width="7.42578125" style="70" customWidth="1"/>
    <col min="14864" max="14864" width="6.85546875" style="70" customWidth="1"/>
    <col min="14865" max="14865" width="6" style="70" customWidth="1"/>
    <col min="14866" max="14867" width="7.42578125" style="70" bestFit="1" customWidth="1"/>
    <col min="14868" max="14868" width="16.28515625" style="70" bestFit="1" customWidth="1"/>
    <col min="14869" max="14869" width="3.140625" style="70" customWidth="1"/>
    <col min="14870" max="14870" width="5.5703125" style="70" bestFit="1" customWidth="1"/>
    <col min="14871" max="14871" width="4.42578125" style="70" bestFit="1" customWidth="1"/>
    <col min="14872" max="14874" width="4.5703125" style="70" bestFit="1" customWidth="1"/>
    <col min="14875" max="14875" width="5.42578125" style="70" bestFit="1" customWidth="1"/>
    <col min="14876" max="14876" width="3.28515625" style="70" customWidth="1"/>
    <col min="14877" max="15104" width="11.42578125" style="70"/>
    <col min="15105" max="15105" width="14.85546875" style="70" bestFit="1" customWidth="1"/>
    <col min="15106" max="15106" width="28.28515625" style="70" customWidth="1"/>
    <col min="15107" max="15107" width="4.42578125" style="70" bestFit="1" customWidth="1"/>
    <col min="15108" max="15108" width="4.28515625" style="70" customWidth="1"/>
    <col min="15109" max="15109" width="11.42578125" style="70" customWidth="1"/>
    <col min="15110" max="15110" width="23.5703125" style="70" bestFit="1" customWidth="1"/>
    <col min="15111" max="15111" width="8" style="70" customWidth="1"/>
    <col min="15112" max="15112" width="7.28515625" style="70" customWidth="1"/>
    <col min="15113" max="15113" width="7.140625" style="70" customWidth="1"/>
    <col min="15114" max="15114" width="5.7109375" style="70" customWidth="1"/>
    <col min="15115" max="15115" width="5.85546875" style="70" customWidth="1"/>
    <col min="15116" max="15116" width="8" style="70" customWidth="1"/>
    <col min="15117" max="15117" width="5.140625" style="70" customWidth="1"/>
    <col min="15118" max="15118" width="9.7109375" style="70" customWidth="1"/>
    <col min="15119" max="15119" width="7.42578125" style="70" customWidth="1"/>
    <col min="15120" max="15120" width="6.85546875" style="70" customWidth="1"/>
    <col min="15121" max="15121" width="6" style="70" customWidth="1"/>
    <col min="15122" max="15123" width="7.42578125" style="70" bestFit="1" customWidth="1"/>
    <col min="15124" max="15124" width="16.28515625" style="70" bestFit="1" customWidth="1"/>
    <col min="15125" max="15125" width="3.140625" style="70" customWidth="1"/>
    <col min="15126" max="15126" width="5.5703125" style="70" bestFit="1" customWidth="1"/>
    <col min="15127" max="15127" width="4.42578125" style="70" bestFit="1" customWidth="1"/>
    <col min="15128" max="15130" width="4.5703125" style="70" bestFit="1" customWidth="1"/>
    <col min="15131" max="15131" width="5.42578125" style="70" bestFit="1" customWidth="1"/>
    <col min="15132" max="15132" width="3.28515625" style="70" customWidth="1"/>
    <col min="15133" max="15360" width="11.42578125" style="70"/>
    <col min="15361" max="15361" width="14.85546875" style="70" bestFit="1" customWidth="1"/>
    <col min="15362" max="15362" width="28.28515625" style="70" customWidth="1"/>
    <col min="15363" max="15363" width="4.42578125" style="70" bestFit="1" customWidth="1"/>
    <col min="15364" max="15364" width="4.28515625" style="70" customWidth="1"/>
    <col min="15365" max="15365" width="11.42578125" style="70" customWidth="1"/>
    <col min="15366" max="15366" width="23.5703125" style="70" bestFit="1" customWidth="1"/>
    <col min="15367" max="15367" width="8" style="70" customWidth="1"/>
    <col min="15368" max="15368" width="7.28515625" style="70" customWidth="1"/>
    <col min="15369" max="15369" width="7.140625" style="70" customWidth="1"/>
    <col min="15370" max="15370" width="5.7109375" style="70" customWidth="1"/>
    <col min="15371" max="15371" width="5.85546875" style="70" customWidth="1"/>
    <col min="15372" max="15372" width="8" style="70" customWidth="1"/>
    <col min="15373" max="15373" width="5.140625" style="70" customWidth="1"/>
    <col min="15374" max="15374" width="9.7109375" style="70" customWidth="1"/>
    <col min="15375" max="15375" width="7.42578125" style="70" customWidth="1"/>
    <col min="15376" max="15376" width="6.85546875" style="70" customWidth="1"/>
    <col min="15377" max="15377" width="6" style="70" customWidth="1"/>
    <col min="15378" max="15379" width="7.42578125" style="70" bestFit="1" customWidth="1"/>
    <col min="15380" max="15380" width="16.28515625" style="70" bestFit="1" customWidth="1"/>
    <col min="15381" max="15381" width="3.140625" style="70" customWidth="1"/>
    <col min="15382" max="15382" width="5.5703125" style="70" bestFit="1" customWidth="1"/>
    <col min="15383" max="15383" width="4.42578125" style="70" bestFit="1" customWidth="1"/>
    <col min="15384" max="15386" width="4.5703125" style="70" bestFit="1" customWidth="1"/>
    <col min="15387" max="15387" width="5.42578125" style="70" bestFit="1" customWidth="1"/>
    <col min="15388" max="15388" width="3.28515625" style="70" customWidth="1"/>
    <col min="15389" max="15616" width="11.42578125" style="70"/>
    <col min="15617" max="15617" width="14.85546875" style="70" bestFit="1" customWidth="1"/>
    <col min="15618" max="15618" width="28.28515625" style="70" customWidth="1"/>
    <col min="15619" max="15619" width="4.42578125" style="70" bestFit="1" customWidth="1"/>
    <col min="15620" max="15620" width="4.28515625" style="70" customWidth="1"/>
    <col min="15621" max="15621" width="11.42578125" style="70" customWidth="1"/>
    <col min="15622" max="15622" width="23.5703125" style="70" bestFit="1" customWidth="1"/>
    <col min="15623" max="15623" width="8" style="70" customWidth="1"/>
    <col min="15624" max="15624" width="7.28515625" style="70" customWidth="1"/>
    <col min="15625" max="15625" width="7.140625" style="70" customWidth="1"/>
    <col min="15626" max="15626" width="5.7109375" style="70" customWidth="1"/>
    <col min="15627" max="15627" width="5.85546875" style="70" customWidth="1"/>
    <col min="15628" max="15628" width="8" style="70" customWidth="1"/>
    <col min="15629" max="15629" width="5.140625" style="70" customWidth="1"/>
    <col min="15630" max="15630" width="9.7109375" style="70" customWidth="1"/>
    <col min="15631" max="15631" width="7.42578125" style="70" customWidth="1"/>
    <col min="15632" max="15632" width="6.85546875" style="70" customWidth="1"/>
    <col min="15633" max="15633" width="6" style="70" customWidth="1"/>
    <col min="15634" max="15635" width="7.42578125" style="70" bestFit="1" customWidth="1"/>
    <col min="15636" max="15636" width="16.28515625" style="70" bestFit="1" customWidth="1"/>
    <col min="15637" max="15637" width="3.140625" style="70" customWidth="1"/>
    <col min="15638" max="15638" width="5.5703125" style="70" bestFit="1" customWidth="1"/>
    <col min="15639" max="15639" width="4.42578125" style="70" bestFit="1" customWidth="1"/>
    <col min="15640" max="15642" width="4.5703125" style="70" bestFit="1" customWidth="1"/>
    <col min="15643" max="15643" width="5.42578125" style="70" bestFit="1" customWidth="1"/>
    <col min="15644" max="15644" width="3.28515625" style="70" customWidth="1"/>
    <col min="15645" max="15872" width="11.42578125" style="70"/>
    <col min="15873" max="15873" width="14.85546875" style="70" bestFit="1" customWidth="1"/>
    <col min="15874" max="15874" width="28.28515625" style="70" customWidth="1"/>
    <col min="15875" max="15875" width="4.42578125" style="70" bestFit="1" customWidth="1"/>
    <col min="15876" max="15876" width="4.28515625" style="70" customWidth="1"/>
    <col min="15877" max="15877" width="11.42578125" style="70" customWidth="1"/>
    <col min="15878" max="15878" width="23.5703125" style="70" bestFit="1" customWidth="1"/>
    <col min="15879" max="15879" width="8" style="70" customWidth="1"/>
    <col min="15880" max="15880" width="7.28515625" style="70" customWidth="1"/>
    <col min="15881" max="15881" width="7.140625" style="70" customWidth="1"/>
    <col min="15882" max="15882" width="5.7109375" style="70" customWidth="1"/>
    <col min="15883" max="15883" width="5.85546875" style="70" customWidth="1"/>
    <col min="15884" max="15884" width="8" style="70" customWidth="1"/>
    <col min="15885" max="15885" width="5.140625" style="70" customWidth="1"/>
    <col min="15886" max="15886" width="9.7109375" style="70" customWidth="1"/>
    <col min="15887" max="15887" width="7.42578125" style="70" customWidth="1"/>
    <col min="15888" max="15888" width="6.85546875" style="70" customWidth="1"/>
    <col min="15889" max="15889" width="6" style="70" customWidth="1"/>
    <col min="15890" max="15891" width="7.42578125" style="70" bestFit="1" customWidth="1"/>
    <col min="15892" max="15892" width="16.28515625" style="70" bestFit="1" customWidth="1"/>
    <col min="15893" max="15893" width="3.140625" style="70" customWidth="1"/>
    <col min="15894" max="15894" width="5.5703125" style="70" bestFit="1" customWidth="1"/>
    <col min="15895" max="15895" width="4.42578125" style="70" bestFit="1" customWidth="1"/>
    <col min="15896" max="15898" width="4.5703125" style="70" bestFit="1" customWidth="1"/>
    <col min="15899" max="15899" width="5.42578125" style="70" bestFit="1" customWidth="1"/>
    <col min="15900" max="15900" width="3.28515625" style="70" customWidth="1"/>
    <col min="15901" max="16128" width="11.42578125" style="70"/>
    <col min="16129" max="16129" width="14.85546875" style="70" bestFit="1" customWidth="1"/>
    <col min="16130" max="16130" width="28.28515625" style="70" customWidth="1"/>
    <col min="16131" max="16131" width="4.42578125" style="70" bestFit="1" customWidth="1"/>
    <col min="16132" max="16132" width="4.28515625" style="70" customWidth="1"/>
    <col min="16133" max="16133" width="11.42578125" style="70" customWidth="1"/>
    <col min="16134" max="16134" width="23.5703125" style="70" bestFit="1" customWidth="1"/>
    <col min="16135" max="16135" width="8" style="70" customWidth="1"/>
    <col min="16136" max="16136" width="7.28515625" style="70" customWidth="1"/>
    <col min="16137" max="16137" width="7.140625" style="70" customWidth="1"/>
    <col min="16138" max="16138" width="5.7109375" style="70" customWidth="1"/>
    <col min="16139" max="16139" width="5.85546875" style="70" customWidth="1"/>
    <col min="16140" max="16140" width="8" style="70" customWidth="1"/>
    <col min="16141" max="16141" width="5.140625" style="70" customWidth="1"/>
    <col min="16142" max="16142" width="9.7109375" style="70" customWidth="1"/>
    <col min="16143" max="16143" width="7.42578125" style="70" customWidth="1"/>
    <col min="16144" max="16144" width="6.85546875" style="70" customWidth="1"/>
    <col min="16145" max="16145" width="6" style="70" customWidth="1"/>
    <col min="16146" max="16147" width="7.42578125" style="70" bestFit="1" customWidth="1"/>
    <col min="16148" max="16148" width="16.28515625" style="70" bestFit="1" customWidth="1"/>
    <col min="16149" max="16149" width="3.140625" style="70" customWidth="1"/>
    <col min="16150" max="16150" width="5.5703125" style="70" bestFit="1" customWidth="1"/>
    <col min="16151" max="16151" width="4.42578125" style="70" bestFit="1" customWidth="1"/>
    <col min="16152" max="16154" width="4.5703125" style="70" bestFit="1" customWidth="1"/>
    <col min="16155" max="16155" width="5.42578125" style="70" bestFit="1" customWidth="1"/>
    <col min="16156" max="16156" width="3.28515625" style="70" customWidth="1"/>
    <col min="16157" max="16384" width="11.42578125" style="70"/>
  </cols>
  <sheetData>
    <row r="1" spans="1:32" x14ac:dyDescent="0.2">
      <c r="E1" s="68"/>
      <c r="F1" s="68"/>
      <c r="G1" s="381" t="s">
        <v>12</v>
      </c>
      <c r="H1" s="382"/>
      <c r="I1" s="382"/>
      <c r="J1" s="382"/>
      <c r="K1" s="382"/>
      <c r="L1" s="383"/>
      <c r="M1" s="348"/>
      <c r="N1" s="382" t="s">
        <v>13</v>
      </c>
      <c r="O1" s="382"/>
      <c r="P1" s="382"/>
      <c r="Q1" s="382"/>
      <c r="R1" s="382"/>
      <c r="S1" s="382"/>
      <c r="T1" s="382"/>
      <c r="U1" s="68"/>
      <c r="V1" s="382" t="s">
        <v>14</v>
      </c>
      <c r="W1" s="382"/>
      <c r="X1" s="382"/>
      <c r="Y1" s="382"/>
      <c r="Z1" s="382"/>
      <c r="AA1" s="382"/>
      <c r="AB1" s="187"/>
    </row>
    <row r="2" spans="1:32" ht="15" customHeight="1" x14ac:dyDescent="0.25">
      <c r="E2" s="68"/>
      <c r="F2" s="68"/>
      <c r="G2" s="384" t="s">
        <v>61</v>
      </c>
      <c r="H2" s="385"/>
      <c r="I2" s="386" t="s">
        <v>15</v>
      </c>
      <c r="J2" s="385"/>
      <c r="K2" s="385"/>
      <c r="L2" s="385"/>
      <c r="M2" s="68"/>
      <c r="N2" s="387" t="s">
        <v>16</v>
      </c>
      <c r="O2" s="389" t="s">
        <v>17</v>
      </c>
      <c r="P2" s="390"/>
      <c r="Q2" s="390"/>
      <c r="R2" s="390"/>
      <c r="S2" s="390"/>
      <c r="T2" s="391"/>
      <c r="U2" s="68"/>
      <c r="V2" s="393" t="s">
        <v>18</v>
      </c>
      <c r="W2" s="390"/>
      <c r="X2" s="390"/>
      <c r="Y2" s="390"/>
      <c r="Z2" s="390"/>
      <c r="AA2" s="391"/>
      <c r="AB2" s="188"/>
    </row>
    <row r="3" spans="1:32" s="190" customFormat="1" ht="15" x14ac:dyDescent="0.2">
      <c r="A3" s="189"/>
      <c r="B3" s="189"/>
      <c r="C3" s="189"/>
      <c r="E3" s="191"/>
      <c r="F3" s="191"/>
      <c r="G3" s="192"/>
      <c r="H3" s="192"/>
      <c r="I3" s="394" t="s">
        <v>19</v>
      </c>
      <c r="J3" s="385"/>
      <c r="K3" s="394" t="s">
        <v>20</v>
      </c>
      <c r="L3" s="385"/>
      <c r="N3" s="388"/>
      <c r="O3" s="392"/>
      <c r="P3" s="390"/>
      <c r="Q3" s="390"/>
      <c r="R3" s="390"/>
      <c r="S3" s="390"/>
      <c r="T3" s="391"/>
      <c r="U3" s="191"/>
      <c r="V3" s="392"/>
      <c r="W3" s="383"/>
      <c r="X3" s="383"/>
      <c r="Y3" s="383"/>
      <c r="Z3" s="383"/>
      <c r="AA3" s="391"/>
      <c r="AB3" s="193"/>
    </row>
    <row r="4" spans="1:32" ht="15" x14ac:dyDescent="0.25">
      <c r="A4" s="395" t="s">
        <v>62</v>
      </c>
      <c r="B4" s="396"/>
      <c r="C4" s="396"/>
      <c r="E4" s="194" t="s">
        <v>21</v>
      </c>
      <c r="F4" s="194" t="s">
        <v>22</v>
      </c>
      <c r="G4" s="195"/>
      <c r="H4" s="196" t="s">
        <v>23</v>
      </c>
      <c r="I4" s="197"/>
      <c r="J4" s="362" t="s">
        <v>23</v>
      </c>
      <c r="K4" s="197"/>
      <c r="L4" s="362" t="s">
        <v>23</v>
      </c>
      <c r="N4" s="388"/>
      <c r="O4" s="198" t="s">
        <v>24</v>
      </c>
      <c r="P4" s="198" t="s">
        <v>25</v>
      </c>
      <c r="Q4" s="198" t="s">
        <v>26</v>
      </c>
      <c r="R4" s="199" t="s">
        <v>27</v>
      </c>
      <c r="S4" s="200" t="s">
        <v>28</v>
      </c>
      <c r="T4" s="200" t="s">
        <v>29</v>
      </c>
      <c r="U4" s="201"/>
      <c r="V4" s="202" t="s">
        <v>23</v>
      </c>
      <c r="W4" s="198" t="s">
        <v>30</v>
      </c>
      <c r="X4" s="198" t="s">
        <v>31</v>
      </c>
      <c r="Y4" s="199" t="s">
        <v>32</v>
      </c>
      <c r="Z4" s="200" t="s">
        <v>33</v>
      </c>
      <c r="AA4" s="200" t="s">
        <v>34</v>
      </c>
    </row>
    <row r="5" spans="1:32" ht="15" x14ac:dyDescent="0.25">
      <c r="A5" s="102" t="s">
        <v>23</v>
      </c>
      <c r="C5" s="102">
        <f>SUM(C7:C23)</f>
        <v>185.46950727357458</v>
      </c>
      <c r="E5" s="68"/>
      <c r="F5" s="203" t="s">
        <v>35</v>
      </c>
      <c r="G5" s="203">
        <f>SUM(G7:G18)+G21+G24+SUM(G26:G31)+SUM(G34:G43)</f>
        <v>185.46950727357455</v>
      </c>
      <c r="H5" s="203"/>
      <c r="I5" s="204"/>
      <c r="J5" s="205"/>
      <c r="L5" s="198">
        <v>136.31424342367009</v>
      </c>
      <c r="N5" s="186">
        <f>N7+N21+N26</f>
        <v>79.148273786192277</v>
      </c>
      <c r="O5" s="206"/>
      <c r="P5" s="198"/>
      <c r="Q5" s="198"/>
      <c r="R5" s="199"/>
      <c r="S5" s="200"/>
      <c r="T5" s="207">
        <f>V5</f>
        <v>127.77355793507806</v>
      </c>
      <c r="U5" s="201"/>
      <c r="V5" s="208">
        <f>V7+V21+V26+V34</f>
        <v>127.77355793507806</v>
      </c>
      <c r="W5" s="198">
        <f>W7+W21+W26+SUM(W34:W43)</f>
        <v>3.095612562600162</v>
      </c>
      <c r="X5" s="198">
        <f t="shared" ref="X5:AA5" si="0">X7+X21+X26+SUM(X34:X43)</f>
        <v>34.464415208624601</v>
      </c>
      <c r="Y5" s="198">
        <f t="shared" si="0"/>
        <v>34.141303429998864</v>
      </c>
      <c r="Z5" s="198">
        <f t="shared" si="0"/>
        <v>19.990043354418262</v>
      </c>
      <c r="AA5" s="198">
        <f t="shared" si="0"/>
        <v>36.071264330599767</v>
      </c>
    </row>
    <row r="6" spans="1:32" x14ac:dyDescent="0.2"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>
        <v>2.7332485702672681E-2</v>
      </c>
      <c r="X6" s="68">
        <v>0.27725639551465003</v>
      </c>
      <c r="Y6" s="68">
        <v>0.33390777300040336</v>
      </c>
      <c r="Z6" s="68">
        <v>0.30485180277447149</v>
      </c>
      <c r="AA6" s="68">
        <v>5.6651543007802389E-2</v>
      </c>
      <c r="AB6" s="209"/>
      <c r="AF6" s="330" t="s">
        <v>320</v>
      </c>
    </row>
    <row r="7" spans="1:32" x14ac:dyDescent="0.2">
      <c r="A7" s="102" t="s">
        <v>63</v>
      </c>
      <c r="B7" s="102" t="s">
        <v>64</v>
      </c>
      <c r="C7" s="92">
        <f>G13+G29+G35+G22</f>
        <v>17.790614390095044</v>
      </c>
      <c r="E7" s="397" t="s">
        <v>28</v>
      </c>
      <c r="F7" s="68" t="s">
        <v>36</v>
      </c>
      <c r="G7" s="68">
        <f>I7+K7</f>
        <v>9.8811809465741511</v>
      </c>
      <c r="H7" s="399">
        <f>SUM(G7:G19)</f>
        <v>90.778609373963178</v>
      </c>
      <c r="I7" s="210"/>
      <c r="J7" s="398">
        <f>SUM(I7:I19)</f>
        <v>46.274826203510294</v>
      </c>
      <c r="K7" s="68">
        <v>9.8811809465741511</v>
      </c>
      <c r="L7" s="398">
        <f>SUM(K7:K19)</f>
        <v>44.503783170452913</v>
      </c>
      <c r="N7" s="399">
        <f>L7</f>
        <v>44.503783170452913</v>
      </c>
      <c r="O7" s="211"/>
      <c r="P7" s="211"/>
      <c r="Q7" s="211"/>
      <c r="R7" s="347"/>
      <c r="S7" s="212"/>
      <c r="T7" s="401">
        <f>N7-O12-P12-Q12-R12-S12</f>
        <v>37.19133242311154</v>
      </c>
      <c r="U7" s="213"/>
      <c r="V7" s="400">
        <f>T7</f>
        <v>37.19133242311154</v>
      </c>
      <c r="W7" s="332">
        <f>$V$7*W6</f>
        <v>1.016531561718043</v>
      </c>
      <c r="X7" s="332">
        <f>$V$7*X6</f>
        <v>10.311534772019041</v>
      </c>
      <c r="Y7" s="332">
        <f>$V$7*Y6</f>
        <v>12.41847498431887</v>
      </c>
      <c r="Z7" s="332">
        <f>$V$7*Z6</f>
        <v>11.337844736770206</v>
      </c>
      <c r="AA7" s="332">
        <f>$V$7*AA6</f>
        <v>2.1069463682853788</v>
      </c>
      <c r="AB7" s="214"/>
      <c r="AE7" s="70" t="s">
        <v>39</v>
      </c>
      <c r="AF7" s="363">
        <v>0.67</v>
      </c>
    </row>
    <row r="8" spans="1:32" x14ac:dyDescent="0.2">
      <c r="B8" s="102" t="s">
        <v>36</v>
      </c>
      <c r="C8" s="92">
        <f>G7</f>
        <v>9.8811809465741511</v>
      </c>
      <c r="E8" s="397"/>
      <c r="F8" s="68" t="s">
        <v>37</v>
      </c>
      <c r="G8" s="68">
        <f t="shared" ref="G8:G18" si="1">I8+K8</f>
        <v>5.6060607451821554</v>
      </c>
      <c r="H8" s="399"/>
      <c r="I8" s="210"/>
      <c r="J8" s="398"/>
      <c r="K8" s="68">
        <v>5.6060607451821554</v>
      </c>
      <c r="L8" s="398"/>
      <c r="N8" s="399"/>
      <c r="O8" s="211"/>
      <c r="P8" s="211"/>
      <c r="Q8" s="211"/>
      <c r="R8" s="347"/>
      <c r="S8" s="212"/>
      <c r="T8" s="401"/>
      <c r="U8" s="213"/>
      <c r="V8" s="400"/>
      <c r="W8" s="332"/>
      <c r="X8" s="332"/>
      <c r="Y8" s="332"/>
      <c r="Z8" s="332"/>
      <c r="AA8" s="332"/>
      <c r="AB8" s="214"/>
      <c r="AE8" s="70" t="s">
        <v>40</v>
      </c>
      <c r="AF8" s="363">
        <v>0.43749999999999994</v>
      </c>
    </row>
    <row r="9" spans="1:32" x14ac:dyDescent="0.2">
      <c r="B9" s="102" t="s">
        <v>65</v>
      </c>
      <c r="C9" s="92">
        <f>G11+G26+G34+G21</f>
        <v>5.2402783603977552</v>
      </c>
      <c r="E9" s="397"/>
      <c r="F9" s="68" t="s">
        <v>38</v>
      </c>
      <c r="G9" s="68">
        <f t="shared" si="1"/>
        <v>4.9805941041412307</v>
      </c>
      <c r="H9" s="399"/>
      <c r="I9" s="210"/>
      <c r="J9" s="398"/>
      <c r="K9" s="68">
        <v>4.9805941041412307</v>
      </c>
      <c r="L9" s="398"/>
      <c r="N9" s="399"/>
      <c r="O9" s="211"/>
      <c r="P9" s="211"/>
      <c r="Q9" s="211"/>
      <c r="R9" s="347"/>
      <c r="S9" s="212"/>
      <c r="T9" s="401"/>
      <c r="U9" s="213"/>
      <c r="V9" s="400"/>
      <c r="W9" s="332"/>
      <c r="X9" s="332"/>
      <c r="Y9" s="332"/>
      <c r="Z9" s="332"/>
      <c r="AA9" s="332"/>
      <c r="AB9" s="214"/>
      <c r="AE9" s="70" t="s">
        <v>41</v>
      </c>
      <c r="AF9" s="363">
        <v>0.73</v>
      </c>
    </row>
    <row r="10" spans="1:32" x14ac:dyDescent="0.2">
      <c r="B10" s="102" t="s">
        <v>43</v>
      </c>
      <c r="C10" s="92">
        <f>G14+G30+G37</f>
        <v>2.9728770060540635</v>
      </c>
      <c r="E10" s="397"/>
      <c r="F10" s="68" t="s">
        <v>39</v>
      </c>
      <c r="G10" s="68">
        <f t="shared" si="1"/>
        <v>56.880971161190033</v>
      </c>
      <c r="H10" s="399"/>
      <c r="I10" s="210">
        <f>K10*AF7/(1-AF7)</f>
        <v>38.110250677997321</v>
      </c>
      <c r="J10" s="398"/>
      <c r="K10" s="68">
        <v>18.770720483192708</v>
      </c>
      <c r="L10" s="398"/>
      <c r="N10" s="399"/>
      <c r="O10" s="211"/>
      <c r="P10" s="211"/>
      <c r="Q10" s="211"/>
      <c r="R10" s="347"/>
      <c r="S10" s="212"/>
      <c r="T10" s="401"/>
      <c r="U10" s="213"/>
      <c r="V10" s="400"/>
      <c r="W10" s="332"/>
      <c r="X10" s="332"/>
      <c r="Y10" s="332"/>
      <c r="Z10" s="332"/>
      <c r="AA10" s="332"/>
      <c r="AB10" s="214"/>
      <c r="AE10" s="70" t="s">
        <v>42</v>
      </c>
      <c r="AF10" s="363">
        <v>0.73</v>
      </c>
    </row>
    <row r="11" spans="1:32" x14ac:dyDescent="0.2">
      <c r="B11" s="102" t="s">
        <v>37</v>
      </c>
      <c r="C11" s="92">
        <f>G8</f>
        <v>5.6060607451821554</v>
      </c>
      <c r="E11" s="397"/>
      <c r="F11" s="68" t="s">
        <v>40</v>
      </c>
      <c r="G11" s="68">
        <f t="shared" si="1"/>
        <v>0.68802668829365987</v>
      </c>
      <c r="H11" s="399"/>
      <c r="I11" s="210">
        <f t="shared" ref="I11:I18" si="2">K11*AF8/(1-AF8)</f>
        <v>0.30101167612847618</v>
      </c>
      <c r="J11" s="398"/>
      <c r="K11" s="68">
        <v>0.38701501216518369</v>
      </c>
      <c r="L11" s="398"/>
      <c r="N11" s="399"/>
      <c r="O11" s="211"/>
      <c r="P11" s="211"/>
      <c r="Q11" s="211"/>
      <c r="R11" s="347"/>
      <c r="S11" s="212"/>
      <c r="T11" s="401"/>
      <c r="U11" s="213"/>
      <c r="V11" s="400"/>
      <c r="W11" s="332"/>
      <c r="X11" s="332"/>
      <c r="Y11" s="332"/>
      <c r="Z11" s="332"/>
      <c r="AA11" s="332"/>
      <c r="AB11" s="214"/>
      <c r="AE11" s="70" t="s">
        <v>43</v>
      </c>
      <c r="AF11" s="363">
        <v>0.90000000000000013</v>
      </c>
    </row>
    <row r="12" spans="1:32" x14ac:dyDescent="0.2">
      <c r="B12" s="102" t="s">
        <v>38</v>
      </c>
      <c r="C12" s="92">
        <f>G9</f>
        <v>4.9805941041412307</v>
      </c>
      <c r="E12" s="397"/>
      <c r="F12" s="68" t="s">
        <v>41</v>
      </c>
      <c r="G12" s="68">
        <f t="shared" si="1"/>
        <v>0.9177983763964116</v>
      </c>
      <c r="H12" s="399"/>
      <c r="I12" s="210">
        <f t="shared" si="2"/>
        <v>0.66999281476938044</v>
      </c>
      <c r="J12" s="398"/>
      <c r="K12" s="68">
        <v>0.24780556162703113</v>
      </c>
      <c r="L12" s="398"/>
      <c r="N12" s="399"/>
      <c r="O12" s="211">
        <f>N7*0.07</f>
        <v>3.1152648219317043</v>
      </c>
      <c r="P12" s="211">
        <v>2.2486486486486124</v>
      </c>
      <c r="Q12" s="211">
        <v>1.9484875724287203</v>
      </c>
      <c r="R12" s="347">
        <v>4.9704332343774785E-5</v>
      </c>
      <c r="S12" s="212"/>
      <c r="T12" s="401"/>
      <c r="U12" s="213"/>
      <c r="V12" s="400"/>
      <c r="W12" s="332"/>
      <c r="X12" s="332"/>
      <c r="Y12" s="332"/>
      <c r="Z12" s="332"/>
      <c r="AA12" s="332"/>
      <c r="AB12" s="214"/>
      <c r="AE12" s="70" t="s">
        <v>44</v>
      </c>
      <c r="AF12" s="363"/>
    </row>
    <row r="13" spans="1:32" x14ac:dyDescent="0.2">
      <c r="B13" s="102" t="s">
        <v>107</v>
      </c>
      <c r="C13" s="92">
        <f>G39</f>
        <v>3</v>
      </c>
      <c r="E13" s="397"/>
      <c r="F13" s="68" t="s">
        <v>42</v>
      </c>
      <c r="G13" s="68">
        <f t="shared" si="1"/>
        <v>3.7034529418850735</v>
      </c>
      <c r="H13" s="399"/>
      <c r="I13" s="210">
        <f t="shared" si="2"/>
        <v>2.7035206475761036</v>
      </c>
      <c r="J13" s="398"/>
      <c r="K13" s="68">
        <v>0.9999322943089699</v>
      </c>
      <c r="L13" s="398"/>
      <c r="N13" s="399"/>
      <c r="O13" s="211"/>
      <c r="P13" s="211"/>
      <c r="Q13" s="211"/>
      <c r="R13" s="347"/>
      <c r="S13" s="212"/>
      <c r="T13" s="401"/>
      <c r="U13" s="68"/>
      <c r="V13" s="400"/>
      <c r="W13" s="332"/>
      <c r="X13" s="332"/>
      <c r="Y13" s="332"/>
      <c r="Z13" s="332"/>
      <c r="AA13" s="332"/>
      <c r="AB13" s="214"/>
      <c r="AE13" s="70" t="s">
        <v>45</v>
      </c>
      <c r="AF13" s="363">
        <v>0.73</v>
      </c>
    </row>
    <row r="14" spans="1:32" x14ac:dyDescent="0.2">
      <c r="B14" s="102" t="s">
        <v>66</v>
      </c>
      <c r="C14" s="92">
        <f>G38</f>
        <v>1.8351839637785343</v>
      </c>
      <c r="E14" s="397"/>
      <c r="F14" s="68" t="s">
        <v>43</v>
      </c>
      <c r="G14" s="68">
        <f t="shared" si="1"/>
        <v>0.47287700605406352</v>
      </c>
      <c r="H14" s="399"/>
      <c r="I14" s="210">
        <f t="shared" si="2"/>
        <v>0.42558930544865725</v>
      </c>
      <c r="J14" s="398"/>
      <c r="K14" s="68">
        <v>4.728770060540629E-2</v>
      </c>
      <c r="L14" s="398"/>
      <c r="N14" s="399"/>
      <c r="O14" s="211"/>
      <c r="P14" s="211"/>
      <c r="Q14" s="211"/>
      <c r="R14" s="347"/>
      <c r="S14" s="212"/>
      <c r="T14" s="401"/>
      <c r="U14" s="68"/>
      <c r="V14" s="400"/>
      <c r="W14" s="332"/>
      <c r="X14" s="332"/>
      <c r="Y14" s="332"/>
      <c r="Z14" s="332"/>
      <c r="AA14" s="332"/>
      <c r="AB14" s="214"/>
      <c r="AE14" s="70" t="s">
        <v>129</v>
      </c>
      <c r="AF14" s="363">
        <f>AF15</f>
        <v>0.65390243902439027</v>
      </c>
    </row>
    <row r="15" spans="1:32" x14ac:dyDescent="0.2">
      <c r="B15" s="102" t="s">
        <v>50</v>
      </c>
      <c r="C15" s="92">
        <f>G31+G36</f>
        <v>0.9710985890996503</v>
      </c>
      <c r="E15" s="397"/>
      <c r="F15" s="68" t="s">
        <v>44</v>
      </c>
      <c r="G15" s="68">
        <f t="shared" si="1"/>
        <v>0.97194045275411034</v>
      </c>
      <c r="H15" s="399"/>
      <c r="I15" s="210"/>
      <c r="J15" s="398"/>
      <c r="K15" s="68">
        <v>0.97194045275411034</v>
      </c>
      <c r="L15" s="398"/>
      <c r="N15" s="399"/>
      <c r="O15" s="211"/>
      <c r="P15" s="211"/>
      <c r="Q15" s="211"/>
      <c r="R15" s="347"/>
      <c r="S15" s="212"/>
      <c r="T15" s="401"/>
      <c r="U15" s="68"/>
      <c r="V15" s="400"/>
      <c r="W15" s="332"/>
      <c r="X15" s="332"/>
      <c r="Y15" s="332"/>
      <c r="Z15" s="332"/>
      <c r="AA15" s="332"/>
      <c r="AB15" s="214"/>
      <c r="AE15" s="70" t="s">
        <v>58</v>
      </c>
      <c r="AF15" s="363">
        <f>(4.92-1.7028)/4.92</f>
        <v>0.65390243902439027</v>
      </c>
    </row>
    <row r="16" spans="1:32" x14ac:dyDescent="0.2">
      <c r="B16" s="102" t="s">
        <v>57</v>
      </c>
      <c r="C16" s="92">
        <f>(G12+G16+G27+G28+G42)/2</f>
        <v>1.4764726960921883</v>
      </c>
      <c r="E16" s="397"/>
      <c r="F16" s="68" t="s">
        <v>45</v>
      </c>
      <c r="G16" s="68">
        <f t="shared" si="1"/>
        <v>1.6987664523882241E-54</v>
      </c>
      <c r="H16" s="399"/>
      <c r="I16" s="210">
        <f t="shared" si="2"/>
        <v>1.2400995102434034E-54</v>
      </c>
      <c r="J16" s="398"/>
      <c r="K16" s="68">
        <v>4.5866694214482053E-55</v>
      </c>
      <c r="L16" s="398"/>
      <c r="N16" s="399"/>
      <c r="O16" s="211"/>
      <c r="P16" s="211"/>
      <c r="Q16" s="211"/>
      <c r="R16" s="347"/>
      <c r="S16" s="212"/>
      <c r="T16" s="401"/>
      <c r="U16" s="68"/>
      <c r="V16" s="400"/>
      <c r="W16" s="332"/>
      <c r="X16" s="332"/>
      <c r="Y16" s="332"/>
      <c r="Z16" s="332"/>
      <c r="AA16" s="332"/>
      <c r="AB16" s="214"/>
      <c r="AE16" s="70" t="s">
        <v>46</v>
      </c>
      <c r="AF16" s="363">
        <v>0.4375</v>
      </c>
    </row>
    <row r="17" spans="1:29" x14ac:dyDescent="0.2">
      <c r="B17" s="102" t="s">
        <v>67</v>
      </c>
      <c r="C17" s="92">
        <f>G15</f>
        <v>0.97194045275411034</v>
      </c>
      <c r="E17" s="397"/>
      <c r="F17" s="68" t="s">
        <v>129</v>
      </c>
      <c r="G17" s="68">
        <f t="shared" si="1"/>
        <v>0.72530712530713748</v>
      </c>
      <c r="H17" s="399"/>
      <c r="I17" s="210">
        <f t="shared" si="2"/>
        <v>0.47428009828010625</v>
      </c>
      <c r="J17" s="398"/>
      <c r="K17" s="68">
        <v>0.25102702702703122</v>
      </c>
      <c r="L17" s="398"/>
      <c r="N17" s="399"/>
      <c r="O17" s="211"/>
      <c r="P17" s="211"/>
      <c r="Q17" s="211"/>
      <c r="R17" s="347"/>
      <c r="S17" s="212"/>
      <c r="T17" s="401"/>
      <c r="U17" s="68"/>
      <c r="V17" s="400"/>
      <c r="W17" s="332"/>
      <c r="X17" s="332"/>
      <c r="Y17" s="332"/>
      <c r="Z17" s="332"/>
      <c r="AA17" s="332"/>
      <c r="AB17" s="214"/>
    </row>
    <row r="18" spans="1:29" x14ac:dyDescent="0.2">
      <c r="C18" s="89"/>
      <c r="E18" s="397"/>
      <c r="F18" s="68" t="s">
        <v>58</v>
      </c>
      <c r="G18" s="68">
        <f t="shared" si="1"/>
        <v>2.6594594594595042</v>
      </c>
      <c r="H18" s="399"/>
      <c r="I18" s="210">
        <f t="shared" si="2"/>
        <v>1.7390270270270562</v>
      </c>
      <c r="J18" s="398"/>
      <c r="K18" s="68">
        <v>0.92043243243244788</v>
      </c>
      <c r="L18" s="398"/>
      <c r="N18" s="399"/>
      <c r="O18" s="211"/>
      <c r="P18" s="211"/>
      <c r="Q18" s="211"/>
      <c r="R18" s="347"/>
      <c r="S18" s="212"/>
      <c r="T18" s="401"/>
      <c r="U18" s="68"/>
      <c r="V18" s="400"/>
      <c r="W18" s="332"/>
      <c r="X18" s="332"/>
      <c r="Y18" s="332"/>
      <c r="Z18" s="332"/>
      <c r="AA18" s="332"/>
      <c r="AB18" s="214"/>
    </row>
    <row r="19" spans="1:29" x14ac:dyDescent="0.2">
      <c r="A19" s="102" t="s">
        <v>68</v>
      </c>
      <c r="B19" s="102" t="s">
        <v>39</v>
      </c>
      <c r="C19" s="92">
        <f>G10</f>
        <v>56.880971161190033</v>
      </c>
      <c r="E19" s="397"/>
      <c r="F19" s="68" t="s">
        <v>46</v>
      </c>
      <c r="G19" s="68">
        <f>S21</f>
        <v>3.2909403667256698</v>
      </c>
      <c r="H19" s="399"/>
      <c r="I19" s="210">
        <f>G19*(1-0.4375)</f>
        <v>1.8511539562831894</v>
      </c>
      <c r="J19" s="398"/>
      <c r="K19" s="68">
        <f>G19-I19</f>
        <v>1.4397864104424805</v>
      </c>
      <c r="L19" s="398"/>
      <c r="N19" s="399"/>
      <c r="O19" s="211"/>
      <c r="P19" s="211"/>
      <c r="Q19" s="211"/>
      <c r="R19" s="347"/>
      <c r="S19" s="212"/>
      <c r="T19" s="401"/>
      <c r="U19" s="68"/>
      <c r="V19" s="400"/>
      <c r="W19" s="332"/>
      <c r="X19" s="332"/>
      <c r="Y19" s="332"/>
      <c r="Z19" s="332"/>
      <c r="AA19" s="332"/>
      <c r="AB19" s="214"/>
    </row>
    <row r="20" spans="1:29" x14ac:dyDescent="0.2">
      <c r="B20" s="102" t="s">
        <v>49</v>
      </c>
      <c r="C20" s="92">
        <f>G24</f>
        <v>21.764525227351164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>
        <v>4.4856620298909827E-2</v>
      </c>
      <c r="X20" s="68">
        <v>0.41498383984389475</v>
      </c>
      <c r="Y20" s="68">
        <v>0.38133979308078914</v>
      </c>
      <c r="Z20" s="68">
        <v>0.1588197467764062</v>
      </c>
      <c r="AA20" s="68">
        <v>0</v>
      </c>
    </row>
    <row r="21" spans="1:29" x14ac:dyDescent="0.2">
      <c r="B21" s="102" t="s">
        <v>69</v>
      </c>
      <c r="C21" s="92">
        <f>G40+G41+G17</f>
        <v>42.902964288492512</v>
      </c>
      <c r="E21" s="410" t="s">
        <v>26</v>
      </c>
      <c r="F21" s="68" t="s">
        <v>40</v>
      </c>
      <c r="G21" s="70">
        <v>3.8522516721040949</v>
      </c>
      <c r="H21" s="404">
        <f>SUM(G21:G24)</f>
        <v>27.565264471883978</v>
      </c>
      <c r="J21" s="405">
        <f>SUM(I21:I24)</f>
        <v>0.38969751448574408</v>
      </c>
      <c r="K21" s="70">
        <v>3.8522516721040949</v>
      </c>
      <c r="L21" s="406">
        <f>SUM(K21:K24)</f>
        <v>27.175566957398235</v>
      </c>
      <c r="M21" s="68"/>
      <c r="N21" s="404">
        <f>L21</f>
        <v>27.175566957398235</v>
      </c>
      <c r="O21" s="403">
        <f>N21*0.00678</f>
        <v>0.18425034397116002</v>
      </c>
      <c r="P21" s="403"/>
      <c r="Q21" s="403"/>
      <c r="R21" s="403">
        <v>2.1967276335319958</v>
      </c>
      <c r="S21" s="403">
        <v>3.2909403667256698</v>
      </c>
      <c r="T21" s="403">
        <f>N21-S21-R21-O21</f>
        <v>21.503648613169407</v>
      </c>
      <c r="U21" s="68"/>
      <c r="V21" s="402">
        <f>T21</f>
        <v>21.503648613169407</v>
      </c>
      <c r="W21" s="331">
        <f>W20*$V$21</f>
        <v>0.96458100088211896</v>
      </c>
      <c r="X21" s="331">
        <f>X20*$V$21</f>
        <v>8.9236666721468829</v>
      </c>
      <c r="Y21" s="331">
        <f>Y20*$V$21</f>
        <v>8.2001969126280194</v>
      </c>
      <c r="Z21" s="331">
        <f>Z20*$V$21</f>
        <v>3.4152040275123836</v>
      </c>
      <c r="AA21" s="331"/>
      <c r="AC21" s="70">
        <v>3.0074867637784979</v>
      </c>
    </row>
    <row r="22" spans="1:29" x14ac:dyDescent="0.2">
      <c r="B22" s="102" t="s">
        <v>58</v>
      </c>
      <c r="C22" s="92">
        <f>G43+G18</f>
        <v>7.718272646279785</v>
      </c>
      <c r="E22" s="410"/>
      <c r="F22" s="68" t="s">
        <v>47</v>
      </c>
      <c r="H22" s="404"/>
      <c r="J22" s="405"/>
      <c r="L22" s="406"/>
      <c r="M22" s="68"/>
      <c r="N22" s="404"/>
      <c r="O22" s="403"/>
      <c r="P22" s="403"/>
      <c r="Q22" s="403"/>
      <c r="R22" s="403"/>
      <c r="S22" s="403"/>
      <c r="T22" s="403"/>
      <c r="U22" s="68"/>
      <c r="V22" s="402"/>
      <c r="W22" s="331"/>
      <c r="X22" s="331"/>
      <c r="Y22" s="331"/>
      <c r="Z22" s="331"/>
      <c r="AA22" s="331"/>
    </row>
    <row r="23" spans="1:29" x14ac:dyDescent="0.2">
      <c r="B23" s="102" t="s">
        <v>57</v>
      </c>
      <c r="C23" s="92">
        <f>C16</f>
        <v>1.4764726960921883</v>
      </c>
      <c r="E23" s="410"/>
      <c r="F23" s="68" t="s">
        <v>48</v>
      </c>
      <c r="G23" s="70">
        <f>Q12</f>
        <v>1.9484875724287203</v>
      </c>
      <c r="H23" s="404"/>
      <c r="I23" s="70">
        <f>G23*0.2</f>
        <v>0.38969751448574408</v>
      </c>
      <c r="J23" s="405"/>
      <c r="K23" s="70">
        <f>G23-I23</f>
        <v>1.5587900579429763</v>
      </c>
      <c r="L23" s="406"/>
      <c r="M23" s="68"/>
      <c r="N23" s="404"/>
      <c r="O23" s="403"/>
      <c r="P23" s="403"/>
      <c r="Q23" s="403"/>
      <c r="R23" s="403"/>
      <c r="S23" s="403"/>
      <c r="T23" s="403"/>
      <c r="U23" s="68"/>
      <c r="V23" s="402"/>
      <c r="W23" s="331"/>
      <c r="X23" s="331"/>
      <c r="Y23" s="331"/>
      <c r="Z23" s="331"/>
      <c r="AA23" s="331"/>
    </row>
    <row r="24" spans="1:29" x14ac:dyDescent="0.2">
      <c r="E24" s="410"/>
      <c r="F24" s="68" t="s">
        <v>49</v>
      </c>
      <c r="G24" s="70">
        <v>21.764525227351164</v>
      </c>
      <c r="H24" s="404"/>
      <c r="J24" s="405"/>
      <c r="K24" s="70">
        <f>G24</f>
        <v>21.764525227351164</v>
      </c>
      <c r="L24" s="406"/>
      <c r="M24" s="215"/>
      <c r="N24" s="404"/>
      <c r="O24" s="403"/>
      <c r="P24" s="403"/>
      <c r="Q24" s="403"/>
      <c r="R24" s="403"/>
      <c r="S24" s="403"/>
      <c r="T24" s="403"/>
      <c r="U24" s="68"/>
      <c r="V24" s="402"/>
      <c r="W24" s="331"/>
      <c r="X24" s="331"/>
      <c r="Y24" s="331"/>
      <c r="Z24" s="331"/>
      <c r="AA24" s="331"/>
      <c r="AC24" s="70">
        <v>18.483209449538951</v>
      </c>
    </row>
    <row r="25" spans="1:29" x14ac:dyDescent="0.2"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>
        <v>3.9518988069861143E-2</v>
      </c>
      <c r="Y25" s="68">
        <v>0.54194049989819704</v>
      </c>
      <c r="Z25" s="68">
        <v>0.4168205955742102</v>
      </c>
      <c r="AA25" s="68"/>
    </row>
    <row r="26" spans="1:29" x14ac:dyDescent="0.2">
      <c r="D26" s="70">
        <f>J26</f>
        <v>1.4104947114247173</v>
      </c>
      <c r="E26" s="413" t="s">
        <v>27</v>
      </c>
      <c r="F26" s="68" t="s">
        <v>40</v>
      </c>
      <c r="G26" s="68">
        <v>0.4</v>
      </c>
      <c r="H26" s="407">
        <f>SUM(G26:G32)</f>
        <v>8.8794183697658475</v>
      </c>
      <c r="I26" s="356">
        <f>'FLUX 2050'!I26/'FLUX 2050'!$D$26*'FLUX 2030'!$D$26</f>
        <v>7.1630600226354091E-2</v>
      </c>
      <c r="J26" s="409">
        <v>1.4104947114247173</v>
      </c>
      <c r="K26" s="216">
        <f>G26-I26</f>
        <v>0.32836939977364593</v>
      </c>
      <c r="L26" s="414">
        <f>H26-J26</f>
        <v>7.4689236583411303</v>
      </c>
      <c r="M26" s="68"/>
      <c r="N26" s="407">
        <f>L26</f>
        <v>7.4689236583411303</v>
      </c>
      <c r="O26" s="411">
        <v>1.120331093101318</v>
      </c>
      <c r="P26" s="217"/>
      <c r="Q26" s="217"/>
      <c r="R26" s="344"/>
      <c r="S26" s="346"/>
      <c r="T26" s="411">
        <f>N26-O26</f>
        <v>6.3485925652398123</v>
      </c>
      <c r="U26" s="68"/>
      <c r="V26" s="416">
        <f>T26</f>
        <v>6.3485925652398123</v>
      </c>
      <c r="W26" s="411"/>
      <c r="X26" s="411">
        <f>X25*$V$26</f>
        <v>0.25088995384612128</v>
      </c>
      <c r="Y26" s="411">
        <f>Y25*$V$26</f>
        <v>3.4405594284560408</v>
      </c>
      <c r="Z26" s="411">
        <f>Z25*$V$26</f>
        <v>2.6462241341012613</v>
      </c>
      <c r="AA26" s="411"/>
    </row>
    <row r="27" spans="1:29" x14ac:dyDescent="0.2">
      <c r="E27" s="413"/>
      <c r="F27" s="68" t="s">
        <v>41</v>
      </c>
      <c r="G27" s="68">
        <v>0.76570000000000005</v>
      </c>
      <c r="H27" s="407"/>
      <c r="I27" s="356">
        <f>'FLUX 2050'!I27/'FLUX 2050'!$D$26*'FLUX 2030'!$D$26</f>
        <v>0.12535355039611965</v>
      </c>
      <c r="J27" s="409"/>
      <c r="K27" s="216">
        <f t="shared" ref="K27:K32" si="3">G27-I27</f>
        <v>0.64034644960388043</v>
      </c>
      <c r="L27" s="414"/>
      <c r="M27" s="68"/>
      <c r="N27" s="407"/>
      <c r="O27" s="415"/>
      <c r="P27" s="217"/>
      <c r="Q27" s="217"/>
      <c r="R27" s="344"/>
      <c r="S27" s="346"/>
      <c r="T27" s="411"/>
      <c r="U27" s="68"/>
      <c r="V27" s="416"/>
      <c r="W27" s="411"/>
      <c r="X27" s="411"/>
      <c r="Y27" s="411"/>
      <c r="Z27" s="411"/>
      <c r="AA27" s="411"/>
    </row>
    <row r="28" spans="1:29" x14ac:dyDescent="0.2">
      <c r="E28" s="413"/>
      <c r="F28" s="68" t="s">
        <v>45</v>
      </c>
      <c r="G28" s="68">
        <v>0.4</v>
      </c>
      <c r="H28" s="407"/>
      <c r="I28" s="356">
        <f>'FLUX 2050'!I28/'FLUX 2050'!$D$26*'FLUX 2030'!$D$26</f>
        <v>8.9538250282942627E-2</v>
      </c>
      <c r="J28" s="409"/>
      <c r="K28" s="216">
        <f t="shared" si="3"/>
        <v>0.31046174971705742</v>
      </c>
      <c r="L28" s="414"/>
      <c r="M28" s="68"/>
      <c r="N28" s="407"/>
      <c r="O28" s="415"/>
      <c r="P28" s="217"/>
      <c r="Q28" s="217"/>
      <c r="R28" s="344"/>
      <c r="S28" s="346"/>
      <c r="T28" s="411"/>
      <c r="U28" s="68"/>
      <c r="V28" s="416"/>
      <c r="W28" s="411"/>
      <c r="X28" s="411"/>
      <c r="Y28" s="411"/>
      <c r="Z28" s="411"/>
      <c r="AA28" s="411"/>
    </row>
    <row r="29" spans="1:29" x14ac:dyDescent="0.2">
      <c r="E29" s="413"/>
      <c r="F29" s="68" t="s">
        <v>42</v>
      </c>
      <c r="G29" s="68">
        <v>3.9619410319015076</v>
      </c>
      <c r="H29" s="407"/>
      <c r="I29" s="356">
        <f>'FLUX 2050'!I29/'FLUX 2050'!$D$26*'FLUX 2030'!$D$26</f>
        <v>0.6762810591045878</v>
      </c>
      <c r="J29" s="409"/>
      <c r="K29" s="216">
        <f t="shared" si="3"/>
        <v>3.2856599727969198</v>
      </c>
      <c r="L29" s="414"/>
      <c r="M29" s="68"/>
      <c r="N29" s="407"/>
      <c r="O29" s="415"/>
      <c r="P29" s="217"/>
      <c r="Q29" s="217"/>
      <c r="R29" s="344"/>
      <c r="S29" s="346"/>
      <c r="T29" s="411"/>
      <c r="U29" s="68"/>
      <c r="V29" s="416"/>
      <c r="W29" s="411"/>
      <c r="X29" s="411"/>
      <c r="Y29" s="411"/>
      <c r="Z29" s="411"/>
      <c r="AA29" s="411"/>
    </row>
    <row r="30" spans="1:29" x14ac:dyDescent="0.2">
      <c r="E30" s="413"/>
      <c r="F30" s="68" t="s">
        <v>43</v>
      </c>
      <c r="G30" s="68">
        <v>1</v>
      </c>
      <c r="H30" s="407"/>
      <c r="I30" s="356">
        <f>'FLUX 2050'!I30/'FLUX 2050'!$D$26*'FLUX 2030'!$D$26</f>
        <v>0.41187595130153604</v>
      </c>
      <c r="J30" s="409"/>
      <c r="K30" s="216">
        <f t="shared" si="3"/>
        <v>0.58812404869846402</v>
      </c>
      <c r="L30" s="414"/>
      <c r="M30" s="68"/>
      <c r="N30" s="407"/>
      <c r="O30" s="415"/>
      <c r="P30" s="217"/>
      <c r="Q30" s="217"/>
      <c r="R30" s="344"/>
      <c r="S30" s="346"/>
      <c r="T30" s="411"/>
      <c r="U30" s="68"/>
      <c r="V30" s="416"/>
      <c r="W30" s="411"/>
      <c r="X30" s="411"/>
      <c r="Y30" s="411"/>
      <c r="Z30" s="411"/>
      <c r="AA30" s="411"/>
    </row>
    <row r="31" spans="1:29" x14ac:dyDescent="0.2">
      <c r="E31" s="413"/>
      <c r="F31" s="68" t="s">
        <v>50</v>
      </c>
      <c r="G31" s="68">
        <v>0.155</v>
      </c>
      <c r="H31" s="407"/>
      <c r="I31" s="356">
        <f>'FLUX 2050'!I31/'FLUX 2050'!$D$26*'FLUX 2030'!$D$26</f>
        <v>3.5815300113177045E-2</v>
      </c>
      <c r="J31" s="409"/>
      <c r="K31" s="216">
        <f t="shared" si="3"/>
        <v>0.11918469988682295</v>
      </c>
      <c r="L31" s="414"/>
      <c r="M31" s="68"/>
      <c r="N31" s="407"/>
      <c r="O31" s="415"/>
      <c r="P31" s="217"/>
      <c r="Q31" s="217"/>
      <c r="R31" s="344"/>
      <c r="S31" s="346"/>
      <c r="T31" s="411"/>
      <c r="U31" s="68"/>
      <c r="V31" s="416"/>
      <c r="W31" s="411"/>
      <c r="X31" s="411"/>
      <c r="Y31" s="411"/>
      <c r="Z31" s="411"/>
      <c r="AA31" s="411"/>
    </row>
    <row r="32" spans="1:29" x14ac:dyDescent="0.2">
      <c r="E32" s="413"/>
      <c r="F32" s="68" t="s">
        <v>46</v>
      </c>
      <c r="G32" s="68">
        <f>R21+R12</f>
        <v>2.1967773378643396</v>
      </c>
      <c r="H32" s="407"/>
      <c r="I32" s="356">
        <f>'FLUX 2050'!I32/'FLUX 2050'!$D$26*'FLUX 2030'!$D$26</f>
        <v>0</v>
      </c>
      <c r="J32" s="409"/>
      <c r="K32" s="216">
        <f t="shared" si="3"/>
        <v>2.1967773378643396</v>
      </c>
      <c r="L32" s="414"/>
      <c r="M32" s="68"/>
      <c r="N32" s="407"/>
      <c r="O32" s="415"/>
      <c r="P32" s="217"/>
      <c r="Q32" s="217"/>
      <c r="R32" s="344"/>
      <c r="S32" s="346"/>
      <c r="T32" s="411"/>
      <c r="U32" s="68"/>
      <c r="V32" s="416"/>
      <c r="W32" s="411"/>
      <c r="X32" s="411"/>
      <c r="Y32" s="411"/>
      <c r="Z32" s="411"/>
      <c r="AA32" s="411"/>
    </row>
    <row r="33" spans="1:27" x14ac:dyDescent="0.2">
      <c r="A33" s="70"/>
      <c r="B33" s="70"/>
      <c r="C33" s="70"/>
      <c r="E33" s="191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215"/>
      <c r="W33" s="68"/>
      <c r="X33" s="68"/>
      <c r="Y33" s="68"/>
      <c r="Z33" s="68"/>
      <c r="AA33" s="68"/>
    </row>
    <row r="34" spans="1:27" x14ac:dyDescent="0.2">
      <c r="A34" s="70"/>
      <c r="B34" s="70"/>
      <c r="C34" s="70"/>
      <c r="E34" s="408" t="s">
        <v>51</v>
      </c>
      <c r="F34" s="68" t="s">
        <v>40</v>
      </c>
      <c r="G34" s="70">
        <v>0.3</v>
      </c>
      <c r="H34" s="408">
        <v>65.682420334980279</v>
      </c>
      <c r="I34" s="345"/>
      <c r="J34" s="408">
        <v>2.9524360014229734</v>
      </c>
      <c r="K34" s="218">
        <v>0.3</v>
      </c>
      <c r="L34" s="408">
        <v>62.729984333557304</v>
      </c>
      <c r="M34" s="345"/>
      <c r="N34" s="383"/>
      <c r="O34" s="383"/>
      <c r="P34" s="383"/>
      <c r="Q34" s="383"/>
      <c r="R34" s="383"/>
      <c r="S34" s="383"/>
      <c r="T34" s="383"/>
      <c r="V34" s="408">
        <v>62.729984333557304</v>
      </c>
      <c r="X34" s="216">
        <v>0.3</v>
      </c>
      <c r="Y34" s="219"/>
      <c r="Z34" s="220"/>
    </row>
    <row r="35" spans="1:27" x14ac:dyDescent="0.2">
      <c r="A35" s="70"/>
      <c r="B35" s="70"/>
      <c r="C35" s="70"/>
      <c r="E35" s="408"/>
      <c r="F35" s="68" t="s">
        <v>42</v>
      </c>
      <c r="G35" s="70">
        <v>10.125220416308462</v>
      </c>
      <c r="H35" s="408"/>
      <c r="I35" s="345"/>
      <c r="J35" s="408"/>
      <c r="K35" s="218">
        <v>10.125220416308462</v>
      </c>
      <c r="L35" s="408"/>
      <c r="M35" s="345"/>
      <c r="N35" s="383"/>
      <c r="O35" s="383"/>
      <c r="P35" s="383"/>
      <c r="Q35" s="383"/>
      <c r="R35" s="383"/>
      <c r="S35" s="383"/>
      <c r="T35" s="383"/>
      <c r="V35" s="408"/>
      <c r="X35" s="216">
        <v>2.577576725349024</v>
      </c>
      <c r="Y35" s="219">
        <v>6.4845186632408227</v>
      </c>
      <c r="Z35" s="220">
        <v>1.0631250277186171</v>
      </c>
    </row>
    <row r="36" spans="1:27" x14ac:dyDescent="0.2">
      <c r="A36" s="70"/>
      <c r="B36" s="70"/>
      <c r="C36" s="70"/>
      <c r="E36" s="408"/>
      <c r="F36" s="68" t="s">
        <v>50</v>
      </c>
      <c r="G36" s="70">
        <v>0.81609858909965027</v>
      </c>
      <c r="H36" s="408"/>
      <c r="I36" s="345"/>
      <c r="J36" s="408"/>
      <c r="K36" s="218">
        <v>0.81609858909965027</v>
      </c>
      <c r="L36" s="408"/>
      <c r="M36" s="345"/>
      <c r="N36" s="383"/>
      <c r="O36" s="383"/>
      <c r="P36" s="383"/>
      <c r="Q36" s="383"/>
      <c r="R36" s="383"/>
      <c r="S36" s="383"/>
      <c r="T36" s="383"/>
      <c r="V36" s="408"/>
      <c r="X36" s="216">
        <v>0.49</v>
      </c>
      <c r="Y36" s="219">
        <v>0.21816585535479055</v>
      </c>
      <c r="Z36" s="220">
        <v>0.10793273374485982</v>
      </c>
    </row>
    <row r="37" spans="1:27" x14ac:dyDescent="0.2">
      <c r="A37" s="70"/>
      <c r="B37" s="70"/>
      <c r="C37" s="70"/>
      <c r="E37" s="408"/>
      <c r="F37" s="68" t="s">
        <v>52</v>
      </c>
      <c r="G37" s="70">
        <v>1.5</v>
      </c>
      <c r="H37" s="408"/>
      <c r="I37" s="345"/>
      <c r="J37" s="408"/>
      <c r="K37" s="218">
        <v>1.5</v>
      </c>
      <c r="L37" s="408"/>
      <c r="M37" s="345"/>
      <c r="N37" s="383"/>
      <c r="O37" s="383"/>
      <c r="P37" s="383"/>
      <c r="Q37" s="383"/>
      <c r="R37" s="383"/>
      <c r="S37" s="383"/>
      <c r="T37" s="383"/>
      <c r="V37" s="408"/>
      <c r="X37" s="216"/>
      <c r="Y37" s="219">
        <v>0.75</v>
      </c>
      <c r="Z37" s="220">
        <v>0.75</v>
      </c>
    </row>
    <row r="38" spans="1:27" x14ac:dyDescent="0.2">
      <c r="A38" s="70"/>
      <c r="B38" s="70"/>
      <c r="C38" s="70"/>
      <c r="E38" s="408"/>
      <c r="F38" s="68" t="s">
        <v>53</v>
      </c>
      <c r="G38" s="70">
        <v>1.8351839637785343</v>
      </c>
      <c r="H38" s="408"/>
      <c r="I38" s="345"/>
      <c r="J38" s="408"/>
      <c r="K38" s="218">
        <v>1.8351839637785343</v>
      </c>
      <c r="L38" s="408"/>
      <c r="M38" s="345"/>
      <c r="N38" s="383"/>
      <c r="O38" s="383"/>
      <c r="P38" s="383"/>
      <c r="Q38" s="383"/>
      <c r="R38" s="383"/>
      <c r="S38" s="383"/>
      <c r="T38" s="383"/>
      <c r="V38" s="408"/>
      <c r="X38" s="216"/>
      <c r="Y38" s="219">
        <v>1.8351839637785343</v>
      </c>
      <c r="Z38" s="220"/>
    </row>
    <row r="39" spans="1:27" x14ac:dyDescent="0.2">
      <c r="A39" s="70"/>
      <c r="B39" s="70"/>
      <c r="C39" s="70"/>
      <c r="E39" s="408"/>
      <c r="F39" s="68" t="s">
        <v>114</v>
      </c>
      <c r="G39" s="70">
        <v>3</v>
      </c>
      <c r="H39" s="408"/>
      <c r="I39" s="345">
        <v>0</v>
      </c>
      <c r="J39" s="408"/>
      <c r="K39" s="218">
        <v>3</v>
      </c>
      <c r="L39" s="408"/>
      <c r="M39" s="345"/>
      <c r="N39" s="383"/>
      <c r="O39" s="383"/>
      <c r="P39" s="383"/>
      <c r="Q39" s="383"/>
      <c r="R39" s="383"/>
      <c r="S39" s="383"/>
      <c r="T39" s="383"/>
      <c r="V39" s="408"/>
      <c r="X39" s="216"/>
      <c r="Y39" s="219"/>
      <c r="Z39" s="220"/>
      <c r="AA39" s="70">
        <v>3</v>
      </c>
    </row>
    <row r="40" spans="1:27" x14ac:dyDescent="0.2">
      <c r="A40" s="70"/>
      <c r="B40" s="70"/>
      <c r="C40" s="70"/>
      <c r="E40" s="408"/>
      <c r="F40" s="68" t="s">
        <v>55</v>
      </c>
      <c r="G40" s="70">
        <v>33.643352647649877</v>
      </c>
      <c r="H40" s="408"/>
      <c r="I40" s="345">
        <v>2.3550346853354895</v>
      </c>
      <c r="J40" s="408"/>
      <c r="K40" s="218">
        <v>31.288317962314391</v>
      </c>
      <c r="L40" s="408"/>
      <c r="M40" s="345"/>
      <c r="N40" s="383"/>
      <c r="O40" s="383"/>
      <c r="P40" s="383"/>
      <c r="Q40" s="383"/>
      <c r="R40" s="383"/>
      <c r="S40" s="383"/>
      <c r="T40" s="383"/>
      <c r="V40" s="408"/>
      <c r="W40" s="70">
        <v>0.32400000000000001</v>
      </c>
      <c r="X40" s="216"/>
      <c r="Y40" s="219"/>
      <c r="Z40" s="220"/>
      <c r="AA40" s="70">
        <v>30.964317962314389</v>
      </c>
    </row>
    <row r="41" spans="1:27" x14ac:dyDescent="0.2">
      <c r="A41" s="70"/>
      <c r="B41" s="70"/>
      <c r="C41" s="70"/>
      <c r="E41" s="408"/>
      <c r="F41" s="68" t="s">
        <v>56</v>
      </c>
      <c r="G41" s="70">
        <v>8.5343045155354922</v>
      </c>
      <c r="H41" s="408"/>
      <c r="I41" s="345">
        <v>0.59740131608748392</v>
      </c>
      <c r="J41" s="408"/>
      <c r="K41" s="218">
        <v>7.9369031994480084</v>
      </c>
      <c r="L41" s="408"/>
      <c r="M41" s="345"/>
      <c r="N41" s="383"/>
      <c r="O41" s="383"/>
      <c r="P41" s="383"/>
      <c r="Q41" s="383"/>
      <c r="R41" s="383"/>
      <c r="S41" s="383"/>
      <c r="T41" s="383"/>
      <c r="V41" s="408"/>
      <c r="W41" s="70">
        <v>0.79050000000000009</v>
      </c>
      <c r="X41" s="216">
        <v>5.7325108300215559</v>
      </c>
      <c r="Y41" s="219">
        <v>0.78637352811905581</v>
      </c>
      <c r="Z41" s="220">
        <v>0.62751884130739644</v>
      </c>
    </row>
    <row r="42" spans="1:27" x14ac:dyDescent="0.2">
      <c r="A42" s="70"/>
      <c r="B42" s="70"/>
      <c r="C42" s="70"/>
      <c r="E42" s="408"/>
      <c r="F42" s="68" t="s">
        <v>57</v>
      </c>
      <c r="G42" s="70">
        <v>0.86944701578796535</v>
      </c>
      <c r="H42" s="408"/>
      <c r="I42" s="345"/>
      <c r="J42" s="408"/>
      <c r="K42" s="218">
        <v>0.86944701578796535</v>
      </c>
      <c r="L42" s="408"/>
      <c r="M42" s="345"/>
      <c r="N42" s="383"/>
      <c r="O42" s="383"/>
      <c r="P42" s="383"/>
      <c r="Q42" s="383"/>
      <c r="R42" s="383"/>
      <c r="S42" s="383"/>
      <c r="T42" s="383"/>
      <c r="V42" s="408"/>
      <c r="X42" s="216">
        <v>0.86944701578796535</v>
      </c>
      <c r="Y42" s="219"/>
      <c r="Z42" s="220"/>
    </row>
    <row r="43" spans="1:27" x14ac:dyDescent="0.2">
      <c r="A43" s="70"/>
      <c r="B43" s="70"/>
      <c r="C43" s="70"/>
      <c r="E43" s="412"/>
      <c r="F43" s="68" t="s">
        <v>58</v>
      </c>
      <c r="G43" s="70">
        <v>5.0588131868202808</v>
      </c>
      <c r="H43" s="408"/>
      <c r="I43" s="345"/>
      <c r="J43" s="408"/>
      <c r="K43" s="218">
        <v>5.0588131868202808</v>
      </c>
      <c r="L43" s="408"/>
      <c r="M43" s="345"/>
      <c r="N43" s="383"/>
      <c r="O43" s="383"/>
      <c r="P43" s="383"/>
      <c r="Q43" s="383"/>
      <c r="R43" s="383"/>
      <c r="S43" s="383"/>
      <c r="T43" s="383"/>
      <c r="V43" s="408"/>
      <c r="W43" s="68"/>
      <c r="X43" s="210">
        <v>5.0087892394540097</v>
      </c>
      <c r="Y43" s="86">
        <v>7.830094102733021E-3</v>
      </c>
      <c r="Z43" s="87">
        <v>4.2193853263537952E-2</v>
      </c>
      <c r="AA43" s="68"/>
    </row>
    <row r="44" spans="1:27" x14ac:dyDescent="0.2">
      <c r="A44" s="70"/>
      <c r="B44" s="70"/>
      <c r="C44" s="70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</row>
    <row r="45" spans="1:27" x14ac:dyDescent="0.2">
      <c r="A45" s="70"/>
      <c r="B45" s="70"/>
      <c r="C45" s="70"/>
      <c r="F45" s="68"/>
      <c r="G45" s="215" t="s">
        <v>108</v>
      </c>
      <c r="H45" s="68"/>
      <c r="I45" s="68"/>
      <c r="J45" s="68"/>
      <c r="K45" s="68"/>
      <c r="L45" s="68"/>
      <c r="M45" s="221">
        <f>M46+R46+R52</f>
        <v>185.46950727357455</v>
      </c>
      <c r="N45" s="221"/>
      <c r="O45" s="221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</row>
    <row r="46" spans="1:27" x14ac:dyDescent="0.2">
      <c r="A46" s="70"/>
      <c r="B46" s="70"/>
      <c r="C46" s="70"/>
      <c r="G46" s="222" t="s">
        <v>109</v>
      </c>
      <c r="H46" s="223"/>
      <c r="I46" s="223"/>
      <c r="J46" s="223"/>
      <c r="K46" s="223"/>
      <c r="L46" s="223"/>
      <c r="M46" s="224">
        <f>SUM(M47:M57)</f>
        <v>54.926301254168877</v>
      </c>
      <c r="N46" s="224"/>
      <c r="O46" s="224"/>
      <c r="P46" s="225" t="s">
        <v>110</v>
      </c>
      <c r="Q46" s="226"/>
      <c r="R46" s="143">
        <f>SUM(R47:R49)</f>
        <v>72.385762162123456</v>
      </c>
      <c r="S46" s="227"/>
      <c r="T46" s="68"/>
      <c r="U46" s="68"/>
      <c r="V46" s="68"/>
      <c r="W46" s="68"/>
      <c r="X46" s="68"/>
      <c r="Y46" s="68"/>
      <c r="Z46" s="68"/>
      <c r="AA46" s="68"/>
    </row>
    <row r="47" spans="1:27" x14ac:dyDescent="0.2">
      <c r="A47" s="70"/>
      <c r="B47" s="70"/>
      <c r="C47" s="70"/>
      <c r="F47" s="68"/>
      <c r="G47" s="215"/>
      <c r="H47" s="68" t="s">
        <v>42</v>
      </c>
      <c r="I47" s="68"/>
      <c r="J47" s="68"/>
      <c r="K47" s="68"/>
      <c r="L47" s="68"/>
      <c r="M47" s="65">
        <f>C7</f>
        <v>17.790614390095044</v>
      </c>
      <c r="N47" s="68"/>
      <c r="O47" s="68"/>
      <c r="Q47" s="68" t="s">
        <v>111</v>
      </c>
      <c r="R47" s="65">
        <f>C21</f>
        <v>42.902964288492512</v>
      </c>
      <c r="S47" s="68"/>
      <c r="T47" s="68"/>
      <c r="U47" s="68"/>
      <c r="V47" s="68"/>
      <c r="W47" s="68"/>
      <c r="X47" s="68"/>
      <c r="Y47" s="68"/>
      <c r="Z47" s="68"/>
      <c r="AA47" s="68"/>
    </row>
    <row r="48" spans="1:27" x14ac:dyDescent="0.2">
      <c r="A48" s="70"/>
      <c r="B48" s="70"/>
      <c r="C48" s="70"/>
      <c r="F48" s="68"/>
      <c r="G48" s="215"/>
      <c r="H48" s="68" t="s">
        <v>36</v>
      </c>
      <c r="I48" s="68"/>
      <c r="J48" s="68"/>
      <c r="K48" s="68"/>
      <c r="L48" s="68"/>
      <c r="M48" s="65">
        <f>C8</f>
        <v>9.8811809465741511</v>
      </c>
      <c r="N48" s="68"/>
      <c r="O48" s="68"/>
      <c r="Q48" s="68" t="s">
        <v>49</v>
      </c>
      <c r="R48" s="65">
        <f>C20</f>
        <v>21.764525227351164</v>
      </c>
      <c r="S48" s="68"/>
      <c r="T48" s="68"/>
      <c r="U48" s="68"/>
      <c r="V48" s="68"/>
      <c r="W48" s="68"/>
      <c r="X48" s="68"/>
      <c r="Y48" s="68"/>
      <c r="Z48" s="68"/>
      <c r="AA48" s="68"/>
    </row>
    <row r="49" spans="1:27" x14ac:dyDescent="0.2">
      <c r="A49" s="70"/>
      <c r="B49" s="70"/>
      <c r="C49" s="70"/>
      <c r="F49" s="68"/>
      <c r="G49" s="215"/>
      <c r="H49" s="68" t="s">
        <v>37</v>
      </c>
      <c r="I49" s="68"/>
      <c r="J49" s="68"/>
      <c r="K49" s="68"/>
      <c r="L49" s="68"/>
      <c r="M49" s="65">
        <f>C11</f>
        <v>5.6060607451821554</v>
      </c>
      <c r="N49" s="68"/>
      <c r="O49" s="68"/>
      <c r="Q49" s="68" t="s">
        <v>58</v>
      </c>
      <c r="R49" s="65">
        <f>C22</f>
        <v>7.718272646279785</v>
      </c>
      <c r="S49" s="68"/>
      <c r="T49" s="68"/>
      <c r="U49" s="68"/>
      <c r="V49" s="68"/>
      <c r="W49" s="68"/>
      <c r="X49" s="68"/>
      <c r="Y49" s="68"/>
      <c r="Z49" s="68"/>
      <c r="AA49" s="68"/>
    </row>
    <row r="50" spans="1:27" x14ac:dyDescent="0.2">
      <c r="A50" s="70"/>
      <c r="B50" s="70"/>
      <c r="C50" s="70"/>
      <c r="G50" s="68"/>
      <c r="H50" s="68" t="s">
        <v>40</v>
      </c>
      <c r="I50" s="68"/>
      <c r="J50" s="68"/>
      <c r="K50" s="68"/>
      <c r="L50" s="68"/>
      <c r="M50" s="65">
        <f>C9</f>
        <v>5.2402783603977552</v>
      </c>
      <c r="N50" s="68"/>
      <c r="O50" s="68"/>
      <c r="R50" s="65"/>
      <c r="S50" s="68"/>
      <c r="T50" s="68"/>
      <c r="U50" s="68"/>
      <c r="V50" s="68"/>
      <c r="W50" s="68"/>
      <c r="X50" s="68"/>
      <c r="Y50" s="68"/>
      <c r="Z50" s="68"/>
      <c r="AA50" s="68"/>
    </row>
    <row r="51" spans="1:27" x14ac:dyDescent="0.2">
      <c r="A51" s="70"/>
      <c r="B51" s="70"/>
      <c r="C51" s="70"/>
      <c r="G51" s="68"/>
      <c r="H51" s="68" t="s">
        <v>43</v>
      </c>
      <c r="I51" s="68"/>
      <c r="J51" s="68"/>
      <c r="K51" s="68"/>
      <c r="L51" s="68"/>
      <c r="M51" s="65">
        <f>C10+C14</f>
        <v>4.8080609698325976</v>
      </c>
      <c r="N51" s="68"/>
      <c r="O51" s="68"/>
      <c r="Q51" s="68"/>
      <c r="R51" s="65"/>
      <c r="S51" s="68"/>
      <c r="T51" s="68"/>
      <c r="U51" s="68"/>
      <c r="V51" s="68"/>
      <c r="W51" s="68"/>
      <c r="X51" s="68"/>
      <c r="Y51" s="68"/>
      <c r="Z51" s="68"/>
      <c r="AA51" s="68"/>
    </row>
    <row r="52" spans="1:27" x14ac:dyDescent="0.2">
      <c r="A52" s="70"/>
      <c r="B52" s="70"/>
      <c r="C52" s="70"/>
      <c r="G52" s="68"/>
      <c r="H52" s="68" t="s">
        <v>38</v>
      </c>
      <c r="I52" s="68"/>
      <c r="J52" s="68"/>
      <c r="K52" s="68"/>
      <c r="L52" s="68"/>
      <c r="M52" s="65">
        <f>C12</f>
        <v>4.9805941041412307</v>
      </c>
      <c r="N52" s="68"/>
      <c r="O52" s="68"/>
      <c r="P52" s="228" t="s">
        <v>112</v>
      </c>
      <c r="Q52" s="229"/>
      <c r="R52" s="146">
        <f>SUM(R53:R54)</f>
        <v>58.157443857282217</v>
      </c>
      <c r="S52" s="230"/>
      <c r="T52" s="68"/>
      <c r="U52" s="68"/>
      <c r="V52" s="68"/>
      <c r="W52" s="68"/>
      <c r="X52" s="68"/>
      <c r="Y52" s="68"/>
      <c r="Z52" s="68"/>
      <c r="AA52" s="68"/>
    </row>
    <row r="53" spans="1:27" x14ac:dyDescent="0.2">
      <c r="A53" s="70"/>
      <c r="B53" s="70"/>
      <c r="C53" s="70"/>
      <c r="F53" s="68"/>
      <c r="G53" s="68"/>
      <c r="H53" s="68" t="s">
        <v>41</v>
      </c>
      <c r="I53" s="68"/>
      <c r="J53" s="68"/>
      <c r="K53" s="68"/>
      <c r="L53" s="68"/>
      <c r="M53" s="65">
        <f>(G12+G27+G42)/2</f>
        <v>1.2764726960921884</v>
      </c>
      <c r="N53" s="68"/>
      <c r="O53" s="68"/>
      <c r="Q53" s="68" t="s">
        <v>41</v>
      </c>
      <c r="R53" s="65">
        <f>M53</f>
        <v>1.2764726960921884</v>
      </c>
      <c r="S53" s="68"/>
      <c r="T53" s="68"/>
      <c r="U53" s="68"/>
      <c r="V53" s="68"/>
      <c r="W53" s="68"/>
      <c r="X53" s="68"/>
      <c r="Y53" s="68"/>
      <c r="Z53" s="68"/>
      <c r="AA53" s="68"/>
    </row>
    <row r="54" spans="1:27" x14ac:dyDescent="0.2">
      <c r="A54" s="70"/>
      <c r="B54" s="70"/>
      <c r="C54" s="70"/>
      <c r="F54" s="68"/>
      <c r="G54" s="68"/>
      <c r="H54" s="68" t="s">
        <v>50</v>
      </c>
      <c r="I54" s="68"/>
      <c r="J54" s="68"/>
      <c r="K54" s="68"/>
      <c r="L54" s="68"/>
      <c r="M54" s="65">
        <f>C15</f>
        <v>0.9710985890996503</v>
      </c>
      <c r="N54" s="68"/>
      <c r="O54" s="68"/>
      <c r="Q54" s="68" t="s">
        <v>39</v>
      </c>
      <c r="R54" s="65">
        <f>C19</f>
        <v>56.880971161190033</v>
      </c>
      <c r="S54" s="68"/>
      <c r="T54" s="68"/>
      <c r="U54" s="68"/>
      <c r="V54" s="68"/>
      <c r="W54" s="68"/>
      <c r="X54" s="68"/>
      <c r="Y54" s="68"/>
      <c r="Z54" s="68"/>
      <c r="AA54" s="68"/>
    </row>
    <row r="55" spans="1:27" x14ac:dyDescent="0.2">
      <c r="A55" s="70"/>
      <c r="B55" s="70"/>
      <c r="C55" s="70"/>
      <c r="F55" s="68"/>
      <c r="G55" s="68"/>
      <c r="H55" s="68" t="s">
        <v>45</v>
      </c>
      <c r="I55" s="68"/>
      <c r="J55" s="68"/>
      <c r="K55" s="68"/>
      <c r="L55" s="68"/>
      <c r="M55" s="65">
        <f>G16+G28</f>
        <v>0.4</v>
      </c>
      <c r="N55" s="68"/>
      <c r="O55" s="68"/>
      <c r="R55" s="89"/>
      <c r="T55" s="68"/>
      <c r="U55" s="68"/>
      <c r="V55" s="68"/>
      <c r="W55" s="68"/>
      <c r="X55" s="68"/>
      <c r="Y55" s="68"/>
      <c r="Z55" s="68"/>
      <c r="AA55" s="68"/>
    </row>
    <row r="56" spans="1:27" x14ac:dyDescent="0.2">
      <c r="F56" s="68"/>
      <c r="G56" s="68"/>
      <c r="H56" s="68" t="s">
        <v>54</v>
      </c>
      <c r="I56" s="68"/>
      <c r="J56" s="68"/>
      <c r="K56" s="68"/>
      <c r="L56" s="68"/>
      <c r="M56" s="65">
        <f>C13</f>
        <v>3</v>
      </c>
      <c r="N56" s="68"/>
      <c r="O56" s="68"/>
      <c r="Q56" s="231" t="s">
        <v>113</v>
      </c>
      <c r="R56" s="148">
        <f>M46/M45</f>
        <v>0.29614734012934268</v>
      </c>
      <c r="S56" s="232"/>
      <c r="T56" s="68"/>
      <c r="U56" s="68"/>
      <c r="V56" s="68"/>
      <c r="W56" s="68"/>
      <c r="X56" s="68"/>
      <c r="Y56" s="68"/>
      <c r="Z56" s="68"/>
      <c r="AA56" s="68"/>
    </row>
    <row r="57" spans="1:27" x14ac:dyDescent="0.2">
      <c r="F57" s="68"/>
      <c r="G57" s="68"/>
      <c r="H57" s="68" t="s">
        <v>44</v>
      </c>
      <c r="I57" s="68"/>
      <c r="J57" s="68"/>
      <c r="K57" s="68"/>
      <c r="L57" s="68"/>
      <c r="M57" s="65">
        <f>C17</f>
        <v>0.97194045275411034</v>
      </c>
      <c r="N57" s="68"/>
      <c r="O57" s="68"/>
      <c r="Q57" s="231"/>
      <c r="R57" s="232"/>
      <c r="S57" s="232"/>
      <c r="T57" s="68"/>
      <c r="U57" s="68"/>
      <c r="V57" s="68"/>
      <c r="W57" s="68"/>
      <c r="X57" s="68"/>
      <c r="Y57" s="68"/>
      <c r="Z57" s="68"/>
      <c r="AA57" s="68"/>
    </row>
  </sheetData>
  <mergeCells count="49">
    <mergeCell ref="X26:X32"/>
    <mergeCell ref="Y26:Y32"/>
    <mergeCell ref="Z26:Z32"/>
    <mergeCell ref="AA26:AA32"/>
    <mergeCell ref="E34:E43"/>
    <mergeCell ref="J34:J43"/>
    <mergeCell ref="L34:L43"/>
    <mergeCell ref="N34:T43"/>
    <mergeCell ref="V34:V43"/>
    <mergeCell ref="E26:E32"/>
    <mergeCell ref="L26:L32"/>
    <mergeCell ref="N26:N32"/>
    <mergeCell ref="O26:O32"/>
    <mergeCell ref="W26:W32"/>
    <mergeCell ref="T26:T32"/>
    <mergeCell ref="V26:V32"/>
    <mergeCell ref="H26:H32"/>
    <mergeCell ref="H34:H43"/>
    <mergeCell ref="J26:J32"/>
    <mergeCell ref="E21:E24"/>
    <mergeCell ref="Q21:Q24"/>
    <mergeCell ref="V21:V24"/>
    <mergeCell ref="S21:S24"/>
    <mergeCell ref="T21:T24"/>
    <mergeCell ref="R21:R24"/>
    <mergeCell ref="H21:H24"/>
    <mergeCell ref="P21:P24"/>
    <mergeCell ref="J21:J24"/>
    <mergeCell ref="O21:O24"/>
    <mergeCell ref="N21:N24"/>
    <mergeCell ref="L21:L24"/>
    <mergeCell ref="A4:C4"/>
    <mergeCell ref="E7:E19"/>
    <mergeCell ref="L7:L19"/>
    <mergeCell ref="N7:N19"/>
    <mergeCell ref="V7:V19"/>
    <mergeCell ref="T7:T19"/>
    <mergeCell ref="H7:H19"/>
    <mergeCell ref="J7:J19"/>
    <mergeCell ref="G1:L1"/>
    <mergeCell ref="N1:T1"/>
    <mergeCell ref="V1:AA1"/>
    <mergeCell ref="G2:H2"/>
    <mergeCell ref="I2:L2"/>
    <mergeCell ref="N2:N4"/>
    <mergeCell ref="O2:T3"/>
    <mergeCell ref="V2:AA3"/>
    <mergeCell ref="I3:J3"/>
    <mergeCell ref="K3:L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abSelected="1" topLeftCell="D1" workbookViewId="0">
      <selection activeCell="K25" sqref="K25"/>
    </sheetView>
  </sheetViews>
  <sheetFormatPr baseColWidth="10" defaultRowHeight="12.75" x14ac:dyDescent="0.2"/>
  <cols>
    <col min="1" max="1" width="14.85546875" style="89" bestFit="1" customWidth="1"/>
    <col min="2" max="2" width="28" style="89" bestFit="1" customWidth="1"/>
    <col min="3" max="3" width="5.42578125" style="89" bestFit="1" customWidth="1"/>
    <col min="4" max="4" width="8" style="89" bestFit="1" customWidth="1"/>
    <col min="5" max="5" width="11.42578125" style="89"/>
    <col min="6" max="6" width="22.85546875" style="89" bestFit="1" customWidth="1"/>
    <col min="7" max="7" width="7" style="89" customWidth="1"/>
    <col min="8" max="8" width="6.28515625" style="89" customWidth="1"/>
    <col min="9" max="9" width="5.7109375" style="89" customWidth="1"/>
    <col min="10" max="10" width="5.7109375" style="89" bestFit="1" customWidth="1"/>
    <col min="11" max="11" width="5.85546875" style="89" bestFit="1" customWidth="1"/>
    <col min="12" max="12" width="9.42578125" style="89" customWidth="1"/>
    <col min="13" max="13" width="5.140625" style="89" customWidth="1"/>
    <col min="14" max="14" width="9.7109375" style="89" customWidth="1"/>
    <col min="15" max="15" width="7.42578125" style="89" bestFit="1" customWidth="1"/>
    <col min="16" max="16" width="4.85546875" style="89" customWidth="1"/>
    <col min="17" max="17" width="5.28515625" style="89" customWidth="1"/>
    <col min="18" max="19" width="4.42578125" style="89" bestFit="1" customWidth="1"/>
    <col min="20" max="20" width="13.28515625" style="89" bestFit="1" customWidth="1"/>
    <col min="21" max="21" width="3.140625" style="89" customWidth="1"/>
    <col min="22" max="22" width="8.42578125" style="89" bestFit="1" customWidth="1"/>
    <col min="23" max="23" width="5.5703125" style="89" bestFit="1" customWidth="1"/>
    <col min="24" max="24" width="6.42578125" style="89" customWidth="1"/>
    <col min="25" max="27" width="6.5703125" style="89" bestFit="1" customWidth="1"/>
    <col min="28" max="28" width="4" style="89" customWidth="1"/>
    <col min="29" max="256" width="11.42578125" style="89"/>
    <col min="257" max="257" width="14.85546875" style="89" bestFit="1" customWidth="1"/>
    <col min="258" max="258" width="28" style="89" bestFit="1" customWidth="1"/>
    <col min="259" max="259" width="4.42578125" style="89" bestFit="1" customWidth="1"/>
    <col min="260" max="260" width="8" style="89" bestFit="1" customWidth="1"/>
    <col min="261" max="261" width="11.42578125" style="89"/>
    <col min="262" max="262" width="22.85546875" style="89" bestFit="1" customWidth="1"/>
    <col min="263" max="263" width="7" style="89" customWidth="1"/>
    <col min="264" max="264" width="6.28515625" style="89" customWidth="1"/>
    <col min="265" max="265" width="5.7109375" style="89" customWidth="1"/>
    <col min="266" max="266" width="5.7109375" style="89" bestFit="1" customWidth="1"/>
    <col min="267" max="267" width="5.85546875" style="89" bestFit="1" customWidth="1"/>
    <col min="268" max="268" width="9.42578125" style="89" customWidth="1"/>
    <col min="269" max="269" width="5.140625" style="89" customWidth="1"/>
    <col min="270" max="270" width="9.7109375" style="89" customWidth="1"/>
    <col min="271" max="271" width="6.7109375" style="89" bestFit="1" customWidth="1"/>
    <col min="272" max="272" width="4.85546875" style="89" customWidth="1"/>
    <col min="273" max="273" width="5.28515625" style="89" customWidth="1"/>
    <col min="274" max="275" width="4.42578125" style="89" bestFit="1" customWidth="1"/>
    <col min="276" max="276" width="13.28515625" style="89" bestFit="1" customWidth="1"/>
    <col min="277" max="277" width="3.140625" style="89" customWidth="1"/>
    <col min="278" max="278" width="5.42578125" style="89" bestFit="1" customWidth="1"/>
    <col min="279" max="279" width="4.42578125" style="89" bestFit="1" customWidth="1"/>
    <col min="280" max="280" width="6.42578125" style="89" customWidth="1"/>
    <col min="281" max="281" width="5" style="89" bestFit="1" customWidth="1"/>
    <col min="282" max="282" width="4.5703125" style="89" bestFit="1" customWidth="1"/>
    <col min="283" max="283" width="4.42578125" style="89" bestFit="1" customWidth="1"/>
    <col min="284" max="284" width="4" style="89" customWidth="1"/>
    <col min="285" max="512" width="11.42578125" style="89"/>
    <col min="513" max="513" width="14.85546875" style="89" bestFit="1" customWidth="1"/>
    <col min="514" max="514" width="28" style="89" bestFit="1" customWidth="1"/>
    <col min="515" max="515" width="4.42578125" style="89" bestFit="1" customWidth="1"/>
    <col min="516" max="516" width="8" style="89" bestFit="1" customWidth="1"/>
    <col min="517" max="517" width="11.42578125" style="89"/>
    <col min="518" max="518" width="22.85546875" style="89" bestFit="1" customWidth="1"/>
    <col min="519" max="519" width="7" style="89" customWidth="1"/>
    <col min="520" max="520" width="6.28515625" style="89" customWidth="1"/>
    <col min="521" max="521" width="5.7109375" style="89" customWidth="1"/>
    <col min="522" max="522" width="5.7109375" style="89" bestFit="1" customWidth="1"/>
    <col min="523" max="523" width="5.85546875" style="89" bestFit="1" customWidth="1"/>
    <col min="524" max="524" width="9.42578125" style="89" customWidth="1"/>
    <col min="525" max="525" width="5.140625" style="89" customWidth="1"/>
    <col min="526" max="526" width="9.7109375" style="89" customWidth="1"/>
    <col min="527" max="527" width="6.7109375" style="89" bestFit="1" customWidth="1"/>
    <col min="528" max="528" width="4.85546875" style="89" customWidth="1"/>
    <col min="529" max="529" width="5.28515625" style="89" customWidth="1"/>
    <col min="530" max="531" width="4.42578125" style="89" bestFit="1" customWidth="1"/>
    <col min="532" max="532" width="13.28515625" style="89" bestFit="1" customWidth="1"/>
    <col min="533" max="533" width="3.140625" style="89" customWidth="1"/>
    <col min="534" max="534" width="5.42578125" style="89" bestFit="1" customWidth="1"/>
    <col min="535" max="535" width="4.42578125" style="89" bestFit="1" customWidth="1"/>
    <col min="536" max="536" width="6.42578125" style="89" customWidth="1"/>
    <col min="537" max="537" width="5" style="89" bestFit="1" customWidth="1"/>
    <col min="538" max="538" width="4.5703125" style="89" bestFit="1" customWidth="1"/>
    <col min="539" max="539" width="4.42578125" style="89" bestFit="1" customWidth="1"/>
    <col min="540" max="540" width="4" style="89" customWidth="1"/>
    <col min="541" max="768" width="11.42578125" style="89"/>
    <col min="769" max="769" width="14.85546875" style="89" bestFit="1" customWidth="1"/>
    <col min="770" max="770" width="28" style="89" bestFit="1" customWidth="1"/>
    <col min="771" max="771" width="4.42578125" style="89" bestFit="1" customWidth="1"/>
    <col min="772" max="772" width="8" style="89" bestFit="1" customWidth="1"/>
    <col min="773" max="773" width="11.42578125" style="89"/>
    <col min="774" max="774" width="22.85546875" style="89" bestFit="1" customWidth="1"/>
    <col min="775" max="775" width="7" style="89" customWidth="1"/>
    <col min="776" max="776" width="6.28515625" style="89" customWidth="1"/>
    <col min="777" max="777" width="5.7109375" style="89" customWidth="1"/>
    <col min="778" max="778" width="5.7109375" style="89" bestFit="1" customWidth="1"/>
    <col min="779" max="779" width="5.85546875" style="89" bestFit="1" customWidth="1"/>
    <col min="780" max="780" width="9.42578125" style="89" customWidth="1"/>
    <col min="781" max="781" width="5.140625" style="89" customWidth="1"/>
    <col min="782" max="782" width="9.7109375" style="89" customWidth="1"/>
    <col min="783" max="783" width="6.7109375" style="89" bestFit="1" customWidth="1"/>
    <col min="784" max="784" width="4.85546875" style="89" customWidth="1"/>
    <col min="785" max="785" width="5.28515625" style="89" customWidth="1"/>
    <col min="786" max="787" width="4.42578125" style="89" bestFit="1" customWidth="1"/>
    <col min="788" max="788" width="13.28515625" style="89" bestFit="1" customWidth="1"/>
    <col min="789" max="789" width="3.140625" style="89" customWidth="1"/>
    <col min="790" max="790" width="5.42578125" style="89" bestFit="1" customWidth="1"/>
    <col min="791" max="791" width="4.42578125" style="89" bestFit="1" customWidth="1"/>
    <col min="792" max="792" width="6.42578125" style="89" customWidth="1"/>
    <col min="793" max="793" width="5" style="89" bestFit="1" customWidth="1"/>
    <col min="794" max="794" width="4.5703125" style="89" bestFit="1" customWidth="1"/>
    <col min="795" max="795" width="4.42578125" style="89" bestFit="1" customWidth="1"/>
    <col min="796" max="796" width="4" style="89" customWidth="1"/>
    <col min="797" max="1024" width="11.42578125" style="89"/>
    <col min="1025" max="1025" width="14.85546875" style="89" bestFit="1" customWidth="1"/>
    <col min="1026" max="1026" width="28" style="89" bestFit="1" customWidth="1"/>
    <col min="1027" max="1027" width="4.42578125" style="89" bestFit="1" customWidth="1"/>
    <col min="1028" max="1028" width="8" style="89" bestFit="1" customWidth="1"/>
    <col min="1029" max="1029" width="11.42578125" style="89"/>
    <col min="1030" max="1030" width="22.85546875" style="89" bestFit="1" customWidth="1"/>
    <col min="1031" max="1031" width="7" style="89" customWidth="1"/>
    <col min="1032" max="1032" width="6.28515625" style="89" customWidth="1"/>
    <col min="1033" max="1033" width="5.7109375" style="89" customWidth="1"/>
    <col min="1034" max="1034" width="5.7109375" style="89" bestFit="1" customWidth="1"/>
    <col min="1035" max="1035" width="5.85546875" style="89" bestFit="1" customWidth="1"/>
    <col min="1036" max="1036" width="9.42578125" style="89" customWidth="1"/>
    <col min="1037" max="1037" width="5.140625" style="89" customWidth="1"/>
    <col min="1038" max="1038" width="9.7109375" style="89" customWidth="1"/>
    <col min="1039" max="1039" width="6.7109375" style="89" bestFit="1" customWidth="1"/>
    <col min="1040" max="1040" width="4.85546875" style="89" customWidth="1"/>
    <col min="1041" max="1041" width="5.28515625" style="89" customWidth="1"/>
    <col min="1042" max="1043" width="4.42578125" style="89" bestFit="1" customWidth="1"/>
    <col min="1044" max="1044" width="13.28515625" style="89" bestFit="1" customWidth="1"/>
    <col min="1045" max="1045" width="3.140625" style="89" customWidth="1"/>
    <col min="1046" max="1046" width="5.42578125" style="89" bestFit="1" customWidth="1"/>
    <col min="1047" max="1047" width="4.42578125" style="89" bestFit="1" customWidth="1"/>
    <col min="1048" max="1048" width="6.42578125" style="89" customWidth="1"/>
    <col min="1049" max="1049" width="5" style="89" bestFit="1" customWidth="1"/>
    <col min="1050" max="1050" width="4.5703125" style="89" bestFit="1" customWidth="1"/>
    <col min="1051" max="1051" width="4.42578125" style="89" bestFit="1" customWidth="1"/>
    <col min="1052" max="1052" width="4" style="89" customWidth="1"/>
    <col min="1053" max="1280" width="11.42578125" style="89"/>
    <col min="1281" max="1281" width="14.85546875" style="89" bestFit="1" customWidth="1"/>
    <col min="1282" max="1282" width="28" style="89" bestFit="1" customWidth="1"/>
    <col min="1283" max="1283" width="4.42578125" style="89" bestFit="1" customWidth="1"/>
    <col min="1284" max="1284" width="8" style="89" bestFit="1" customWidth="1"/>
    <col min="1285" max="1285" width="11.42578125" style="89"/>
    <col min="1286" max="1286" width="22.85546875" style="89" bestFit="1" customWidth="1"/>
    <col min="1287" max="1287" width="7" style="89" customWidth="1"/>
    <col min="1288" max="1288" width="6.28515625" style="89" customWidth="1"/>
    <col min="1289" max="1289" width="5.7109375" style="89" customWidth="1"/>
    <col min="1290" max="1290" width="5.7109375" style="89" bestFit="1" customWidth="1"/>
    <col min="1291" max="1291" width="5.85546875" style="89" bestFit="1" customWidth="1"/>
    <col min="1292" max="1292" width="9.42578125" style="89" customWidth="1"/>
    <col min="1293" max="1293" width="5.140625" style="89" customWidth="1"/>
    <col min="1294" max="1294" width="9.7109375" style="89" customWidth="1"/>
    <col min="1295" max="1295" width="6.7109375" style="89" bestFit="1" customWidth="1"/>
    <col min="1296" max="1296" width="4.85546875" style="89" customWidth="1"/>
    <col min="1297" max="1297" width="5.28515625" style="89" customWidth="1"/>
    <col min="1298" max="1299" width="4.42578125" style="89" bestFit="1" customWidth="1"/>
    <col min="1300" max="1300" width="13.28515625" style="89" bestFit="1" customWidth="1"/>
    <col min="1301" max="1301" width="3.140625" style="89" customWidth="1"/>
    <col min="1302" max="1302" width="5.42578125" style="89" bestFit="1" customWidth="1"/>
    <col min="1303" max="1303" width="4.42578125" style="89" bestFit="1" customWidth="1"/>
    <col min="1304" max="1304" width="6.42578125" style="89" customWidth="1"/>
    <col min="1305" max="1305" width="5" style="89" bestFit="1" customWidth="1"/>
    <col min="1306" max="1306" width="4.5703125" style="89" bestFit="1" customWidth="1"/>
    <col min="1307" max="1307" width="4.42578125" style="89" bestFit="1" customWidth="1"/>
    <col min="1308" max="1308" width="4" style="89" customWidth="1"/>
    <col min="1309" max="1536" width="11.42578125" style="89"/>
    <col min="1537" max="1537" width="14.85546875" style="89" bestFit="1" customWidth="1"/>
    <col min="1538" max="1538" width="28" style="89" bestFit="1" customWidth="1"/>
    <col min="1539" max="1539" width="4.42578125" style="89" bestFit="1" customWidth="1"/>
    <col min="1540" max="1540" width="8" style="89" bestFit="1" customWidth="1"/>
    <col min="1541" max="1541" width="11.42578125" style="89"/>
    <col min="1542" max="1542" width="22.85546875" style="89" bestFit="1" customWidth="1"/>
    <col min="1543" max="1543" width="7" style="89" customWidth="1"/>
    <col min="1544" max="1544" width="6.28515625" style="89" customWidth="1"/>
    <col min="1545" max="1545" width="5.7109375" style="89" customWidth="1"/>
    <col min="1546" max="1546" width="5.7109375" style="89" bestFit="1" customWidth="1"/>
    <col min="1547" max="1547" width="5.85546875" style="89" bestFit="1" customWidth="1"/>
    <col min="1548" max="1548" width="9.42578125" style="89" customWidth="1"/>
    <col min="1549" max="1549" width="5.140625" style="89" customWidth="1"/>
    <col min="1550" max="1550" width="9.7109375" style="89" customWidth="1"/>
    <col min="1551" max="1551" width="6.7109375" style="89" bestFit="1" customWidth="1"/>
    <col min="1552" max="1552" width="4.85546875" style="89" customWidth="1"/>
    <col min="1553" max="1553" width="5.28515625" style="89" customWidth="1"/>
    <col min="1554" max="1555" width="4.42578125" style="89" bestFit="1" customWidth="1"/>
    <col min="1556" max="1556" width="13.28515625" style="89" bestFit="1" customWidth="1"/>
    <col min="1557" max="1557" width="3.140625" style="89" customWidth="1"/>
    <col min="1558" max="1558" width="5.42578125" style="89" bestFit="1" customWidth="1"/>
    <col min="1559" max="1559" width="4.42578125" style="89" bestFit="1" customWidth="1"/>
    <col min="1560" max="1560" width="6.42578125" style="89" customWidth="1"/>
    <col min="1561" max="1561" width="5" style="89" bestFit="1" customWidth="1"/>
    <col min="1562" max="1562" width="4.5703125" style="89" bestFit="1" customWidth="1"/>
    <col min="1563" max="1563" width="4.42578125" style="89" bestFit="1" customWidth="1"/>
    <col min="1564" max="1564" width="4" style="89" customWidth="1"/>
    <col min="1565" max="1792" width="11.42578125" style="89"/>
    <col min="1793" max="1793" width="14.85546875" style="89" bestFit="1" customWidth="1"/>
    <col min="1794" max="1794" width="28" style="89" bestFit="1" customWidth="1"/>
    <col min="1795" max="1795" width="4.42578125" style="89" bestFit="1" customWidth="1"/>
    <col min="1796" max="1796" width="8" style="89" bestFit="1" customWidth="1"/>
    <col min="1797" max="1797" width="11.42578125" style="89"/>
    <col min="1798" max="1798" width="22.85546875" style="89" bestFit="1" customWidth="1"/>
    <col min="1799" max="1799" width="7" style="89" customWidth="1"/>
    <col min="1800" max="1800" width="6.28515625" style="89" customWidth="1"/>
    <col min="1801" max="1801" width="5.7109375" style="89" customWidth="1"/>
    <col min="1802" max="1802" width="5.7109375" style="89" bestFit="1" customWidth="1"/>
    <col min="1803" max="1803" width="5.85546875" style="89" bestFit="1" customWidth="1"/>
    <col min="1804" max="1804" width="9.42578125" style="89" customWidth="1"/>
    <col min="1805" max="1805" width="5.140625" style="89" customWidth="1"/>
    <col min="1806" max="1806" width="9.7109375" style="89" customWidth="1"/>
    <col min="1807" max="1807" width="6.7109375" style="89" bestFit="1" customWidth="1"/>
    <col min="1808" max="1808" width="4.85546875" style="89" customWidth="1"/>
    <col min="1809" max="1809" width="5.28515625" style="89" customWidth="1"/>
    <col min="1810" max="1811" width="4.42578125" style="89" bestFit="1" customWidth="1"/>
    <col min="1812" max="1812" width="13.28515625" style="89" bestFit="1" customWidth="1"/>
    <col min="1813" max="1813" width="3.140625" style="89" customWidth="1"/>
    <col min="1814" max="1814" width="5.42578125" style="89" bestFit="1" customWidth="1"/>
    <col min="1815" max="1815" width="4.42578125" style="89" bestFit="1" customWidth="1"/>
    <col min="1816" max="1816" width="6.42578125" style="89" customWidth="1"/>
    <col min="1817" max="1817" width="5" style="89" bestFit="1" customWidth="1"/>
    <col min="1818" max="1818" width="4.5703125" style="89" bestFit="1" customWidth="1"/>
    <col min="1819" max="1819" width="4.42578125" style="89" bestFit="1" customWidth="1"/>
    <col min="1820" max="1820" width="4" style="89" customWidth="1"/>
    <col min="1821" max="2048" width="11.42578125" style="89"/>
    <col min="2049" max="2049" width="14.85546875" style="89" bestFit="1" customWidth="1"/>
    <col min="2050" max="2050" width="28" style="89" bestFit="1" customWidth="1"/>
    <col min="2051" max="2051" width="4.42578125" style="89" bestFit="1" customWidth="1"/>
    <col min="2052" max="2052" width="8" style="89" bestFit="1" customWidth="1"/>
    <col min="2053" max="2053" width="11.42578125" style="89"/>
    <col min="2054" max="2054" width="22.85546875" style="89" bestFit="1" customWidth="1"/>
    <col min="2055" max="2055" width="7" style="89" customWidth="1"/>
    <col min="2056" max="2056" width="6.28515625" style="89" customWidth="1"/>
    <col min="2057" max="2057" width="5.7109375" style="89" customWidth="1"/>
    <col min="2058" max="2058" width="5.7109375" style="89" bestFit="1" customWidth="1"/>
    <col min="2059" max="2059" width="5.85546875" style="89" bestFit="1" customWidth="1"/>
    <col min="2060" max="2060" width="9.42578125" style="89" customWidth="1"/>
    <col min="2061" max="2061" width="5.140625" style="89" customWidth="1"/>
    <col min="2062" max="2062" width="9.7109375" style="89" customWidth="1"/>
    <col min="2063" max="2063" width="6.7109375" style="89" bestFit="1" customWidth="1"/>
    <col min="2064" max="2064" width="4.85546875" style="89" customWidth="1"/>
    <col min="2065" max="2065" width="5.28515625" style="89" customWidth="1"/>
    <col min="2066" max="2067" width="4.42578125" style="89" bestFit="1" customWidth="1"/>
    <col min="2068" max="2068" width="13.28515625" style="89" bestFit="1" customWidth="1"/>
    <col min="2069" max="2069" width="3.140625" style="89" customWidth="1"/>
    <col min="2070" max="2070" width="5.42578125" style="89" bestFit="1" customWidth="1"/>
    <col min="2071" max="2071" width="4.42578125" style="89" bestFit="1" customWidth="1"/>
    <col min="2072" max="2072" width="6.42578125" style="89" customWidth="1"/>
    <col min="2073" max="2073" width="5" style="89" bestFit="1" customWidth="1"/>
    <col min="2074" max="2074" width="4.5703125" style="89" bestFit="1" customWidth="1"/>
    <col min="2075" max="2075" width="4.42578125" style="89" bestFit="1" customWidth="1"/>
    <col min="2076" max="2076" width="4" style="89" customWidth="1"/>
    <col min="2077" max="2304" width="11.42578125" style="89"/>
    <col min="2305" max="2305" width="14.85546875" style="89" bestFit="1" customWidth="1"/>
    <col min="2306" max="2306" width="28" style="89" bestFit="1" customWidth="1"/>
    <col min="2307" max="2307" width="4.42578125" style="89" bestFit="1" customWidth="1"/>
    <col min="2308" max="2308" width="8" style="89" bestFit="1" customWidth="1"/>
    <col min="2309" max="2309" width="11.42578125" style="89"/>
    <col min="2310" max="2310" width="22.85546875" style="89" bestFit="1" customWidth="1"/>
    <col min="2311" max="2311" width="7" style="89" customWidth="1"/>
    <col min="2312" max="2312" width="6.28515625" style="89" customWidth="1"/>
    <col min="2313" max="2313" width="5.7109375" style="89" customWidth="1"/>
    <col min="2314" max="2314" width="5.7109375" style="89" bestFit="1" customWidth="1"/>
    <col min="2315" max="2315" width="5.85546875" style="89" bestFit="1" customWidth="1"/>
    <col min="2316" max="2316" width="9.42578125" style="89" customWidth="1"/>
    <col min="2317" max="2317" width="5.140625" style="89" customWidth="1"/>
    <col min="2318" max="2318" width="9.7109375" style="89" customWidth="1"/>
    <col min="2319" max="2319" width="6.7109375" style="89" bestFit="1" customWidth="1"/>
    <col min="2320" max="2320" width="4.85546875" style="89" customWidth="1"/>
    <col min="2321" max="2321" width="5.28515625" style="89" customWidth="1"/>
    <col min="2322" max="2323" width="4.42578125" style="89" bestFit="1" customWidth="1"/>
    <col min="2324" max="2324" width="13.28515625" style="89" bestFit="1" customWidth="1"/>
    <col min="2325" max="2325" width="3.140625" style="89" customWidth="1"/>
    <col min="2326" max="2326" width="5.42578125" style="89" bestFit="1" customWidth="1"/>
    <col min="2327" max="2327" width="4.42578125" style="89" bestFit="1" customWidth="1"/>
    <col min="2328" max="2328" width="6.42578125" style="89" customWidth="1"/>
    <col min="2329" max="2329" width="5" style="89" bestFit="1" customWidth="1"/>
    <col min="2330" max="2330" width="4.5703125" style="89" bestFit="1" customWidth="1"/>
    <col min="2331" max="2331" width="4.42578125" style="89" bestFit="1" customWidth="1"/>
    <col min="2332" max="2332" width="4" style="89" customWidth="1"/>
    <col min="2333" max="2560" width="11.42578125" style="89"/>
    <col min="2561" max="2561" width="14.85546875" style="89" bestFit="1" customWidth="1"/>
    <col min="2562" max="2562" width="28" style="89" bestFit="1" customWidth="1"/>
    <col min="2563" max="2563" width="4.42578125" style="89" bestFit="1" customWidth="1"/>
    <col min="2564" max="2564" width="8" style="89" bestFit="1" customWidth="1"/>
    <col min="2565" max="2565" width="11.42578125" style="89"/>
    <col min="2566" max="2566" width="22.85546875" style="89" bestFit="1" customWidth="1"/>
    <col min="2567" max="2567" width="7" style="89" customWidth="1"/>
    <col min="2568" max="2568" width="6.28515625" style="89" customWidth="1"/>
    <col min="2569" max="2569" width="5.7109375" style="89" customWidth="1"/>
    <col min="2570" max="2570" width="5.7109375" style="89" bestFit="1" customWidth="1"/>
    <col min="2571" max="2571" width="5.85546875" style="89" bestFit="1" customWidth="1"/>
    <col min="2572" max="2572" width="9.42578125" style="89" customWidth="1"/>
    <col min="2573" max="2573" width="5.140625" style="89" customWidth="1"/>
    <col min="2574" max="2574" width="9.7109375" style="89" customWidth="1"/>
    <col min="2575" max="2575" width="6.7109375" style="89" bestFit="1" customWidth="1"/>
    <col min="2576" max="2576" width="4.85546875" style="89" customWidth="1"/>
    <col min="2577" max="2577" width="5.28515625" style="89" customWidth="1"/>
    <col min="2578" max="2579" width="4.42578125" style="89" bestFit="1" customWidth="1"/>
    <col min="2580" max="2580" width="13.28515625" style="89" bestFit="1" customWidth="1"/>
    <col min="2581" max="2581" width="3.140625" style="89" customWidth="1"/>
    <col min="2582" max="2582" width="5.42578125" style="89" bestFit="1" customWidth="1"/>
    <col min="2583" max="2583" width="4.42578125" style="89" bestFit="1" customWidth="1"/>
    <col min="2584" max="2584" width="6.42578125" style="89" customWidth="1"/>
    <col min="2585" max="2585" width="5" style="89" bestFit="1" customWidth="1"/>
    <col min="2586" max="2586" width="4.5703125" style="89" bestFit="1" customWidth="1"/>
    <col min="2587" max="2587" width="4.42578125" style="89" bestFit="1" customWidth="1"/>
    <col min="2588" max="2588" width="4" style="89" customWidth="1"/>
    <col min="2589" max="2816" width="11.42578125" style="89"/>
    <col min="2817" max="2817" width="14.85546875" style="89" bestFit="1" customWidth="1"/>
    <col min="2818" max="2818" width="28" style="89" bestFit="1" customWidth="1"/>
    <col min="2819" max="2819" width="4.42578125" style="89" bestFit="1" customWidth="1"/>
    <col min="2820" max="2820" width="8" style="89" bestFit="1" customWidth="1"/>
    <col min="2821" max="2821" width="11.42578125" style="89"/>
    <col min="2822" max="2822" width="22.85546875" style="89" bestFit="1" customWidth="1"/>
    <col min="2823" max="2823" width="7" style="89" customWidth="1"/>
    <col min="2824" max="2824" width="6.28515625" style="89" customWidth="1"/>
    <col min="2825" max="2825" width="5.7109375" style="89" customWidth="1"/>
    <col min="2826" max="2826" width="5.7109375" style="89" bestFit="1" customWidth="1"/>
    <col min="2827" max="2827" width="5.85546875" style="89" bestFit="1" customWidth="1"/>
    <col min="2828" max="2828" width="9.42578125" style="89" customWidth="1"/>
    <col min="2829" max="2829" width="5.140625" style="89" customWidth="1"/>
    <col min="2830" max="2830" width="9.7109375" style="89" customWidth="1"/>
    <col min="2831" max="2831" width="6.7109375" style="89" bestFit="1" customWidth="1"/>
    <col min="2832" max="2832" width="4.85546875" style="89" customWidth="1"/>
    <col min="2833" max="2833" width="5.28515625" style="89" customWidth="1"/>
    <col min="2834" max="2835" width="4.42578125" style="89" bestFit="1" customWidth="1"/>
    <col min="2836" max="2836" width="13.28515625" style="89" bestFit="1" customWidth="1"/>
    <col min="2837" max="2837" width="3.140625" style="89" customWidth="1"/>
    <col min="2838" max="2838" width="5.42578125" style="89" bestFit="1" customWidth="1"/>
    <col min="2839" max="2839" width="4.42578125" style="89" bestFit="1" customWidth="1"/>
    <col min="2840" max="2840" width="6.42578125" style="89" customWidth="1"/>
    <col min="2841" max="2841" width="5" style="89" bestFit="1" customWidth="1"/>
    <col min="2842" max="2842" width="4.5703125" style="89" bestFit="1" customWidth="1"/>
    <col min="2843" max="2843" width="4.42578125" style="89" bestFit="1" customWidth="1"/>
    <col min="2844" max="2844" width="4" style="89" customWidth="1"/>
    <col min="2845" max="3072" width="11.42578125" style="89"/>
    <col min="3073" max="3073" width="14.85546875" style="89" bestFit="1" customWidth="1"/>
    <col min="3074" max="3074" width="28" style="89" bestFit="1" customWidth="1"/>
    <col min="3075" max="3075" width="4.42578125" style="89" bestFit="1" customWidth="1"/>
    <col min="3076" max="3076" width="8" style="89" bestFit="1" customWidth="1"/>
    <col min="3077" max="3077" width="11.42578125" style="89"/>
    <col min="3078" max="3078" width="22.85546875" style="89" bestFit="1" customWidth="1"/>
    <col min="3079" max="3079" width="7" style="89" customWidth="1"/>
    <col min="3080" max="3080" width="6.28515625" style="89" customWidth="1"/>
    <col min="3081" max="3081" width="5.7109375" style="89" customWidth="1"/>
    <col min="3082" max="3082" width="5.7109375" style="89" bestFit="1" customWidth="1"/>
    <col min="3083" max="3083" width="5.85546875" style="89" bestFit="1" customWidth="1"/>
    <col min="3084" max="3084" width="9.42578125" style="89" customWidth="1"/>
    <col min="3085" max="3085" width="5.140625" style="89" customWidth="1"/>
    <col min="3086" max="3086" width="9.7109375" style="89" customWidth="1"/>
    <col min="3087" max="3087" width="6.7109375" style="89" bestFit="1" customWidth="1"/>
    <col min="3088" max="3088" width="4.85546875" style="89" customWidth="1"/>
    <col min="3089" max="3089" width="5.28515625" style="89" customWidth="1"/>
    <col min="3090" max="3091" width="4.42578125" style="89" bestFit="1" customWidth="1"/>
    <col min="3092" max="3092" width="13.28515625" style="89" bestFit="1" customWidth="1"/>
    <col min="3093" max="3093" width="3.140625" style="89" customWidth="1"/>
    <col min="3094" max="3094" width="5.42578125" style="89" bestFit="1" customWidth="1"/>
    <col min="3095" max="3095" width="4.42578125" style="89" bestFit="1" customWidth="1"/>
    <col min="3096" max="3096" width="6.42578125" style="89" customWidth="1"/>
    <col min="3097" max="3097" width="5" style="89" bestFit="1" customWidth="1"/>
    <col min="3098" max="3098" width="4.5703125" style="89" bestFit="1" customWidth="1"/>
    <col min="3099" max="3099" width="4.42578125" style="89" bestFit="1" customWidth="1"/>
    <col min="3100" max="3100" width="4" style="89" customWidth="1"/>
    <col min="3101" max="3328" width="11.42578125" style="89"/>
    <col min="3329" max="3329" width="14.85546875" style="89" bestFit="1" customWidth="1"/>
    <col min="3330" max="3330" width="28" style="89" bestFit="1" customWidth="1"/>
    <col min="3331" max="3331" width="4.42578125" style="89" bestFit="1" customWidth="1"/>
    <col min="3332" max="3332" width="8" style="89" bestFit="1" customWidth="1"/>
    <col min="3333" max="3333" width="11.42578125" style="89"/>
    <col min="3334" max="3334" width="22.85546875" style="89" bestFit="1" customWidth="1"/>
    <col min="3335" max="3335" width="7" style="89" customWidth="1"/>
    <col min="3336" max="3336" width="6.28515625" style="89" customWidth="1"/>
    <col min="3337" max="3337" width="5.7109375" style="89" customWidth="1"/>
    <col min="3338" max="3338" width="5.7109375" style="89" bestFit="1" customWidth="1"/>
    <col min="3339" max="3339" width="5.85546875" style="89" bestFit="1" customWidth="1"/>
    <col min="3340" max="3340" width="9.42578125" style="89" customWidth="1"/>
    <col min="3341" max="3341" width="5.140625" style="89" customWidth="1"/>
    <col min="3342" max="3342" width="9.7109375" style="89" customWidth="1"/>
    <col min="3343" max="3343" width="6.7109375" style="89" bestFit="1" customWidth="1"/>
    <col min="3344" max="3344" width="4.85546875" style="89" customWidth="1"/>
    <col min="3345" max="3345" width="5.28515625" style="89" customWidth="1"/>
    <col min="3346" max="3347" width="4.42578125" style="89" bestFit="1" customWidth="1"/>
    <col min="3348" max="3348" width="13.28515625" style="89" bestFit="1" customWidth="1"/>
    <col min="3349" max="3349" width="3.140625" style="89" customWidth="1"/>
    <col min="3350" max="3350" width="5.42578125" style="89" bestFit="1" customWidth="1"/>
    <col min="3351" max="3351" width="4.42578125" style="89" bestFit="1" customWidth="1"/>
    <col min="3352" max="3352" width="6.42578125" style="89" customWidth="1"/>
    <col min="3353" max="3353" width="5" style="89" bestFit="1" customWidth="1"/>
    <col min="3354" max="3354" width="4.5703125" style="89" bestFit="1" customWidth="1"/>
    <col min="3355" max="3355" width="4.42578125" style="89" bestFit="1" customWidth="1"/>
    <col min="3356" max="3356" width="4" style="89" customWidth="1"/>
    <col min="3357" max="3584" width="11.42578125" style="89"/>
    <col min="3585" max="3585" width="14.85546875" style="89" bestFit="1" customWidth="1"/>
    <col min="3586" max="3586" width="28" style="89" bestFit="1" customWidth="1"/>
    <col min="3587" max="3587" width="4.42578125" style="89" bestFit="1" customWidth="1"/>
    <col min="3588" max="3588" width="8" style="89" bestFit="1" customWidth="1"/>
    <col min="3589" max="3589" width="11.42578125" style="89"/>
    <col min="3590" max="3590" width="22.85546875" style="89" bestFit="1" customWidth="1"/>
    <col min="3591" max="3591" width="7" style="89" customWidth="1"/>
    <col min="3592" max="3592" width="6.28515625" style="89" customWidth="1"/>
    <col min="3593" max="3593" width="5.7109375" style="89" customWidth="1"/>
    <col min="3594" max="3594" width="5.7109375" style="89" bestFit="1" customWidth="1"/>
    <col min="3595" max="3595" width="5.85546875" style="89" bestFit="1" customWidth="1"/>
    <col min="3596" max="3596" width="9.42578125" style="89" customWidth="1"/>
    <col min="3597" max="3597" width="5.140625" style="89" customWidth="1"/>
    <col min="3598" max="3598" width="9.7109375" style="89" customWidth="1"/>
    <col min="3599" max="3599" width="6.7109375" style="89" bestFit="1" customWidth="1"/>
    <col min="3600" max="3600" width="4.85546875" style="89" customWidth="1"/>
    <col min="3601" max="3601" width="5.28515625" style="89" customWidth="1"/>
    <col min="3602" max="3603" width="4.42578125" style="89" bestFit="1" customWidth="1"/>
    <col min="3604" max="3604" width="13.28515625" style="89" bestFit="1" customWidth="1"/>
    <col min="3605" max="3605" width="3.140625" style="89" customWidth="1"/>
    <col min="3606" max="3606" width="5.42578125" style="89" bestFit="1" customWidth="1"/>
    <col min="3607" max="3607" width="4.42578125" style="89" bestFit="1" customWidth="1"/>
    <col min="3608" max="3608" width="6.42578125" style="89" customWidth="1"/>
    <col min="3609" max="3609" width="5" style="89" bestFit="1" customWidth="1"/>
    <col min="3610" max="3610" width="4.5703125" style="89" bestFit="1" customWidth="1"/>
    <col min="3611" max="3611" width="4.42578125" style="89" bestFit="1" customWidth="1"/>
    <col min="3612" max="3612" width="4" style="89" customWidth="1"/>
    <col min="3613" max="3840" width="11.42578125" style="89"/>
    <col min="3841" max="3841" width="14.85546875" style="89" bestFit="1" customWidth="1"/>
    <col min="3842" max="3842" width="28" style="89" bestFit="1" customWidth="1"/>
    <col min="3843" max="3843" width="4.42578125" style="89" bestFit="1" customWidth="1"/>
    <col min="3844" max="3844" width="8" style="89" bestFit="1" customWidth="1"/>
    <col min="3845" max="3845" width="11.42578125" style="89"/>
    <col min="3846" max="3846" width="22.85546875" style="89" bestFit="1" customWidth="1"/>
    <col min="3847" max="3847" width="7" style="89" customWidth="1"/>
    <col min="3848" max="3848" width="6.28515625" style="89" customWidth="1"/>
    <col min="3849" max="3849" width="5.7109375" style="89" customWidth="1"/>
    <col min="3850" max="3850" width="5.7109375" style="89" bestFit="1" customWidth="1"/>
    <col min="3851" max="3851" width="5.85546875" style="89" bestFit="1" customWidth="1"/>
    <col min="3852" max="3852" width="9.42578125" style="89" customWidth="1"/>
    <col min="3853" max="3853" width="5.140625" style="89" customWidth="1"/>
    <col min="3854" max="3854" width="9.7109375" style="89" customWidth="1"/>
    <col min="3855" max="3855" width="6.7109375" style="89" bestFit="1" customWidth="1"/>
    <col min="3856" max="3856" width="4.85546875" style="89" customWidth="1"/>
    <col min="3857" max="3857" width="5.28515625" style="89" customWidth="1"/>
    <col min="3858" max="3859" width="4.42578125" style="89" bestFit="1" customWidth="1"/>
    <col min="3860" max="3860" width="13.28515625" style="89" bestFit="1" customWidth="1"/>
    <col min="3861" max="3861" width="3.140625" style="89" customWidth="1"/>
    <col min="3862" max="3862" width="5.42578125" style="89" bestFit="1" customWidth="1"/>
    <col min="3863" max="3863" width="4.42578125" style="89" bestFit="1" customWidth="1"/>
    <col min="3864" max="3864" width="6.42578125" style="89" customWidth="1"/>
    <col min="3865" max="3865" width="5" style="89" bestFit="1" customWidth="1"/>
    <col min="3866" max="3866" width="4.5703125" style="89" bestFit="1" customWidth="1"/>
    <col min="3867" max="3867" width="4.42578125" style="89" bestFit="1" customWidth="1"/>
    <col min="3868" max="3868" width="4" style="89" customWidth="1"/>
    <col min="3869" max="4096" width="11.42578125" style="89"/>
    <col min="4097" max="4097" width="14.85546875" style="89" bestFit="1" customWidth="1"/>
    <col min="4098" max="4098" width="28" style="89" bestFit="1" customWidth="1"/>
    <col min="4099" max="4099" width="4.42578125" style="89" bestFit="1" customWidth="1"/>
    <col min="4100" max="4100" width="8" style="89" bestFit="1" customWidth="1"/>
    <col min="4101" max="4101" width="11.42578125" style="89"/>
    <col min="4102" max="4102" width="22.85546875" style="89" bestFit="1" customWidth="1"/>
    <col min="4103" max="4103" width="7" style="89" customWidth="1"/>
    <col min="4104" max="4104" width="6.28515625" style="89" customWidth="1"/>
    <col min="4105" max="4105" width="5.7109375" style="89" customWidth="1"/>
    <col min="4106" max="4106" width="5.7109375" style="89" bestFit="1" customWidth="1"/>
    <col min="4107" max="4107" width="5.85546875" style="89" bestFit="1" customWidth="1"/>
    <col min="4108" max="4108" width="9.42578125" style="89" customWidth="1"/>
    <col min="4109" max="4109" width="5.140625" style="89" customWidth="1"/>
    <col min="4110" max="4110" width="9.7109375" style="89" customWidth="1"/>
    <col min="4111" max="4111" width="6.7109375" style="89" bestFit="1" customWidth="1"/>
    <col min="4112" max="4112" width="4.85546875" style="89" customWidth="1"/>
    <col min="4113" max="4113" width="5.28515625" style="89" customWidth="1"/>
    <col min="4114" max="4115" width="4.42578125" style="89" bestFit="1" customWidth="1"/>
    <col min="4116" max="4116" width="13.28515625" style="89" bestFit="1" customWidth="1"/>
    <col min="4117" max="4117" width="3.140625" style="89" customWidth="1"/>
    <col min="4118" max="4118" width="5.42578125" style="89" bestFit="1" customWidth="1"/>
    <col min="4119" max="4119" width="4.42578125" style="89" bestFit="1" customWidth="1"/>
    <col min="4120" max="4120" width="6.42578125" style="89" customWidth="1"/>
    <col min="4121" max="4121" width="5" style="89" bestFit="1" customWidth="1"/>
    <col min="4122" max="4122" width="4.5703125" style="89" bestFit="1" customWidth="1"/>
    <col min="4123" max="4123" width="4.42578125" style="89" bestFit="1" customWidth="1"/>
    <col min="4124" max="4124" width="4" style="89" customWidth="1"/>
    <col min="4125" max="4352" width="11.42578125" style="89"/>
    <col min="4353" max="4353" width="14.85546875" style="89" bestFit="1" customWidth="1"/>
    <col min="4354" max="4354" width="28" style="89" bestFit="1" customWidth="1"/>
    <col min="4355" max="4355" width="4.42578125" style="89" bestFit="1" customWidth="1"/>
    <col min="4356" max="4356" width="8" style="89" bestFit="1" customWidth="1"/>
    <col min="4357" max="4357" width="11.42578125" style="89"/>
    <col min="4358" max="4358" width="22.85546875" style="89" bestFit="1" customWidth="1"/>
    <col min="4359" max="4359" width="7" style="89" customWidth="1"/>
    <col min="4360" max="4360" width="6.28515625" style="89" customWidth="1"/>
    <col min="4361" max="4361" width="5.7109375" style="89" customWidth="1"/>
    <col min="4362" max="4362" width="5.7109375" style="89" bestFit="1" customWidth="1"/>
    <col min="4363" max="4363" width="5.85546875" style="89" bestFit="1" customWidth="1"/>
    <col min="4364" max="4364" width="9.42578125" style="89" customWidth="1"/>
    <col min="4365" max="4365" width="5.140625" style="89" customWidth="1"/>
    <col min="4366" max="4366" width="9.7109375" style="89" customWidth="1"/>
    <col min="4367" max="4367" width="6.7109375" style="89" bestFit="1" customWidth="1"/>
    <col min="4368" max="4368" width="4.85546875" style="89" customWidth="1"/>
    <col min="4369" max="4369" width="5.28515625" style="89" customWidth="1"/>
    <col min="4370" max="4371" width="4.42578125" style="89" bestFit="1" customWidth="1"/>
    <col min="4372" max="4372" width="13.28515625" style="89" bestFit="1" customWidth="1"/>
    <col min="4373" max="4373" width="3.140625" style="89" customWidth="1"/>
    <col min="4374" max="4374" width="5.42578125" style="89" bestFit="1" customWidth="1"/>
    <col min="4375" max="4375" width="4.42578125" style="89" bestFit="1" customWidth="1"/>
    <col min="4376" max="4376" width="6.42578125" style="89" customWidth="1"/>
    <col min="4377" max="4377" width="5" style="89" bestFit="1" customWidth="1"/>
    <col min="4378" max="4378" width="4.5703125" style="89" bestFit="1" customWidth="1"/>
    <col min="4379" max="4379" width="4.42578125" style="89" bestFit="1" customWidth="1"/>
    <col min="4380" max="4380" width="4" style="89" customWidth="1"/>
    <col min="4381" max="4608" width="11.42578125" style="89"/>
    <col min="4609" max="4609" width="14.85546875" style="89" bestFit="1" customWidth="1"/>
    <col min="4610" max="4610" width="28" style="89" bestFit="1" customWidth="1"/>
    <col min="4611" max="4611" width="4.42578125" style="89" bestFit="1" customWidth="1"/>
    <col min="4612" max="4612" width="8" style="89" bestFit="1" customWidth="1"/>
    <col min="4613" max="4613" width="11.42578125" style="89"/>
    <col min="4614" max="4614" width="22.85546875" style="89" bestFit="1" customWidth="1"/>
    <col min="4615" max="4615" width="7" style="89" customWidth="1"/>
    <col min="4616" max="4616" width="6.28515625" style="89" customWidth="1"/>
    <col min="4617" max="4617" width="5.7109375" style="89" customWidth="1"/>
    <col min="4618" max="4618" width="5.7109375" style="89" bestFit="1" customWidth="1"/>
    <col min="4619" max="4619" width="5.85546875" style="89" bestFit="1" customWidth="1"/>
    <col min="4620" max="4620" width="9.42578125" style="89" customWidth="1"/>
    <col min="4621" max="4621" width="5.140625" style="89" customWidth="1"/>
    <col min="4622" max="4622" width="9.7109375" style="89" customWidth="1"/>
    <col min="4623" max="4623" width="6.7109375" style="89" bestFit="1" customWidth="1"/>
    <col min="4624" max="4624" width="4.85546875" style="89" customWidth="1"/>
    <col min="4625" max="4625" width="5.28515625" style="89" customWidth="1"/>
    <col min="4626" max="4627" width="4.42578125" style="89" bestFit="1" customWidth="1"/>
    <col min="4628" max="4628" width="13.28515625" style="89" bestFit="1" customWidth="1"/>
    <col min="4629" max="4629" width="3.140625" style="89" customWidth="1"/>
    <col min="4630" max="4630" width="5.42578125" style="89" bestFit="1" customWidth="1"/>
    <col min="4631" max="4631" width="4.42578125" style="89" bestFit="1" customWidth="1"/>
    <col min="4632" max="4632" width="6.42578125" style="89" customWidth="1"/>
    <col min="4633" max="4633" width="5" style="89" bestFit="1" customWidth="1"/>
    <col min="4634" max="4634" width="4.5703125" style="89" bestFit="1" customWidth="1"/>
    <col min="4635" max="4635" width="4.42578125" style="89" bestFit="1" customWidth="1"/>
    <col min="4636" max="4636" width="4" style="89" customWidth="1"/>
    <col min="4637" max="4864" width="11.42578125" style="89"/>
    <col min="4865" max="4865" width="14.85546875" style="89" bestFit="1" customWidth="1"/>
    <col min="4866" max="4866" width="28" style="89" bestFit="1" customWidth="1"/>
    <col min="4867" max="4867" width="4.42578125" style="89" bestFit="1" customWidth="1"/>
    <col min="4868" max="4868" width="8" style="89" bestFit="1" customWidth="1"/>
    <col min="4869" max="4869" width="11.42578125" style="89"/>
    <col min="4870" max="4870" width="22.85546875" style="89" bestFit="1" customWidth="1"/>
    <col min="4871" max="4871" width="7" style="89" customWidth="1"/>
    <col min="4872" max="4872" width="6.28515625" style="89" customWidth="1"/>
    <col min="4873" max="4873" width="5.7109375" style="89" customWidth="1"/>
    <col min="4874" max="4874" width="5.7109375" style="89" bestFit="1" customWidth="1"/>
    <col min="4875" max="4875" width="5.85546875" style="89" bestFit="1" customWidth="1"/>
    <col min="4876" max="4876" width="9.42578125" style="89" customWidth="1"/>
    <col min="4877" max="4877" width="5.140625" style="89" customWidth="1"/>
    <col min="4878" max="4878" width="9.7109375" style="89" customWidth="1"/>
    <col min="4879" max="4879" width="6.7109375" style="89" bestFit="1" customWidth="1"/>
    <col min="4880" max="4880" width="4.85546875" style="89" customWidth="1"/>
    <col min="4881" max="4881" width="5.28515625" style="89" customWidth="1"/>
    <col min="4882" max="4883" width="4.42578125" style="89" bestFit="1" customWidth="1"/>
    <col min="4884" max="4884" width="13.28515625" style="89" bestFit="1" customWidth="1"/>
    <col min="4885" max="4885" width="3.140625" style="89" customWidth="1"/>
    <col min="4886" max="4886" width="5.42578125" style="89" bestFit="1" customWidth="1"/>
    <col min="4887" max="4887" width="4.42578125" style="89" bestFit="1" customWidth="1"/>
    <col min="4888" max="4888" width="6.42578125" style="89" customWidth="1"/>
    <col min="4889" max="4889" width="5" style="89" bestFit="1" customWidth="1"/>
    <col min="4890" max="4890" width="4.5703125" style="89" bestFit="1" customWidth="1"/>
    <col min="4891" max="4891" width="4.42578125" style="89" bestFit="1" customWidth="1"/>
    <col min="4892" max="4892" width="4" style="89" customWidth="1"/>
    <col min="4893" max="5120" width="11.42578125" style="89"/>
    <col min="5121" max="5121" width="14.85546875" style="89" bestFit="1" customWidth="1"/>
    <col min="5122" max="5122" width="28" style="89" bestFit="1" customWidth="1"/>
    <col min="5123" max="5123" width="4.42578125" style="89" bestFit="1" customWidth="1"/>
    <col min="5124" max="5124" width="8" style="89" bestFit="1" customWidth="1"/>
    <col min="5125" max="5125" width="11.42578125" style="89"/>
    <col min="5126" max="5126" width="22.85546875" style="89" bestFit="1" customWidth="1"/>
    <col min="5127" max="5127" width="7" style="89" customWidth="1"/>
    <col min="5128" max="5128" width="6.28515625" style="89" customWidth="1"/>
    <col min="5129" max="5129" width="5.7109375" style="89" customWidth="1"/>
    <col min="5130" max="5130" width="5.7109375" style="89" bestFit="1" customWidth="1"/>
    <col min="5131" max="5131" width="5.85546875" style="89" bestFit="1" customWidth="1"/>
    <col min="5132" max="5132" width="9.42578125" style="89" customWidth="1"/>
    <col min="5133" max="5133" width="5.140625" style="89" customWidth="1"/>
    <col min="5134" max="5134" width="9.7109375" style="89" customWidth="1"/>
    <col min="5135" max="5135" width="6.7109375" style="89" bestFit="1" customWidth="1"/>
    <col min="5136" max="5136" width="4.85546875" style="89" customWidth="1"/>
    <col min="5137" max="5137" width="5.28515625" style="89" customWidth="1"/>
    <col min="5138" max="5139" width="4.42578125" style="89" bestFit="1" customWidth="1"/>
    <col min="5140" max="5140" width="13.28515625" style="89" bestFit="1" customWidth="1"/>
    <col min="5141" max="5141" width="3.140625" style="89" customWidth="1"/>
    <col min="5142" max="5142" width="5.42578125" style="89" bestFit="1" customWidth="1"/>
    <col min="5143" max="5143" width="4.42578125" style="89" bestFit="1" customWidth="1"/>
    <col min="5144" max="5144" width="6.42578125" style="89" customWidth="1"/>
    <col min="5145" max="5145" width="5" style="89" bestFit="1" customWidth="1"/>
    <col min="5146" max="5146" width="4.5703125" style="89" bestFit="1" customWidth="1"/>
    <col min="5147" max="5147" width="4.42578125" style="89" bestFit="1" customWidth="1"/>
    <col min="5148" max="5148" width="4" style="89" customWidth="1"/>
    <col min="5149" max="5376" width="11.42578125" style="89"/>
    <col min="5377" max="5377" width="14.85546875" style="89" bestFit="1" customWidth="1"/>
    <col min="5378" max="5378" width="28" style="89" bestFit="1" customWidth="1"/>
    <col min="5379" max="5379" width="4.42578125" style="89" bestFit="1" customWidth="1"/>
    <col min="5380" max="5380" width="8" style="89" bestFit="1" customWidth="1"/>
    <col min="5381" max="5381" width="11.42578125" style="89"/>
    <col min="5382" max="5382" width="22.85546875" style="89" bestFit="1" customWidth="1"/>
    <col min="5383" max="5383" width="7" style="89" customWidth="1"/>
    <col min="5384" max="5384" width="6.28515625" style="89" customWidth="1"/>
    <col min="5385" max="5385" width="5.7109375" style="89" customWidth="1"/>
    <col min="5386" max="5386" width="5.7109375" style="89" bestFit="1" customWidth="1"/>
    <col min="5387" max="5387" width="5.85546875" style="89" bestFit="1" customWidth="1"/>
    <col min="5388" max="5388" width="9.42578125" style="89" customWidth="1"/>
    <col min="5389" max="5389" width="5.140625" style="89" customWidth="1"/>
    <col min="5390" max="5390" width="9.7109375" style="89" customWidth="1"/>
    <col min="5391" max="5391" width="6.7109375" style="89" bestFit="1" customWidth="1"/>
    <col min="5392" max="5392" width="4.85546875" style="89" customWidth="1"/>
    <col min="5393" max="5393" width="5.28515625" style="89" customWidth="1"/>
    <col min="5394" max="5395" width="4.42578125" style="89" bestFit="1" customWidth="1"/>
    <col min="5396" max="5396" width="13.28515625" style="89" bestFit="1" customWidth="1"/>
    <col min="5397" max="5397" width="3.140625" style="89" customWidth="1"/>
    <col min="5398" max="5398" width="5.42578125" style="89" bestFit="1" customWidth="1"/>
    <col min="5399" max="5399" width="4.42578125" style="89" bestFit="1" customWidth="1"/>
    <col min="5400" max="5400" width="6.42578125" style="89" customWidth="1"/>
    <col min="5401" max="5401" width="5" style="89" bestFit="1" customWidth="1"/>
    <col min="5402" max="5402" width="4.5703125" style="89" bestFit="1" customWidth="1"/>
    <col min="5403" max="5403" width="4.42578125" style="89" bestFit="1" customWidth="1"/>
    <col min="5404" max="5404" width="4" style="89" customWidth="1"/>
    <col min="5405" max="5632" width="11.42578125" style="89"/>
    <col min="5633" max="5633" width="14.85546875" style="89" bestFit="1" customWidth="1"/>
    <col min="5634" max="5634" width="28" style="89" bestFit="1" customWidth="1"/>
    <col min="5635" max="5635" width="4.42578125" style="89" bestFit="1" customWidth="1"/>
    <col min="5636" max="5636" width="8" style="89" bestFit="1" customWidth="1"/>
    <col min="5637" max="5637" width="11.42578125" style="89"/>
    <col min="5638" max="5638" width="22.85546875" style="89" bestFit="1" customWidth="1"/>
    <col min="5639" max="5639" width="7" style="89" customWidth="1"/>
    <col min="5640" max="5640" width="6.28515625" style="89" customWidth="1"/>
    <col min="5641" max="5641" width="5.7109375" style="89" customWidth="1"/>
    <col min="5642" max="5642" width="5.7109375" style="89" bestFit="1" customWidth="1"/>
    <col min="5643" max="5643" width="5.85546875" style="89" bestFit="1" customWidth="1"/>
    <col min="5644" max="5644" width="9.42578125" style="89" customWidth="1"/>
    <col min="5645" max="5645" width="5.140625" style="89" customWidth="1"/>
    <col min="5646" max="5646" width="9.7109375" style="89" customWidth="1"/>
    <col min="5647" max="5647" width="6.7109375" style="89" bestFit="1" customWidth="1"/>
    <col min="5648" max="5648" width="4.85546875" style="89" customWidth="1"/>
    <col min="5649" max="5649" width="5.28515625" style="89" customWidth="1"/>
    <col min="5650" max="5651" width="4.42578125" style="89" bestFit="1" customWidth="1"/>
    <col min="5652" max="5652" width="13.28515625" style="89" bestFit="1" customWidth="1"/>
    <col min="5653" max="5653" width="3.140625" style="89" customWidth="1"/>
    <col min="5654" max="5654" width="5.42578125" style="89" bestFit="1" customWidth="1"/>
    <col min="5655" max="5655" width="4.42578125" style="89" bestFit="1" customWidth="1"/>
    <col min="5656" max="5656" width="6.42578125" style="89" customWidth="1"/>
    <col min="5657" max="5657" width="5" style="89" bestFit="1" customWidth="1"/>
    <col min="5658" max="5658" width="4.5703125" style="89" bestFit="1" customWidth="1"/>
    <col min="5659" max="5659" width="4.42578125" style="89" bestFit="1" customWidth="1"/>
    <col min="5660" max="5660" width="4" style="89" customWidth="1"/>
    <col min="5661" max="5888" width="11.42578125" style="89"/>
    <col min="5889" max="5889" width="14.85546875" style="89" bestFit="1" customWidth="1"/>
    <col min="5890" max="5890" width="28" style="89" bestFit="1" customWidth="1"/>
    <col min="5891" max="5891" width="4.42578125" style="89" bestFit="1" customWidth="1"/>
    <col min="5892" max="5892" width="8" style="89" bestFit="1" customWidth="1"/>
    <col min="5893" max="5893" width="11.42578125" style="89"/>
    <col min="5894" max="5894" width="22.85546875" style="89" bestFit="1" customWidth="1"/>
    <col min="5895" max="5895" width="7" style="89" customWidth="1"/>
    <col min="5896" max="5896" width="6.28515625" style="89" customWidth="1"/>
    <col min="5897" max="5897" width="5.7109375" style="89" customWidth="1"/>
    <col min="5898" max="5898" width="5.7109375" style="89" bestFit="1" customWidth="1"/>
    <col min="5899" max="5899" width="5.85546875" style="89" bestFit="1" customWidth="1"/>
    <col min="5900" max="5900" width="9.42578125" style="89" customWidth="1"/>
    <col min="5901" max="5901" width="5.140625" style="89" customWidth="1"/>
    <col min="5902" max="5902" width="9.7109375" style="89" customWidth="1"/>
    <col min="5903" max="5903" width="6.7109375" style="89" bestFit="1" customWidth="1"/>
    <col min="5904" max="5904" width="4.85546875" style="89" customWidth="1"/>
    <col min="5905" max="5905" width="5.28515625" style="89" customWidth="1"/>
    <col min="5906" max="5907" width="4.42578125" style="89" bestFit="1" customWidth="1"/>
    <col min="5908" max="5908" width="13.28515625" style="89" bestFit="1" customWidth="1"/>
    <col min="5909" max="5909" width="3.140625" style="89" customWidth="1"/>
    <col min="5910" max="5910" width="5.42578125" style="89" bestFit="1" customWidth="1"/>
    <col min="5911" max="5911" width="4.42578125" style="89" bestFit="1" customWidth="1"/>
    <col min="5912" max="5912" width="6.42578125" style="89" customWidth="1"/>
    <col min="5913" max="5913" width="5" style="89" bestFit="1" customWidth="1"/>
    <col min="5914" max="5914" width="4.5703125" style="89" bestFit="1" customWidth="1"/>
    <col min="5915" max="5915" width="4.42578125" style="89" bestFit="1" customWidth="1"/>
    <col min="5916" max="5916" width="4" style="89" customWidth="1"/>
    <col min="5917" max="6144" width="11.42578125" style="89"/>
    <col min="6145" max="6145" width="14.85546875" style="89" bestFit="1" customWidth="1"/>
    <col min="6146" max="6146" width="28" style="89" bestFit="1" customWidth="1"/>
    <col min="6147" max="6147" width="4.42578125" style="89" bestFit="1" customWidth="1"/>
    <col min="6148" max="6148" width="8" style="89" bestFit="1" customWidth="1"/>
    <col min="6149" max="6149" width="11.42578125" style="89"/>
    <col min="6150" max="6150" width="22.85546875" style="89" bestFit="1" customWidth="1"/>
    <col min="6151" max="6151" width="7" style="89" customWidth="1"/>
    <col min="6152" max="6152" width="6.28515625" style="89" customWidth="1"/>
    <col min="6153" max="6153" width="5.7109375" style="89" customWidth="1"/>
    <col min="6154" max="6154" width="5.7109375" style="89" bestFit="1" customWidth="1"/>
    <col min="6155" max="6155" width="5.85546875" style="89" bestFit="1" customWidth="1"/>
    <col min="6156" max="6156" width="9.42578125" style="89" customWidth="1"/>
    <col min="6157" max="6157" width="5.140625" style="89" customWidth="1"/>
    <col min="6158" max="6158" width="9.7109375" style="89" customWidth="1"/>
    <col min="6159" max="6159" width="6.7109375" style="89" bestFit="1" customWidth="1"/>
    <col min="6160" max="6160" width="4.85546875" style="89" customWidth="1"/>
    <col min="6161" max="6161" width="5.28515625" style="89" customWidth="1"/>
    <col min="6162" max="6163" width="4.42578125" style="89" bestFit="1" customWidth="1"/>
    <col min="6164" max="6164" width="13.28515625" style="89" bestFit="1" customWidth="1"/>
    <col min="6165" max="6165" width="3.140625" style="89" customWidth="1"/>
    <col min="6166" max="6166" width="5.42578125" style="89" bestFit="1" customWidth="1"/>
    <col min="6167" max="6167" width="4.42578125" style="89" bestFit="1" customWidth="1"/>
    <col min="6168" max="6168" width="6.42578125" style="89" customWidth="1"/>
    <col min="6169" max="6169" width="5" style="89" bestFit="1" customWidth="1"/>
    <col min="6170" max="6170" width="4.5703125" style="89" bestFit="1" customWidth="1"/>
    <col min="6171" max="6171" width="4.42578125" style="89" bestFit="1" customWidth="1"/>
    <col min="6172" max="6172" width="4" style="89" customWidth="1"/>
    <col min="6173" max="6400" width="11.42578125" style="89"/>
    <col min="6401" max="6401" width="14.85546875" style="89" bestFit="1" customWidth="1"/>
    <col min="6402" max="6402" width="28" style="89" bestFit="1" customWidth="1"/>
    <col min="6403" max="6403" width="4.42578125" style="89" bestFit="1" customWidth="1"/>
    <col min="6404" max="6404" width="8" style="89" bestFit="1" customWidth="1"/>
    <col min="6405" max="6405" width="11.42578125" style="89"/>
    <col min="6406" max="6406" width="22.85546875" style="89" bestFit="1" customWidth="1"/>
    <col min="6407" max="6407" width="7" style="89" customWidth="1"/>
    <col min="6408" max="6408" width="6.28515625" style="89" customWidth="1"/>
    <col min="6409" max="6409" width="5.7109375" style="89" customWidth="1"/>
    <col min="6410" max="6410" width="5.7109375" style="89" bestFit="1" customWidth="1"/>
    <col min="6411" max="6411" width="5.85546875" style="89" bestFit="1" customWidth="1"/>
    <col min="6412" max="6412" width="9.42578125" style="89" customWidth="1"/>
    <col min="6413" max="6413" width="5.140625" style="89" customWidth="1"/>
    <col min="6414" max="6414" width="9.7109375" style="89" customWidth="1"/>
    <col min="6415" max="6415" width="6.7109375" style="89" bestFit="1" customWidth="1"/>
    <col min="6416" max="6416" width="4.85546875" style="89" customWidth="1"/>
    <col min="6417" max="6417" width="5.28515625" style="89" customWidth="1"/>
    <col min="6418" max="6419" width="4.42578125" style="89" bestFit="1" customWidth="1"/>
    <col min="6420" max="6420" width="13.28515625" style="89" bestFit="1" customWidth="1"/>
    <col min="6421" max="6421" width="3.140625" style="89" customWidth="1"/>
    <col min="6422" max="6422" width="5.42578125" style="89" bestFit="1" customWidth="1"/>
    <col min="6423" max="6423" width="4.42578125" style="89" bestFit="1" customWidth="1"/>
    <col min="6424" max="6424" width="6.42578125" style="89" customWidth="1"/>
    <col min="6425" max="6425" width="5" style="89" bestFit="1" customWidth="1"/>
    <col min="6426" max="6426" width="4.5703125" style="89" bestFit="1" customWidth="1"/>
    <col min="6427" max="6427" width="4.42578125" style="89" bestFit="1" customWidth="1"/>
    <col min="6428" max="6428" width="4" style="89" customWidth="1"/>
    <col min="6429" max="6656" width="11.42578125" style="89"/>
    <col min="6657" max="6657" width="14.85546875" style="89" bestFit="1" customWidth="1"/>
    <col min="6658" max="6658" width="28" style="89" bestFit="1" customWidth="1"/>
    <col min="6659" max="6659" width="4.42578125" style="89" bestFit="1" customWidth="1"/>
    <col min="6660" max="6660" width="8" style="89" bestFit="1" customWidth="1"/>
    <col min="6661" max="6661" width="11.42578125" style="89"/>
    <col min="6662" max="6662" width="22.85546875" style="89" bestFit="1" customWidth="1"/>
    <col min="6663" max="6663" width="7" style="89" customWidth="1"/>
    <col min="6664" max="6664" width="6.28515625" style="89" customWidth="1"/>
    <col min="6665" max="6665" width="5.7109375" style="89" customWidth="1"/>
    <col min="6666" max="6666" width="5.7109375" style="89" bestFit="1" customWidth="1"/>
    <col min="6667" max="6667" width="5.85546875" style="89" bestFit="1" customWidth="1"/>
    <col min="6668" max="6668" width="9.42578125" style="89" customWidth="1"/>
    <col min="6669" max="6669" width="5.140625" style="89" customWidth="1"/>
    <col min="6670" max="6670" width="9.7109375" style="89" customWidth="1"/>
    <col min="6671" max="6671" width="6.7109375" style="89" bestFit="1" customWidth="1"/>
    <col min="6672" max="6672" width="4.85546875" style="89" customWidth="1"/>
    <col min="6673" max="6673" width="5.28515625" style="89" customWidth="1"/>
    <col min="6674" max="6675" width="4.42578125" style="89" bestFit="1" customWidth="1"/>
    <col min="6676" max="6676" width="13.28515625" style="89" bestFit="1" customWidth="1"/>
    <col min="6677" max="6677" width="3.140625" style="89" customWidth="1"/>
    <col min="6678" max="6678" width="5.42578125" style="89" bestFit="1" customWidth="1"/>
    <col min="6679" max="6679" width="4.42578125" style="89" bestFit="1" customWidth="1"/>
    <col min="6680" max="6680" width="6.42578125" style="89" customWidth="1"/>
    <col min="6681" max="6681" width="5" style="89" bestFit="1" customWidth="1"/>
    <col min="6682" max="6682" width="4.5703125" style="89" bestFit="1" customWidth="1"/>
    <col min="6683" max="6683" width="4.42578125" style="89" bestFit="1" customWidth="1"/>
    <col min="6684" max="6684" width="4" style="89" customWidth="1"/>
    <col min="6685" max="6912" width="11.42578125" style="89"/>
    <col min="6913" max="6913" width="14.85546875" style="89" bestFit="1" customWidth="1"/>
    <col min="6914" max="6914" width="28" style="89" bestFit="1" customWidth="1"/>
    <col min="6915" max="6915" width="4.42578125" style="89" bestFit="1" customWidth="1"/>
    <col min="6916" max="6916" width="8" style="89" bestFit="1" customWidth="1"/>
    <col min="6917" max="6917" width="11.42578125" style="89"/>
    <col min="6918" max="6918" width="22.85546875" style="89" bestFit="1" customWidth="1"/>
    <col min="6919" max="6919" width="7" style="89" customWidth="1"/>
    <col min="6920" max="6920" width="6.28515625" style="89" customWidth="1"/>
    <col min="6921" max="6921" width="5.7109375" style="89" customWidth="1"/>
    <col min="6922" max="6922" width="5.7109375" style="89" bestFit="1" customWidth="1"/>
    <col min="6923" max="6923" width="5.85546875" style="89" bestFit="1" customWidth="1"/>
    <col min="6924" max="6924" width="9.42578125" style="89" customWidth="1"/>
    <col min="6925" max="6925" width="5.140625" style="89" customWidth="1"/>
    <col min="6926" max="6926" width="9.7109375" style="89" customWidth="1"/>
    <col min="6927" max="6927" width="6.7109375" style="89" bestFit="1" customWidth="1"/>
    <col min="6928" max="6928" width="4.85546875" style="89" customWidth="1"/>
    <col min="6929" max="6929" width="5.28515625" style="89" customWidth="1"/>
    <col min="6930" max="6931" width="4.42578125" style="89" bestFit="1" customWidth="1"/>
    <col min="6932" max="6932" width="13.28515625" style="89" bestFit="1" customWidth="1"/>
    <col min="6933" max="6933" width="3.140625" style="89" customWidth="1"/>
    <col min="6934" max="6934" width="5.42578125" style="89" bestFit="1" customWidth="1"/>
    <col min="6935" max="6935" width="4.42578125" style="89" bestFit="1" customWidth="1"/>
    <col min="6936" max="6936" width="6.42578125" style="89" customWidth="1"/>
    <col min="6937" max="6937" width="5" style="89" bestFit="1" customWidth="1"/>
    <col min="6938" max="6938" width="4.5703125" style="89" bestFit="1" customWidth="1"/>
    <col min="6939" max="6939" width="4.42578125" style="89" bestFit="1" customWidth="1"/>
    <col min="6940" max="6940" width="4" style="89" customWidth="1"/>
    <col min="6941" max="7168" width="11.42578125" style="89"/>
    <col min="7169" max="7169" width="14.85546875" style="89" bestFit="1" customWidth="1"/>
    <col min="7170" max="7170" width="28" style="89" bestFit="1" customWidth="1"/>
    <col min="7171" max="7171" width="4.42578125" style="89" bestFit="1" customWidth="1"/>
    <col min="7172" max="7172" width="8" style="89" bestFit="1" customWidth="1"/>
    <col min="7173" max="7173" width="11.42578125" style="89"/>
    <col min="7174" max="7174" width="22.85546875" style="89" bestFit="1" customWidth="1"/>
    <col min="7175" max="7175" width="7" style="89" customWidth="1"/>
    <col min="7176" max="7176" width="6.28515625" style="89" customWidth="1"/>
    <col min="7177" max="7177" width="5.7109375" style="89" customWidth="1"/>
    <col min="7178" max="7178" width="5.7109375" style="89" bestFit="1" customWidth="1"/>
    <col min="7179" max="7179" width="5.85546875" style="89" bestFit="1" customWidth="1"/>
    <col min="7180" max="7180" width="9.42578125" style="89" customWidth="1"/>
    <col min="7181" max="7181" width="5.140625" style="89" customWidth="1"/>
    <col min="7182" max="7182" width="9.7109375" style="89" customWidth="1"/>
    <col min="7183" max="7183" width="6.7109375" style="89" bestFit="1" customWidth="1"/>
    <col min="7184" max="7184" width="4.85546875" style="89" customWidth="1"/>
    <col min="7185" max="7185" width="5.28515625" style="89" customWidth="1"/>
    <col min="7186" max="7187" width="4.42578125" style="89" bestFit="1" customWidth="1"/>
    <col min="7188" max="7188" width="13.28515625" style="89" bestFit="1" customWidth="1"/>
    <col min="7189" max="7189" width="3.140625" style="89" customWidth="1"/>
    <col min="7190" max="7190" width="5.42578125" style="89" bestFit="1" customWidth="1"/>
    <col min="7191" max="7191" width="4.42578125" style="89" bestFit="1" customWidth="1"/>
    <col min="7192" max="7192" width="6.42578125" style="89" customWidth="1"/>
    <col min="7193" max="7193" width="5" style="89" bestFit="1" customWidth="1"/>
    <col min="7194" max="7194" width="4.5703125" style="89" bestFit="1" customWidth="1"/>
    <col min="7195" max="7195" width="4.42578125" style="89" bestFit="1" customWidth="1"/>
    <col min="7196" max="7196" width="4" style="89" customWidth="1"/>
    <col min="7197" max="7424" width="11.42578125" style="89"/>
    <col min="7425" max="7425" width="14.85546875" style="89" bestFit="1" customWidth="1"/>
    <col min="7426" max="7426" width="28" style="89" bestFit="1" customWidth="1"/>
    <col min="7427" max="7427" width="4.42578125" style="89" bestFit="1" customWidth="1"/>
    <col min="7428" max="7428" width="8" style="89" bestFit="1" customWidth="1"/>
    <col min="7429" max="7429" width="11.42578125" style="89"/>
    <col min="7430" max="7430" width="22.85546875" style="89" bestFit="1" customWidth="1"/>
    <col min="7431" max="7431" width="7" style="89" customWidth="1"/>
    <col min="7432" max="7432" width="6.28515625" style="89" customWidth="1"/>
    <col min="7433" max="7433" width="5.7109375" style="89" customWidth="1"/>
    <col min="7434" max="7434" width="5.7109375" style="89" bestFit="1" customWidth="1"/>
    <col min="7435" max="7435" width="5.85546875" style="89" bestFit="1" customWidth="1"/>
    <col min="7436" max="7436" width="9.42578125" style="89" customWidth="1"/>
    <col min="7437" max="7437" width="5.140625" style="89" customWidth="1"/>
    <col min="7438" max="7438" width="9.7109375" style="89" customWidth="1"/>
    <col min="7439" max="7439" width="6.7109375" style="89" bestFit="1" customWidth="1"/>
    <col min="7440" max="7440" width="4.85546875" style="89" customWidth="1"/>
    <col min="7441" max="7441" width="5.28515625" style="89" customWidth="1"/>
    <col min="7442" max="7443" width="4.42578125" style="89" bestFit="1" customWidth="1"/>
    <col min="7444" max="7444" width="13.28515625" style="89" bestFit="1" customWidth="1"/>
    <col min="7445" max="7445" width="3.140625" style="89" customWidth="1"/>
    <col min="7446" max="7446" width="5.42578125" style="89" bestFit="1" customWidth="1"/>
    <col min="7447" max="7447" width="4.42578125" style="89" bestFit="1" customWidth="1"/>
    <col min="7448" max="7448" width="6.42578125" style="89" customWidth="1"/>
    <col min="7449" max="7449" width="5" style="89" bestFit="1" customWidth="1"/>
    <col min="7450" max="7450" width="4.5703125" style="89" bestFit="1" customWidth="1"/>
    <col min="7451" max="7451" width="4.42578125" style="89" bestFit="1" customWidth="1"/>
    <col min="7452" max="7452" width="4" style="89" customWidth="1"/>
    <col min="7453" max="7680" width="11.42578125" style="89"/>
    <col min="7681" max="7681" width="14.85546875" style="89" bestFit="1" customWidth="1"/>
    <col min="7682" max="7682" width="28" style="89" bestFit="1" customWidth="1"/>
    <col min="7683" max="7683" width="4.42578125" style="89" bestFit="1" customWidth="1"/>
    <col min="7684" max="7684" width="8" style="89" bestFit="1" customWidth="1"/>
    <col min="7685" max="7685" width="11.42578125" style="89"/>
    <col min="7686" max="7686" width="22.85546875" style="89" bestFit="1" customWidth="1"/>
    <col min="7687" max="7687" width="7" style="89" customWidth="1"/>
    <col min="7688" max="7688" width="6.28515625" style="89" customWidth="1"/>
    <col min="7689" max="7689" width="5.7109375" style="89" customWidth="1"/>
    <col min="7690" max="7690" width="5.7109375" style="89" bestFit="1" customWidth="1"/>
    <col min="7691" max="7691" width="5.85546875" style="89" bestFit="1" customWidth="1"/>
    <col min="7692" max="7692" width="9.42578125" style="89" customWidth="1"/>
    <col min="7693" max="7693" width="5.140625" style="89" customWidth="1"/>
    <col min="7694" max="7694" width="9.7109375" style="89" customWidth="1"/>
    <col min="7695" max="7695" width="6.7109375" style="89" bestFit="1" customWidth="1"/>
    <col min="7696" max="7696" width="4.85546875" style="89" customWidth="1"/>
    <col min="7697" max="7697" width="5.28515625" style="89" customWidth="1"/>
    <col min="7698" max="7699" width="4.42578125" style="89" bestFit="1" customWidth="1"/>
    <col min="7700" max="7700" width="13.28515625" style="89" bestFit="1" customWidth="1"/>
    <col min="7701" max="7701" width="3.140625" style="89" customWidth="1"/>
    <col min="7702" max="7702" width="5.42578125" style="89" bestFit="1" customWidth="1"/>
    <col min="7703" max="7703" width="4.42578125" style="89" bestFit="1" customWidth="1"/>
    <col min="7704" max="7704" width="6.42578125" style="89" customWidth="1"/>
    <col min="7705" max="7705" width="5" style="89" bestFit="1" customWidth="1"/>
    <col min="7706" max="7706" width="4.5703125" style="89" bestFit="1" customWidth="1"/>
    <col min="7707" max="7707" width="4.42578125" style="89" bestFit="1" customWidth="1"/>
    <col min="7708" max="7708" width="4" style="89" customWidth="1"/>
    <col min="7709" max="7936" width="11.42578125" style="89"/>
    <col min="7937" max="7937" width="14.85546875" style="89" bestFit="1" customWidth="1"/>
    <col min="7938" max="7938" width="28" style="89" bestFit="1" customWidth="1"/>
    <col min="7939" max="7939" width="4.42578125" style="89" bestFit="1" customWidth="1"/>
    <col min="7940" max="7940" width="8" style="89" bestFit="1" customWidth="1"/>
    <col min="7941" max="7941" width="11.42578125" style="89"/>
    <col min="7942" max="7942" width="22.85546875" style="89" bestFit="1" customWidth="1"/>
    <col min="7943" max="7943" width="7" style="89" customWidth="1"/>
    <col min="7944" max="7944" width="6.28515625" style="89" customWidth="1"/>
    <col min="7945" max="7945" width="5.7109375" style="89" customWidth="1"/>
    <col min="7946" max="7946" width="5.7109375" style="89" bestFit="1" customWidth="1"/>
    <col min="7947" max="7947" width="5.85546875" style="89" bestFit="1" customWidth="1"/>
    <col min="7948" max="7948" width="9.42578125" style="89" customWidth="1"/>
    <col min="7949" max="7949" width="5.140625" style="89" customWidth="1"/>
    <col min="7950" max="7950" width="9.7109375" style="89" customWidth="1"/>
    <col min="7951" max="7951" width="6.7109375" style="89" bestFit="1" customWidth="1"/>
    <col min="7952" max="7952" width="4.85546875" style="89" customWidth="1"/>
    <col min="7953" max="7953" width="5.28515625" style="89" customWidth="1"/>
    <col min="7954" max="7955" width="4.42578125" style="89" bestFit="1" customWidth="1"/>
    <col min="7956" max="7956" width="13.28515625" style="89" bestFit="1" customWidth="1"/>
    <col min="7957" max="7957" width="3.140625" style="89" customWidth="1"/>
    <col min="7958" max="7958" width="5.42578125" style="89" bestFit="1" customWidth="1"/>
    <col min="7959" max="7959" width="4.42578125" style="89" bestFit="1" customWidth="1"/>
    <col min="7960" max="7960" width="6.42578125" style="89" customWidth="1"/>
    <col min="7961" max="7961" width="5" style="89" bestFit="1" customWidth="1"/>
    <col min="7962" max="7962" width="4.5703125" style="89" bestFit="1" customWidth="1"/>
    <col min="7963" max="7963" width="4.42578125" style="89" bestFit="1" customWidth="1"/>
    <col min="7964" max="7964" width="4" style="89" customWidth="1"/>
    <col min="7965" max="8192" width="11.42578125" style="89"/>
    <col min="8193" max="8193" width="14.85546875" style="89" bestFit="1" customWidth="1"/>
    <col min="8194" max="8194" width="28" style="89" bestFit="1" customWidth="1"/>
    <col min="8195" max="8195" width="4.42578125" style="89" bestFit="1" customWidth="1"/>
    <col min="8196" max="8196" width="8" style="89" bestFit="1" customWidth="1"/>
    <col min="8197" max="8197" width="11.42578125" style="89"/>
    <col min="8198" max="8198" width="22.85546875" style="89" bestFit="1" customWidth="1"/>
    <col min="8199" max="8199" width="7" style="89" customWidth="1"/>
    <col min="8200" max="8200" width="6.28515625" style="89" customWidth="1"/>
    <col min="8201" max="8201" width="5.7109375" style="89" customWidth="1"/>
    <col min="8202" max="8202" width="5.7109375" style="89" bestFit="1" customWidth="1"/>
    <col min="8203" max="8203" width="5.85546875" style="89" bestFit="1" customWidth="1"/>
    <col min="8204" max="8204" width="9.42578125" style="89" customWidth="1"/>
    <col min="8205" max="8205" width="5.140625" style="89" customWidth="1"/>
    <col min="8206" max="8206" width="9.7109375" style="89" customWidth="1"/>
    <col min="8207" max="8207" width="6.7109375" style="89" bestFit="1" customWidth="1"/>
    <col min="8208" max="8208" width="4.85546875" style="89" customWidth="1"/>
    <col min="8209" max="8209" width="5.28515625" style="89" customWidth="1"/>
    <col min="8210" max="8211" width="4.42578125" style="89" bestFit="1" customWidth="1"/>
    <col min="8212" max="8212" width="13.28515625" style="89" bestFit="1" customWidth="1"/>
    <col min="8213" max="8213" width="3.140625" style="89" customWidth="1"/>
    <col min="8214" max="8214" width="5.42578125" style="89" bestFit="1" customWidth="1"/>
    <col min="8215" max="8215" width="4.42578125" style="89" bestFit="1" customWidth="1"/>
    <col min="8216" max="8216" width="6.42578125" style="89" customWidth="1"/>
    <col min="8217" max="8217" width="5" style="89" bestFit="1" customWidth="1"/>
    <col min="8218" max="8218" width="4.5703125" style="89" bestFit="1" customWidth="1"/>
    <col min="8219" max="8219" width="4.42578125" style="89" bestFit="1" customWidth="1"/>
    <col min="8220" max="8220" width="4" style="89" customWidth="1"/>
    <col min="8221" max="8448" width="11.42578125" style="89"/>
    <col min="8449" max="8449" width="14.85546875" style="89" bestFit="1" customWidth="1"/>
    <col min="8450" max="8450" width="28" style="89" bestFit="1" customWidth="1"/>
    <col min="8451" max="8451" width="4.42578125" style="89" bestFit="1" customWidth="1"/>
    <col min="8452" max="8452" width="8" style="89" bestFit="1" customWidth="1"/>
    <col min="8453" max="8453" width="11.42578125" style="89"/>
    <col min="8454" max="8454" width="22.85546875" style="89" bestFit="1" customWidth="1"/>
    <col min="8455" max="8455" width="7" style="89" customWidth="1"/>
    <col min="8456" max="8456" width="6.28515625" style="89" customWidth="1"/>
    <col min="8457" max="8457" width="5.7109375" style="89" customWidth="1"/>
    <col min="8458" max="8458" width="5.7109375" style="89" bestFit="1" customWidth="1"/>
    <col min="8459" max="8459" width="5.85546875" style="89" bestFit="1" customWidth="1"/>
    <col min="8460" max="8460" width="9.42578125" style="89" customWidth="1"/>
    <col min="8461" max="8461" width="5.140625" style="89" customWidth="1"/>
    <col min="8462" max="8462" width="9.7109375" style="89" customWidth="1"/>
    <col min="8463" max="8463" width="6.7109375" style="89" bestFit="1" customWidth="1"/>
    <col min="8464" max="8464" width="4.85546875" style="89" customWidth="1"/>
    <col min="8465" max="8465" width="5.28515625" style="89" customWidth="1"/>
    <col min="8466" max="8467" width="4.42578125" style="89" bestFit="1" customWidth="1"/>
    <col min="8468" max="8468" width="13.28515625" style="89" bestFit="1" customWidth="1"/>
    <col min="8469" max="8469" width="3.140625" style="89" customWidth="1"/>
    <col min="8470" max="8470" width="5.42578125" style="89" bestFit="1" customWidth="1"/>
    <col min="8471" max="8471" width="4.42578125" style="89" bestFit="1" customWidth="1"/>
    <col min="8472" max="8472" width="6.42578125" style="89" customWidth="1"/>
    <col min="8473" max="8473" width="5" style="89" bestFit="1" customWidth="1"/>
    <col min="8474" max="8474" width="4.5703125" style="89" bestFit="1" customWidth="1"/>
    <col min="8475" max="8475" width="4.42578125" style="89" bestFit="1" customWidth="1"/>
    <col min="8476" max="8476" width="4" style="89" customWidth="1"/>
    <col min="8477" max="8704" width="11.42578125" style="89"/>
    <col min="8705" max="8705" width="14.85546875" style="89" bestFit="1" customWidth="1"/>
    <col min="8706" max="8706" width="28" style="89" bestFit="1" customWidth="1"/>
    <col min="8707" max="8707" width="4.42578125" style="89" bestFit="1" customWidth="1"/>
    <col min="8708" max="8708" width="8" style="89" bestFit="1" customWidth="1"/>
    <col min="8709" max="8709" width="11.42578125" style="89"/>
    <col min="8710" max="8710" width="22.85546875" style="89" bestFit="1" customWidth="1"/>
    <col min="8711" max="8711" width="7" style="89" customWidth="1"/>
    <col min="8712" max="8712" width="6.28515625" style="89" customWidth="1"/>
    <col min="8713" max="8713" width="5.7109375" style="89" customWidth="1"/>
    <col min="8714" max="8714" width="5.7109375" style="89" bestFit="1" customWidth="1"/>
    <col min="8715" max="8715" width="5.85546875" style="89" bestFit="1" customWidth="1"/>
    <col min="8716" max="8716" width="9.42578125" style="89" customWidth="1"/>
    <col min="8717" max="8717" width="5.140625" style="89" customWidth="1"/>
    <col min="8718" max="8718" width="9.7109375" style="89" customWidth="1"/>
    <col min="8719" max="8719" width="6.7109375" style="89" bestFit="1" customWidth="1"/>
    <col min="8720" max="8720" width="4.85546875" style="89" customWidth="1"/>
    <col min="8721" max="8721" width="5.28515625" style="89" customWidth="1"/>
    <col min="8722" max="8723" width="4.42578125" style="89" bestFit="1" customWidth="1"/>
    <col min="8724" max="8724" width="13.28515625" style="89" bestFit="1" customWidth="1"/>
    <col min="8725" max="8725" width="3.140625" style="89" customWidth="1"/>
    <col min="8726" max="8726" width="5.42578125" style="89" bestFit="1" customWidth="1"/>
    <col min="8727" max="8727" width="4.42578125" style="89" bestFit="1" customWidth="1"/>
    <col min="8728" max="8728" width="6.42578125" style="89" customWidth="1"/>
    <col min="8729" max="8729" width="5" style="89" bestFit="1" customWidth="1"/>
    <col min="8730" max="8730" width="4.5703125" style="89" bestFit="1" customWidth="1"/>
    <col min="8731" max="8731" width="4.42578125" style="89" bestFit="1" customWidth="1"/>
    <col min="8732" max="8732" width="4" style="89" customWidth="1"/>
    <col min="8733" max="8960" width="11.42578125" style="89"/>
    <col min="8961" max="8961" width="14.85546875" style="89" bestFit="1" customWidth="1"/>
    <col min="8962" max="8962" width="28" style="89" bestFit="1" customWidth="1"/>
    <col min="8963" max="8963" width="4.42578125" style="89" bestFit="1" customWidth="1"/>
    <col min="8964" max="8964" width="8" style="89" bestFit="1" customWidth="1"/>
    <col min="8965" max="8965" width="11.42578125" style="89"/>
    <col min="8966" max="8966" width="22.85546875" style="89" bestFit="1" customWidth="1"/>
    <col min="8967" max="8967" width="7" style="89" customWidth="1"/>
    <col min="8968" max="8968" width="6.28515625" style="89" customWidth="1"/>
    <col min="8969" max="8969" width="5.7109375" style="89" customWidth="1"/>
    <col min="8970" max="8970" width="5.7109375" style="89" bestFit="1" customWidth="1"/>
    <col min="8971" max="8971" width="5.85546875" style="89" bestFit="1" customWidth="1"/>
    <col min="8972" max="8972" width="9.42578125" style="89" customWidth="1"/>
    <col min="8973" max="8973" width="5.140625" style="89" customWidth="1"/>
    <col min="8974" max="8974" width="9.7109375" style="89" customWidth="1"/>
    <col min="8975" max="8975" width="6.7109375" style="89" bestFit="1" customWidth="1"/>
    <col min="8976" max="8976" width="4.85546875" style="89" customWidth="1"/>
    <col min="8977" max="8977" width="5.28515625" style="89" customWidth="1"/>
    <col min="8978" max="8979" width="4.42578125" style="89" bestFit="1" customWidth="1"/>
    <col min="8980" max="8980" width="13.28515625" style="89" bestFit="1" customWidth="1"/>
    <col min="8981" max="8981" width="3.140625" style="89" customWidth="1"/>
    <col min="8982" max="8982" width="5.42578125" style="89" bestFit="1" customWidth="1"/>
    <col min="8983" max="8983" width="4.42578125" style="89" bestFit="1" customWidth="1"/>
    <col min="8984" max="8984" width="6.42578125" style="89" customWidth="1"/>
    <col min="8985" max="8985" width="5" style="89" bestFit="1" customWidth="1"/>
    <col min="8986" max="8986" width="4.5703125" style="89" bestFit="1" customWidth="1"/>
    <col min="8987" max="8987" width="4.42578125" style="89" bestFit="1" customWidth="1"/>
    <col min="8988" max="8988" width="4" style="89" customWidth="1"/>
    <col min="8989" max="9216" width="11.42578125" style="89"/>
    <col min="9217" max="9217" width="14.85546875" style="89" bestFit="1" customWidth="1"/>
    <col min="9218" max="9218" width="28" style="89" bestFit="1" customWidth="1"/>
    <col min="9219" max="9219" width="4.42578125" style="89" bestFit="1" customWidth="1"/>
    <col min="9220" max="9220" width="8" style="89" bestFit="1" customWidth="1"/>
    <col min="9221" max="9221" width="11.42578125" style="89"/>
    <col min="9222" max="9222" width="22.85546875" style="89" bestFit="1" customWidth="1"/>
    <col min="9223" max="9223" width="7" style="89" customWidth="1"/>
    <col min="9224" max="9224" width="6.28515625" style="89" customWidth="1"/>
    <col min="9225" max="9225" width="5.7109375" style="89" customWidth="1"/>
    <col min="9226" max="9226" width="5.7109375" style="89" bestFit="1" customWidth="1"/>
    <col min="9227" max="9227" width="5.85546875" style="89" bestFit="1" customWidth="1"/>
    <col min="9228" max="9228" width="9.42578125" style="89" customWidth="1"/>
    <col min="9229" max="9229" width="5.140625" style="89" customWidth="1"/>
    <col min="9230" max="9230" width="9.7109375" style="89" customWidth="1"/>
    <col min="9231" max="9231" width="6.7109375" style="89" bestFit="1" customWidth="1"/>
    <col min="9232" max="9232" width="4.85546875" style="89" customWidth="1"/>
    <col min="9233" max="9233" width="5.28515625" style="89" customWidth="1"/>
    <col min="9234" max="9235" width="4.42578125" style="89" bestFit="1" customWidth="1"/>
    <col min="9236" max="9236" width="13.28515625" style="89" bestFit="1" customWidth="1"/>
    <col min="9237" max="9237" width="3.140625" style="89" customWidth="1"/>
    <col min="9238" max="9238" width="5.42578125" style="89" bestFit="1" customWidth="1"/>
    <col min="9239" max="9239" width="4.42578125" style="89" bestFit="1" customWidth="1"/>
    <col min="9240" max="9240" width="6.42578125" style="89" customWidth="1"/>
    <col min="9241" max="9241" width="5" style="89" bestFit="1" customWidth="1"/>
    <col min="9242" max="9242" width="4.5703125" style="89" bestFit="1" customWidth="1"/>
    <col min="9243" max="9243" width="4.42578125" style="89" bestFit="1" customWidth="1"/>
    <col min="9244" max="9244" width="4" style="89" customWidth="1"/>
    <col min="9245" max="9472" width="11.42578125" style="89"/>
    <col min="9473" max="9473" width="14.85546875" style="89" bestFit="1" customWidth="1"/>
    <col min="9474" max="9474" width="28" style="89" bestFit="1" customWidth="1"/>
    <col min="9475" max="9475" width="4.42578125" style="89" bestFit="1" customWidth="1"/>
    <col min="9476" max="9476" width="8" style="89" bestFit="1" customWidth="1"/>
    <col min="9477" max="9477" width="11.42578125" style="89"/>
    <col min="9478" max="9478" width="22.85546875" style="89" bestFit="1" customWidth="1"/>
    <col min="9479" max="9479" width="7" style="89" customWidth="1"/>
    <col min="9480" max="9480" width="6.28515625" style="89" customWidth="1"/>
    <col min="9481" max="9481" width="5.7109375" style="89" customWidth="1"/>
    <col min="9482" max="9482" width="5.7109375" style="89" bestFit="1" customWidth="1"/>
    <col min="9483" max="9483" width="5.85546875" style="89" bestFit="1" customWidth="1"/>
    <col min="9484" max="9484" width="9.42578125" style="89" customWidth="1"/>
    <col min="9485" max="9485" width="5.140625" style="89" customWidth="1"/>
    <col min="9486" max="9486" width="9.7109375" style="89" customWidth="1"/>
    <col min="9487" max="9487" width="6.7109375" style="89" bestFit="1" customWidth="1"/>
    <col min="9488" max="9488" width="4.85546875" style="89" customWidth="1"/>
    <col min="9489" max="9489" width="5.28515625" style="89" customWidth="1"/>
    <col min="9490" max="9491" width="4.42578125" style="89" bestFit="1" customWidth="1"/>
    <col min="9492" max="9492" width="13.28515625" style="89" bestFit="1" customWidth="1"/>
    <col min="9493" max="9493" width="3.140625" style="89" customWidth="1"/>
    <col min="9494" max="9494" width="5.42578125" style="89" bestFit="1" customWidth="1"/>
    <col min="9495" max="9495" width="4.42578125" style="89" bestFit="1" customWidth="1"/>
    <col min="9496" max="9496" width="6.42578125" style="89" customWidth="1"/>
    <col min="9497" max="9497" width="5" style="89" bestFit="1" customWidth="1"/>
    <col min="9498" max="9498" width="4.5703125" style="89" bestFit="1" customWidth="1"/>
    <col min="9499" max="9499" width="4.42578125" style="89" bestFit="1" customWidth="1"/>
    <col min="9500" max="9500" width="4" style="89" customWidth="1"/>
    <col min="9501" max="9728" width="11.42578125" style="89"/>
    <col min="9729" max="9729" width="14.85546875" style="89" bestFit="1" customWidth="1"/>
    <col min="9730" max="9730" width="28" style="89" bestFit="1" customWidth="1"/>
    <col min="9731" max="9731" width="4.42578125" style="89" bestFit="1" customWidth="1"/>
    <col min="9732" max="9732" width="8" style="89" bestFit="1" customWidth="1"/>
    <col min="9733" max="9733" width="11.42578125" style="89"/>
    <col min="9734" max="9734" width="22.85546875" style="89" bestFit="1" customWidth="1"/>
    <col min="9735" max="9735" width="7" style="89" customWidth="1"/>
    <col min="9736" max="9736" width="6.28515625" style="89" customWidth="1"/>
    <col min="9737" max="9737" width="5.7109375" style="89" customWidth="1"/>
    <col min="9738" max="9738" width="5.7109375" style="89" bestFit="1" customWidth="1"/>
    <col min="9739" max="9739" width="5.85546875" style="89" bestFit="1" customWidth="1"/>
    <col min="9740" max="9740" width="9.42578125" style="89" customWidth="1"/>
    <col min="9741" max="9741" width="5.140625" style="89" customWidth="1"/>
    <col min="9742" max="9742" width="9.7109375" style="89" customWidth="1"/>
    <col min="9743" max="9743" width="6.7109375" style="89" bestFit="1" customWidth="1"/>
    <col min="9744" max="9744" width="4.85546875" style="89" customWidth="1"/>
    <col min="9745" max="9745" width="5.28515625" style="89" customWidth="1"/>
    <col min="9746" max="9747" width="4.42578125" style="89" bestFit="1" customWidth="1"/>
    <col min="9748" max="9748" width="13.28515625" style="89" bestFit="1" customWidth="1"/>
    <col min="9749" max="9749" width="3.140625" style="89" customWidth="1"/>
    <col min="9750" max="9750" width="5.42578125" style="89" bestFit="1" customWidth="1"/>
    <col min="9751" max="9751" width="4.42578125" style="89" bestFit="1" customWidth="1"/>
    <col min="9752" max="9752" width="6.42578125" style="89" customWidth="1"/>
    <col min="9753" max="9753" width="5" style="89" bestFit="1" customWidth="1"/>
    <col min="9754" max="9754" width="4.5703125" style="89" bestFit="1" customWidth="1"/>
    <col min="9755" max="9755" width="4.42578125" style="89" bestFit="1" customWidth="1"/>
    <col min="9756" max="9756" width="4" style="89" customWidth="1"/>
    <col min="9757" max="9984" width="11.42578125" style="89"/>
    <col min="9985" max="9985" width="14.85546875" style="89" bestFit="1" customWidth="1"/>
    <col min="9986" max="9986" width="28" style="89" bestFit="1" customWidth="1"/>
    <col min="9987" max="9987" width="4.42578125" style="89" bestFit="1" customWidth="1"/>
    <col min="9988" max="9988" width="8" style="89" bestFit="1" customWidth="1"/>
    <col min="9989" max="9989" width="11.42578125" style="89"/>
    <col min="9990" max="9990" width="22.85546875" style="89" bestFit="1" customWidth="1"/>
    <col min="9991" max="9991" width="7" style="89" customWidth="1"/>
    <col min="9992" max="9992" width="6.28515625" style="89" customWidth="1"/>
    <col min="9993" max="9993" width="5.7109375" style="89" customWidth="1"/>
    <col min="9994" max="9994" width="5.7109375" style="89" bestFit="1" customWidth="1"/>
    <col min="9995" max="9995" width="5.85546875" style="89" bestFit="1" customWidth="1"/>
    <col min="9996" max="9996" width="9.42578125" style="89" customWidth="1"/>
    <col min="9997" max="9997" width="5.140625" style="89" customWidth="1"/>
    <col min="9998" max="9998" width="9.7109375" style="89" customWidth="1"/>
    <col min="9999" max="9999" width="6.7109375" style="89" bestFit="1" customWidth="1"/>
    <col min="10000" max="10000" width="4.85546875" style="89" customWidth="1"/>
    <col min="10001" max="10001" width="5.28515625" style="89" customWidth="1"/>
    <col min="10002" max="10003" width="4.42578125" style="89" bestFit="1" customWidth="1"/>
    <col min="10004" max="10004" width="13.28515625" style="89" bestFit="1" customWidth="1"/>
    <col min="10005" max="10005" width="3.140625" style="89" customWidth="1"/>
    <col min="10006" max="10006" width="5.42578125" style="89" bestFit="1" customWidth="1"/>
    <col min="10007" max="10007" width="4.42578125" style="89" bestFit="1" customWidth="1"/>
    <col min="10008" max="10008" width="6.42578125" style="89" customWidth="1"/>
    <col min="10009" max="10009" width="5" style="89" bestFit="1" customWidth="1"/>
    <col min="10010" max="10010" width="4.5703125" style="89" bestFit="1" customWidth="1"/>
    <col min="10011" max="10011" width="4.42578125" style="89" bestFit="1" customWidth="1"/>
    <col min="10012" max="10012" width="4" style="89" customWidth="1"/>
    <col min="10013" max="10240" width="11.42578125" style="89"/>
    <col min="10241" max="10241" width="14.85546875" style="89" bestFit="1" customWidth="1"/>
    <col min="10242" max="10242" width="28" style="89" bestFit="1" customWidth="1"/>
    <col min="10243" max="10243" width="4.42578125" style="89" bestFit="1" customWidth="1"/>
    <col min="10244" max="10244" width="8" style="89" bestFit="1" customWidth="1"/>
    <col min="10245" max="10245" width="11.42578125" style="89"/>
    <col min="10246" max="10246" width="22.85546875" style="89" bestFit="1" customWidth="1"/>
    <col min="10247" max="10247" width="7" style="89" customWidth="1"/>
    <col min="10248" max="10248" width="6.28515625" style="89" customWidth="1"/>
    <col min="10249" max="10249" width="5.7109375" style="89" customWidth="1"/>
    <col min="10250" max="10250" width="5.7109375" style="89" bestFit="1" customWidth="1"/>
    <col min="10251" max="10251" width="5.85546875" style="89" bestFit="1" customWidth="1"/>
    <col min="10252" max="10252" width="9.42578125" style="89" customWidth="1"/>
    <col min="10253" max="10253" width="5.140625" style="89" customWidth="1"/>
    <col min="10254" max="10254" width="9.7109375" style="89" customWidth="1"/>
    <col min="10255" max="10255" width="6.7109375" style="89" bestFit="1" customWidth="1"/>
    <col min="10256" max="10256" width="4.85546875" style="89" customWidth="1"/>
    <col min="10257" max="10257" width="5.28515625" style="89" customWidth="1"/>
    <col min="10258" max="10259" width="4.42578125" style="89" bestFit="1" customWidth="1"/>
    <col min="10260" max="10260" width="13.28515625" style="89" bestFit="1" customWidth="1"/>
    <col min="10261" max="10261" width="3.140625" style="89" customWidth="1"/>
    <col min="10262" max="10262" width="5.42578125" style="89" bestFit="1" customWidth="1"/>
    <col min="10263" max="10263" width="4.42578125" style="89" bestFit="1" customWidth="1"/>
    <col min="10264" max="10264" width="6.42578125" style="89" customWidth="1"/>
    <col min="10265" max="10265" width="5" style="89" bestFit="1" customWidth="1"/>
    <col min="10266" max="10266" width="4.5703125" style="89" bestFit="1" customWidth="1"/>
    <col min="10267" max="10267" width="4.42578125" style="89" bestFit="1" customWidth="1"/>
    <col min="10268" max="10268" width="4" style="89" customWidth="1"/>
    <col min="10269" max="10496" width="11.42578125" style="89"/>
    <col min="10497" max="10497" width="14.85546875" style="89" bestFit="1" customWidth="1"/>
    <col min="10498" max="10498" width="28" style="89" bestFit="1" customWidth="1"/>
    <col min="10499" max="10499" width="4.42578125" style="89" bestFit="1" customWidth="1"/>
    <col min="10500" max="10500" width="8" style="89" bestFit="1" customWidth="1"/>
    <col min="10501" max="10501" width="11.42578125" style="89"/>
    <col min="10502" max="10502" width="22.85546875" style="89" bestFit="1" customWidth="1"/>
    <col min="10503" max="10503" width="7" style="89" customWidth="1"/>
    <col min="10504" max="10504" width="6.28515625" style="89" customWidth="1"/>
    <col min="10505" max="10505" width="5.7109375" style="89" customWidth="1"/>
    <col min="10506" max="10506" width="5.7109375" style="89" bestFit="1" customWidth="1"/>
    <col min="10507" max="10507" width="5.85546875" style="89" bestFit="1" customWidth="1"/>
    <col min="10508" max="10508" width="9.42578125" style="89" customWidth="1"/>
    <col min="10509" max="10509" width="5.140625" style="89" customWidth="1"/>
    <col min="10510" max="10510" width="9.7109375" style="89" customWidth="1"/>
    <col min="10511" max="10511" width="6.7109375" style="89" bestFit="1" customWidth="1"/>
    <col min="10512" max="10512" width="4.85546875" style="89" customWidth="1"/>
    <col min="10513" max="10513" width="5.28515625" style="89" customWidth="1"/>
    <col min="10514" max="10515" width="4.42578125" style="89" bestFit="1" customWidth="1"/>
    <col min="10516" max="10516" width="13.28515625" style="89" bestFit="1" customWidth="1"/>
    <col min="10517" max="10517" width="3.140625" style="89" customWidth="1"/>
    <col min="10518" max="10518" width="5.42578125" style="89" bestFit="1" customWidth="1"/>
    <col min="10519" max="10519" width="4.42578125" style="89" bestFit="1" customWidth="1"/>
    <col min="10520" max="10520" width="6.42578125" style="89" customWidth="1"/>
    <col min="10521" max="10521" width="5" style="89" bestFit="1" customWidth="1"/>
    <col min="10522" max="10522" width="4.5703125" style="89" bestFit="1" customWidth="1"/>
    <col min="10523" max="10523" width="4.42578125" style="89" bestFit="1" customWidth="1"/>
    <col min="10524" max="10524" width="4" style="89" customWidth="1"/>
    <col min="10525" max="10752" width="11.42578125" style="89"/>
    <col min="10753" max="10753" width="14.85546875" style="89" bestFit="1" customWidth="1"/>
    <col min="10754" max="10754" width="28" style="89" bestFit="1" customWidth="1"/>
    <col min="10755" max="10755" width="4.42578125" style="89" bestFit="1" customWidth="1"/>
    <col min="10756" max="10756" width="8" style="89" bestFit="1" customWidth="1"/>
    <col min="10757" max="10757" width="11.42578125" style="89"/>
    <col min="10758" max="10758" width="22.85546875" style="89" bestFit="1" customWidth="1"/>
    <col min="10759" max="10759" width="7" style="89" customWidth="1"/>
    <col min="10760" max="10760" width="6.28515625" style="89" customWidth="1"/>
    <col min="10761" max="10761" width="5.7109375" style="89" customWidth="1"/>
    <col min="10762" max="10762" width="5.7109375" style="89" bestFit="1" customWidth="1"/>
    <col min="10763" max="10763" width="5.85546875" style="89" bestFit="1" customWidth="1"/>
    <col min="10764" max="10764" width="9.42578125" style="89" customWidth="1"/>
    <col min="10765" max="10765" width="5.140625" style="89" customWidth="1"/>
    <col min="10766" max="10766" width="9.7109375" style="89" customWidth="1"/>
    <col min="10767" max="10767" width="6.7109375" style="89" bestFit="1" customWidth="1"/>
    <col min="10768" max="10768" width="4.85546875" style="89" customWidth="1"/>
    <col min="10769" max="10769" width="5.28515625" style="89" customWidth="1"/>
    <col min="10770" max="10771" width="4.42578125" style="89" bestFit="1" customWidth="1"/>
    <col min="10772" max="10772" width="13.28515625" style="89" bestFit="1" customWidth="1"/>
    <col min="10773" max="10773" width="3.140625" style="89" customWidth="1"/>
    <col min="10774" max="10774" width="5.42578125" style="89" bestFit="1" customWidth="1"/>
    <col min="10775" max="10775" width="4.42578125" style="89" bestFit="1" customWidth="1"/>
    <col min="10776" max="10776" width="6.42578125" style="89" customWidth="1"/>
    <col min="10777" max="10777" width="5" style="89" bestFit="1" customWidth="1"/>
    <col min="10778" max="10778" width="4.5703125" style="89" bestFit="1" customWidth="1"/>
    <col min="10779" max="10779" width="4.42578125" style="89" bestFit="1" customWidth="1"/>
    <col min="10780" max="10780" width="4" style="89" customWidth="1"/>
    <col min="10781" max="11008" width="11.42578125" style="89"/>
    <col min="11009" max="11009" width="14.85546875" style="89" bestFit="1" customWidth="1"/>
    <col min="11010" max="11010" width="28" style="89" bestFit="1" customWidth="1"/>
    <col min="11011" max="11011" width="4.42578125" style="89" bestFit="1" customWidth="1"/>
    <col min="11012" max="11012" width="8" style="89" bestFit="1" customWidth="1"/>
    <col min="11013" max="11013" width="11.42578125" style="89"/>
    <col min="11014" max="11014" width="22.85546875" style="89" bestFit="1" customWidth="1"/>
    <col min="11015" max="11015" width="7" style="89" customWidth="1"/>
    <col min="11016" max="11016" width="6.28515625" style="89" customWidth="1"/>
    <col min="11017" max="11017" width="5.7109375" style="89" customWidth="1"/>
    <col min="11018" max="11018" width="5.7109375" style="89" bestFit="1" customWidth="1"/>
    <col min="11019" max="11019" width="5.85546875" style="89" bestFit="1" customWidth="1"/>
    <col min="11020" max="11020" width="9.42578125" style="89" customWidth="1"/>
    <col min="11021" max="11021" width="5.140625" style="89" customWidth="1"/>
    <col min="11022" max="11022" width="9.7109375" style="89" customWidth="1"/>
    <col min="11023" max="11023" width="6.7109375" style="89" bestFit="1" customWidth="1"/>
    <col min="11024" max="11024" width="4.85546875" style="89" customWidth="1"/>
    <col min="11025" max="11025" width="5.28515625" style="89" customWidth="1"/>
    <col min="11026" max="11027" width="4.42578125" style="89" bestFit="1" customWidth="1"/>
    <col min="11028" max="11028" width="13.28515625" style="89" bestFit="1" customWidth="1"/>
    <col min="11029" max="11029" width="3.140625" style="89" customWidth="1"/>
    <col min="11030" max="11030" width="5.42578125" style="89" bestFit="1" customWidth="1"/>
    <col min="11031" max="11031" width="4.42578125" style="89" bestFit="1" customWidth="1"/>
    <col min="11032" max="11032" width="6.42578125" style="89" customWidth="1"/>
    <col min="11033" max="11033" width="5" style="89" bestFit="1" customWidth="1"/>
    <col min="11034" max="11034" width="4.5703125" style="89" bestFit="1" customWidth="1"/>
    <col min="11035" max="11035" width="4.42578125" style="89" bestFit="1" customWidth="1"/>
    <col min="11036" max="11036" width="4" style="89" customWidth="1"/>
    <col min="11037" max="11264" width="11.42578125" style="89"/>
    <col min="11265" max="11265" width="14.85546875" style="89" bestFit="1" customWidth="1"/>
    <col min="11266" max="11266" width="28" style="89" bestFit="1" customWidth="1"/>
    <col min="11267" max="11267" width="4.42578125" style="89" bestFit="1" customWidth="1"/>
    <col min="11268" max="11268" width="8" style="89" bestFit="1" customWidth="1"/>
    <col min="11269" max="11269" width="11.42578125" style="89"/>
    <col min="11270" max="11270" width="22.85546875" style="89" bestFit="1" customWidth="1"/>
    <col min="11271" max="11271" width="7" style="89" customWidth="1"/>
    <col min="11272" max="11272" width="6.28515625" style="89" customWidth="1"/>
    <col min="11273" max="11273" width="5.7109375" style="89" customWidth="1"/>
    <col min="11274" max="11274" width="5.7109375" style="89" bestFit="1" customWidth="1"/>
    <col min="11275" max="11275" width="5.85546875" style="89" bestFit="1" customWidth="1"/>
    <col min="11276" max="11276" width="9.42578125" style="89" customWidth="1"/>
    <col min="11277" max="11277" width="5.140625" style="89" customWidth="1"/>
    <col min="11278" max="11278" width="9.7109375" style="89" customWidth="1"/>
    <col min="11279" max="11279" width="6.7109375" style="89" bestFit="1" customWidth="1"/>
    <col min="11280" max="11280" width="4.85546875" style="89" customWidth="1"/>
    <col min="11281" max="11281" width="5.28515625" style="89" customWidth="1"/>
    <col min="11282" max="11283" width="4.42578125" style="89" bestFit="1" customWidth="1"/>
    <col min="11284" max="11284" width="13.28515625" style="89" bestFit="1" customWidth="1"/>
    <col min="11285" max="11285" width="3.140625" style="89" customWidth="1"/>
    <col min="11286" max="11286" width="5.42578125" style="89" bestFit="1" customWidth="1"/>
    <col min="11287" max="11287" width="4.42578125" style="89" bestFit="1" customWidth="1"/>
    <col min="11288" max="11288" width="6.42578125" style="89" customWidth="1"/>
    <col min="11289" max="11289" width="5" style="89" bestFit="1" customWidth="1"/>
    <col min="11290" max="11290" width="4.5703125" style="89" bestFit="1" customWidth="1"/>
    <col min="11291" max="11291" width="4.42578125" style="89" bestFit="1" customWidth="1"/>
    <col min="11292" max="11292" width="4" style="89" customWidth="1"/>
    <col min="11293" max="11520" width="11.42578125" style="89"/>
    <col min="11521" max="11521" width="14.85546875" style="89" bestFit="1" customWidth="1"/>
    <col min="11522" max="11522" width="28" style="89" bestFit="1" customWidth="1"/>
    <col min="11523" max="11523" width="4.42578125" style="89" bestFit="1" customWidth="1"/>
    <col min="11524" max="11524" width="8" style="89" bestFit="1" customWidth="1"/>
    <col min="11525" max="11525" width="11.42578125" style="89"/>
    <col min="11526" max="11526" width="22.85546875" style="89" bestFit="1" customWidth="1"/>
    <col min="11527" max="11527" width="7" style="89" customWidth="1"/>
    <col min="11528" max="11528" width="6.28515625" style="89" customWidth="1"/>
    <col min="11529" max="11529" width="5.7109375" style="89" customWidth="1"/>
    <col min="11530" max="11530" width="5.7109375" style="89" bestFit="1" customWidth="1"/>
    <col min="11531" max="11531" width="5.85546875" style="89" bestFit="1" customWidth="1"/>
    <col min="11532" max="11532" width="9.42578125" style="89" customWidth="1"/>
    <col min="11533" max="11533" width="5.140625" style="89" customWidth="1"/>
    <col min="11534" max="11534" width="9.7109375" style="89" customWidth="1"/>
    <col min="11535" max="11535" width="6.7109375" style="89" bestFit="1" customWidth="1"/>
    <col min="11536" max="11536" width="4.85546875" style="89" customWidth="1"/>
    <col min="11537" max="11537" width="5.28515625" style="89" customWidth="1"/>
    <col min="11538" max="11539" width="4.42578125" style="89" bestFit="1" customWidth="1"/>
    <col min="11540" max="11540" width="13.28515625" style="89" bestFit="1" customWidth="1"/>
    <col min="11541" max="11541" width="3.140625" style="89" customWidth="1"/>
    <col min="11542" max="11542" width="5.42578125" style="89" bestFit="1" customWidth="1"/>
    <col min="11543" max="11543" width="4.42578125" style="89" bestFit="1" customWidth="1"/>
    <col min="11544" max="11544" width="6.42578125" style="89" customWidth="1"/>
    <col min="11545" max="11545" width="5" style="89" bestFit="1" customWidth="1"/>
    <col min="11546" max="11546" width="4.5703125" style="89" bestFit="1" customWidth="1"/>
    <col min="11547" max="11547" width="4.42578125" style="89" bestFit="1" customWidth="1"/>
    <col min="11548" max="11548" width="4" style="89" customWidth="1"/>
    <col min="11549" max="11776" width="11.42578125" style="89"/>
    <col min="11777" max="11777" width="14.85546875" style="89" bestFit="1" customWidth="1"/>
    <col min="11778" max="11778" width="28" style="89" bestFit="1" customWidth="1"/>
    <col min="11779" max="11779" width="4.42578125" style="89" bestFit="1" customWidth="1"/>
    <col min="11780" max="11780" width="8" style="89" bestFit="1" customWidth="1"/>
    <col min="11781" max="11781" width="11.42578125" style="89"/>
    <col min="11782" max="11782" width="22.85546875" style="89" bestFit="1" customWidth="1"/>
    <col min="11783" max="11783" width="7" style="89" customWidth="1"/>
    <col min="11784" max="11784" width="6.28515625" style="89" customWidth="1"/>
    <col min="11785" max="11785" width="5.7109375" style="89" customWidth="1"/>
    <col min="11786" max="11786" width="5.7109375" style="89" bestFit="1" customWidth="1"/>
    <col min="11787" max="11787" width="5.85546875" style="89" bestFit="1" customWidth="1"/>
    <col min="11788" max="11788" width="9.42578125" style="89" customWidth="1"/>
    <col min="11789" max="11789" width="5.140625" style="89" customWidth="1"/>
    <col min="11790" max="11790" width="9.7109375" style="89" customWidth="1"/>
    <col min="11791" max="11791" width="6.7109375" style="89" bestFit="1" customWidth="1"/>
    <col min="11792" max="11792" width="4.85546875" style="89" customWidth="1"/>
    <col min="11793" max="11793" width="5.28515625" style="89" customWidth="1"/>
    <col min="11794" max="11795" width="4.42578125" style="89" bestFit="1" customWidth="1"/>
    <col min="11796" max="11796" width="13.28515625" style="89" bestFit="1" customWidth="1"/>
    <col min="11797" max="11797" width="3.140625" style="89" customWidth="1"/>
    <col min="11798" max="11798" width="5.42578125" style="89" bestFit="1" customWidth="1"/>
    <col min="11799" max="11799" width="4.42578125" style="89" bestFit="1" customWidth="1"/>
    <col min="11800" max="11800" width="6.42578125" style="89" customWidth="1"/>
    <col min="11801" max="11801" width="5" style="89" bestFit="1" customWidth="1"/>
    <col min="11802" max="11802" width="4.5703125" style="89" bestFit="1" customWidth="1"/>
    <col min="11803" max="11803" width="4.42578125" style="89" bestFit="1" customWidth="1"/>
    <col min="11804" max="11804" width="4" style="89" customWidth="1"/>
    <col min="11805" max="12032" width="11.42578125" style="89"/>
    <col min="12033" max="12033" width="14.85546875" style="89" bestFit="1" customWidth="1"/>
    <col min="12034" max="12034" width="28" style="89" bestFit="1" customWidth="1"/>
    <col min="12035" max="12035" width="4.42578125" style="89" bestFit="1" customWidth="1"/>
    <col min="12036" max="12036" width="8" style="89" bestFit="1" customWidth="1"/>
    <col min="12037" max="12037" width="11.42578125" style="89"/>
    <col min="12038" max="12038" width="22.85546875" style="89" bestFit="1" customWidth="1"/>
    <col min="12039" max="12039" width="7" style="89" customWidth="1"/>
    <col min="12040" max="12040" width="6.28515625" style="89" customWidth="1"/>
    <col min="12041" max="12041" width="5.7109375" style="89" customWidth="1"/>
    <col min="12042" max="12042" width="5.7109375" style="89" bestFit="1" customWidth="1"/>
    <col min="12043" max="12043" width="5.85546875" style="89" bestFit="1" customWidth="1"/>
    <col min="12044" max="12044" width="9.42578125" style="89" customWidth="1"/>
    <col min="12045" max="12045" width="5.140625" style="89" customWidth="1"/>
    <col min="12046" max="12046" width="9.7109375" style="89" customWidth="1"/>
    <col min="12047" max="12047" width="6.7109375" style="89" bestFit="1" customWidth="1"/>
    <col min="12048" max="12048" width="4.85546875" style="89" customWidth="1"/>
    <col min="12049" max="12049" width="5.28515625" style="89" customWidth="1"/>
    <col min="12050" max="12051" width="4.42578125" style="89" bestFit="1" customWidth="1"/>
    <col min="12052" max="12052" width="13.28515625" style="89" bestFit="1" customWidth="1"/>
    <col min="12053" max="12053" width="3.140625" style="89" customWidth="1"/>
    <col min="12054" max="12054" width="5.42578125" style="89" bestFit="1" customWidth="1"/>
    <col min="12055" max="12055" width="4.42578125" style="89" bestFit="1" customWidth="1"/>
    <col min="12056" max="12056" width="6.42578125" style="89" customWidth="1"/>
    <col min="12057" max="12057" width="5" style="89" bestFit="1" customWidth="1"/>
    <col min="12058" max="12058" width="4.5703125" style="89" bestFit="1" customWidth="1"/>
    <col min="12059" max="12059" width="4.42578125" style="89" bestFit="1" customWidth="1"/>
    <col min="12060" max="12060" width="4" style="89" customWidth="1"/>
    <col min="12061" max="12288" width="11.42578125" style="89"/>
    <col min="12289" max="12289" width="14.85546875" style="89" bestFit="1" customWidth="1"/>
    <col min="12290" max="12290" width="28" style="89" bestFit="1" customWidth="1"/>
    <col min="12291" max="12291" width="4.42578125" style="89" bestFit="1" customWidth="1"/>
    <col min="12292" max="12292" width="8" style="89" bestFit="1" customWidth="1"/>
    <col min="12293" max="12293" width="11.42578125" style="89"/>
    <col min="12294" max="12294" width="22.85546875" style="89" bestFit="1" customWidth="1"/>
    <col min="12295" max="12295" width="7" style="89" customWidth="1"/>
    <col min="12296" max="12296" width="6.28515625" style="89" customWidth="1"/>
    <col min="12297" max="12297" width="5.7109375" style="89" customWidth="1"/>
    <col min="12298" max="12298" width="5.7109375" style="89" bestFit="1" customWidth="1"/>
    <col min="12299" max="12299" width="5.85546875" style="89" bestFit="1" customWidth="1"/>
    <col min="12300" max="12300" width="9.42578125" style="89" customWidth="1"/>
    <col min="12301" max="12301" width="5.140625" style="89" customWidth="1"/>
    <col min="12302" max="12302" width="9.7109375" style="89" customWidth="1"/>
    <col min="12303" max="12303" width="6.7109375" style="89" bestFit="1" customWidth="1"/>
    <col min="12304" max="12304" width="4.85546875" style="89" customWidth="1"/>
    <col min="12305" max="12305" width="5.28515625" style="89" customWidth="1"/>
    <col min="12306" max="12307" width="4.42578125" style="89" bestFit="1" customWidth="1"/>
    <col min="12308" max="12308" width="13.28515625" style="89" bestFit="1" customWidth="1"/>
    <col min="12309" max="12309" width="3.140625" style="89" customWidth="1"/>
    <col min="12310" max="12310" width="5.42578125" style="89" bestFit="1" customWidth="1"/>
    <col min="12311" max="12311" width="4.42578125" style="89" bestFit="1" customWidth="1"/>
    <col min="12312" max="12312" width="6.42578125" style="89" customWidth="1"/>
    <col min="12313" max="12313" width="5" style="89" bestFit="1" customWidth="1"/>
    <col min="12314" max="12314" width="4.5703125" style="89" bestFit="1" customWidth="1"/>
    <col min="12315" max="12315" width="4.42578125" style="89" bestFit="1" customWidth="1"/>
    <col min="12316" max="12316" width="4" style="89" customWidth="1"/>
    <col min="12317" max="12544" width="11.42578125" style="89"/>
    <col min="12545" max="12545" width="14.85546875" style="89" bestFit="1" customWidth="1"/>
    <col min="12546" max="12546" width="28" style="89" bestFit="1" customWidth="1"/>
    <col min="12547" max="12547" width="4.42578125" style="89" bestFit="1" customWidth="1"/>
    <col min="12548" max="12548" width="8" style="89" bestFit="1" customWidth="1"/>
    <col min="12549" max="12549" width="11.42578125" style="89"/>
    <col min="12550" max="12550" width="22.85546875" style="89" bestFit="1" customWidth="1"/>
    <col min="12551" max="12551" width="7" style="89" customWidth="1"/>
    <col min="12552" max="12552" width="6.28515625" style="89" customWidth="1"/>
    <col min="12553" max="12553" width="5.7109375" style="89" customWidth="1"/>
    <col min="12554" max="12554" width="5.7109375" style="89" bestFit="1" customWidth="1"/>
    <col min="12555" max="12555" width="5.85546875" style="89" bestFit="1" customWidth="1"/>
    <col min="12556" max="12556" width="9.42578125" style="89" customWidth="1"/>
    <col min="12557" max="12557" width="5.140625" style="89" customWidth="1"/>
    <col min="12558" max="12558" width="9.7109375" style="89" customWidth="1"/>
    <col min="12559" max="12559" width="6.7109375" style="89" bestFit="1" customWidth="1"/>
    <col min="12560" max="12560" width="4.85546875" style="89" customWidth="1"/>
    <col min="12561" max="12561" width="5.28515625" style="89" customWidth="1"/>
    <col min="12562" max="12563" width="4.42578125" style="89" bestFit="1" customWidth="1"/>
    <col min="12564" max="12564" width="13.28515625" style="89" bestFit="1" customWidth="1"/>
    <col min="12565" max="12565" width="3.140625" style="89" customWidth="1"/>
    <col min="12566" max="12566" width="5.42578125" style="89" bestFit="1" customWidth="1"/>
    <col min="12567" max="12567" width="4.42578125" style="89" bestFit="1" customWidth="1"/>
    <col min="12568" max="12568" width="6.42578125" style="89" customWidth="1"/>
    <col min="12569" max="12569" width="5" style="89" bestFit="1" customWidth="1"/>
    <col min="12570" max="12570" width="4.5703125" style="89" bestFit="1" customWidth="1"/>
    <col min="12571" max="12571" width="4.42578125" style="89" bestFit="1" customWidth="1"/>
    <col min="12572" max="12572" width="4" style="89" customWidth="1"/>
    <col min="12573" max="12800" width="11.42578125" style="89"/>
    <col min="12801" max="12801" width="14.85546875" style="89" bestFit="1" customWidth="1"/>
    <col min="12802" max="12802" width="28" style="89" bestFit="1" customWidth="1"/>
    <col min="12803" max="12803" width="4.42578125" style="89" bestFit="1" customWidth="1"/>
    <col min="12804" max="12804" width="8" style="89" bestFit="1" customWidth="1"/>
    <col min="12805" max="12805" width="11.42578125" style="89"/>
    <col min="12806" max="12806" width="22.85546875" style="89" bestFit="1" customWidth="1"/>
    <col min="12807" max="12807" width="7" style="89" customWidth="1"/>
    <col min="12808" max="12808" width="6.28515625" style="89" customWidth="1"/>
    <col min="12809" max="12809" width="5.7109375" style="89" customWidth="1"/>
    <col min="12810" max="12810" width="5.7109375" style="89" bestFit="1" customWidth="1"/>
    <col min="12811" max="12811" width="5.85546875" style="89" bestFit="1" customWidth="1"/>
    <col min="12812" max="12812" width="9.42578125" style="89" customWidth="1"/>
    <col min="12813" max="12813" width="5.140625" style="89" customWidth="1"/>
    <col min="12814" max="12814" width="9.7109375" style="89" customWidth="1"/>
    <col min="12815" max="12815" width="6.7109375" style="89" bestFit="1" customWidth="1"/>
    <col min="12816" max="12816" width="4.85546875" style="89" customWidth="1"/>
    <col min="12817" max="12817" width="5.28515625" style="89" customWidth="1"/>
    <col min="12818" max="12819" width="4.42578125" style="89" bestFit="1" customWidth="1"/>
    <col min="12820" max="12820" width="13.28515625" style="89" bestFit="1" customWidth="1"/>
    <col min="12821" max="12821" width="3.140625" style="89" customWidth="1"/>
    <col min="12822" max="12822" width="5.42578125" style="89" bestFit="1" customWidth="1"/>
    <col min="12823" max="12823" width="4.42578125" style="89" bestFit="1" customWidth="1"/>
    <col min="12824" max="12824" width="6.42578125" style="89" customWidth="1"/>
    <col min="12825" max="12825" width="5" style="89" bestFit="1" customWidth="1"/>
    <col min="12826" max="12826" width="4.5703125" style="89" bestFit="1" customWidth="1"/>
    <col min="12827" max="12827" width="4.42578125" style="89" bestFit="1" customWidth="1"/>
    <col min="12828" max="12828" width="4" style="89" customWidth="1"/>
    <col min="12829" max="13056" width="11.42578125" style="89"/>
    <col min="13057" max="13057" width="14.85546875" style="89" bestFit="1" customWidth="1"/>
    <col min="13058" max="13058" width="28" style="89" bestFit="1" customWidth="1"/>
    <col min="13059" max="13059" width="4.42578125" style="89" bestFit="1" customWidth="1"/>
    <col min="13060" max="13060" width="8" style="89" bestFit="1" customWidth="1"/>
    <col min="13061" max="13061" width="11.42578125" style="89"/>
    <col min="13062" max="13062" width="22.85546875" style="89" bestFit="1" customWidth="1"/>
    <col min="13063" max="13063" width="7" style="89" customWidth="1"/>
    <col min="13064" max="13064" width="6.28515625" style="89" customWidth="1"/>
    <col min="13065" max="13065" width="5.7109375" style="89" customWidth="1"/>
    <col min="13066" max="13066" width="5.7109375" style="89" bestFit="1" customWidth="1"/>
    <col min="13067" max="13067" width="5.85546875" style="89" bestFit="1" customWidth="1"/>
    <col min="13068" max="13068" width="9.42578125" style="89" customWidth="1"/>
    <col min="13069" max="13069" width="5.140625" style="89" customWidth="1"/>
    <col min="13070" max="13070" width="9.7109375" style="89" customWidth="1"/>
    <col min="13071" max="13071" width="6.7109375" style="89" bestFit="1" customWidth="1"/>
    <col min="13072" max="13072" width="4.85546875" style="89" customWidth="1"/>
    <col min="13073" max="13073" width="5.28515625" style="89" customWidth="1"/>
    <col min="13074" max="13075" width="4.42578125" style="89" bestFit="1" customWidth="1"/>
    <col min="13076" max="13076" width="13.28515625" style="89" bestFit="1" customWidth="1"/>
    <col min="13077" max="13077" width="3.140625" style="89" customWidth="1"/>
    <col min="13078" max="13078" width="5.42578125" style="89" bestFit="1" customWidth="1"/>
    <col min="13079" max="13079" width="4.42578125" style="89" bestFit="1" customWidth="1"/>
    <col min="13080" max="13080" width="6.42578125" style="89" customWidth="1"/>
    <col min="13081" max="13081" width="5" style="89" bestFit="1" customWidth="1"/>
    <col min="13082" max="13082" width="4.5703125" style="89" bestFit="1" customWidth="1"/>
    <col min="13083" max="13083" width="4.42578125" style="89" bestFit="1" customWidth="1"/>
    <col min="13084" max="13084" width="4" style="89" customWidth="1"/>
    <col min="13085" max="13312" width="11.42578125" style="89"/>
    <col min="13313" max="13313" width="14.85546875" style="89" bestFit="1" customWidth="1"/>
    <col min="13314" max="13314" width="28" style="89" bestFit="1" customWidth="1"/>
    <col min="13315" max="13315" width="4.42578125" style="89" bestFit="1" customWidth="1"/>
    <col min="13316" max="13316" width="8" style="89" bestFit="1" customWidth="1"/>
    <col min="13317" max="13317" width="11.42578125" style="89"/>
    <col min="13318" max="13318" width="22.85546875" style="89" bestFit="1" customWidth="1"/>
    <col min="13319" max="13319" width="7" style="89" customWidth="1"/>
    <col min="13320" max="13320" width="6.28515625" style="89" customWidth="1"/>
    <col min="13321" max="13321" width="5.7109375" style="89" customWidth="1"/>
    <col min="13322" max="13322" width="5.7109375" style="89" bestFit="1" customWidth="1"/>
    <col min="13323" max="13323" width="5.85546875" style="89" bestFit="1" customWidth="1"/>
    <col min="13324" max="13324" width="9.42578125" style="89" customWidth="1"/>
    <col min="13325" max="13325" width="5.140625" style="89" customWidth="1"/>
    <col min="13326" max="13326" width="9.7109375" style="89" customWidth="1"/>
    <col min="13327" max="13327" width="6.7109375" style="89" bestFit="1" customWidth="1"/>
    <col min="13328" max="13328" width="4.85546875" style="89" customWidth="1"/>
    <col min="13329" max="13329" width="5.28515625" style="89" customWidth="1"/>
    <col min="13330" max="13331" width="4.42578125" style="89" bestFit="1" customWidth="1"/>
    <col min="13332" max="13332" width="13.28515625" style="89" bestFit="1" customWidth="1"/>
    <col min="13333" max="13333" width="3.140625" style="89" customWidth="1"/>
    <col min="13334" max="13334" width="5.42578125" style="89" bestFit="1" customWidth="1"/>
    <col min="13335" max="13335" width="4.42578125" style="89" bestFit="1" customWidth="1"/>
    <col min="13336" max="13336" width="6.42578125" style="89" customWidth="1"/>
    <col min="13337" max="13337" width="5" style="89" bestFit="1" customWidth="1"/>
    <col min="13338" max="13338" width="4.5703125" style="89" bestFit="1" customWidth="1"/>
    <col min="13339" max="13339" width="4.42578125" style="89" bestFit="1" customWidth="1"/>
    <col min="13340" max="13340" width="4" style="89" customWidth="1"/>
    <col min="13341" max="13568" width="11.42578125" style="89"/>
    <col min="13569" max="13569" width="14.85546875" style="89" bestFit="1" customWidth="1"/>
    <col min="13570" max="13570" width="28" style="89" bestFit="1" customWidth="1"/>
    <col min="13571" max="13571" width="4.42578125" style="89" bestFit="1" customWidth="1"/>
    <col min="13572" max="13572" width="8" style="89" bestFit="1" customWidth="1"/>
    <col min="13573" max="13573" width="11.42578125" style="89"/>
    <col min="13574" max="13574" width="22.85546875" style="89" bestFit="1" customWidth="1"/>
    <col min="13575" max="13575" width="7" style="89" customWidth="1"/>
    <col min="13576" max="13576" width="6.28515625" style="89" customWidth="1"/>
    <col min="13577" max="13577" width="5.7109375" style="89" customWidth="1"/>
    <col min="13578" max="13578" width="5.7109375" style="89" bestFit="1" customWidth="1"/>
    <col min="13579" max="13579" width="5.85546875" style="89" bestFit="1" customWidth="1"/>
    <col min="13580" max="13580" width="9.42578125" style="89" customWidth="1"/>
    <col min="13581" max="13581" width="5.140625" style="89" customWidth="1"/>
    <col min="13582" max="13582" width="9.7109375" style="89" customWidth="1"/>
    <col min="13583" max="13583" width="6.7109375" style="89" bestFit="1" customWidth="1"/>
    <col min="13584" max="13584" width="4.85546875" style="89" customWidth="1"/>
    <col min="13585" max="13585" width="5.28515625" style="89" customWidth="1"/>
    <col min="13586" max="13587" width="4.42578125" style="89" bestFit="1" customWidth="1"/>
    <col min="13588" max="13588" width="13.28515625" style="89" bestFit="1" customWidth="1"/>
    <col min="13589" max="13589" width="3.140625" style="89" customWidth="1"/>
    <col min="13590" max="13590" width="5.42578125" style="89" bestFit="1" customWidth="1"/>
    <col min="13591" max="13591" width="4.42578125" style="89" bestFit="1" customWidth="1"/>
    <col min="13592" max="13592" width="6.42578125" style="89" customWidth="1"/>
    <col min="13593" max="13593" width="5" style="89" bestFit="1" customWidth="1"/>
    <col min="13594" max="13594" width="4.5703125" style="89" bestFit="1" customWidth="1"/>
    <col min="13595" max="13595" width="4.42578125" style="89" bestFit="1" customWidth="1"/>
    <col min="13596" max="13596" width="4" style="89" customWidth="1"/>
    <col min="13597" max="13824" width="11.42578125" style="89"/>
    <col min="13825" max="13825" width="14.85546875" style="89" bestFit="1" customWidth="1"/>
    <col min="13826" max="13826" width="28" style="89" bestFit="1" customWidth="1"/>
    <col min="13827" max="13827" width="4.42578125" style="89" bestFit="1" customWidth="1"/>
    <col min="13828" max="13828" width="8" style="89" bestFit="1" customWidth="1"/>
    <col min="13829" max="13829" width="11.42578125" style="89"/>
    <col min="13830" max="13830" width="22.85546875" style="89" bestFit="1" customWidth="1"/>
    <col min="13831" max="13831" width="7" style="89" customWidth="1"/>
    <col min="13832" max="13832" width="6.28515625" style="89" customWidth="1"/>
    <col min="13833" max="13833" width="5.7109375" style="89" customWidth="1"/>
    <col min="13834" max="13834" width="5.7109375" style="89" bestFit="1" customWidth="1"/>
    <col min="13835" max="13835" width="5.85546875" style="89" bestFit="1" customWidth="1"/>
    <col min="13836" max="13836" width="9.42578125" style="89" customWidth="1"/>
    <col min="13837" max="13837" width="5.140625" style="89" customWidth="1"/>
    <col min="13838" max="13838" width="9.7109375" style="89" customWidth="1"/>
    <col min="13839" max="13839" width="6.7109375" style="89" bestFit="1" customWidth="1"/>
    <col min="13840" max="13840" width="4.85546875" style="89" customWidth="1"/>
    <col min="13841" max="13841" width="5.28515625" style="89" customWidth="1"/>
    <col min="13842" max="13843" width="4.42578125" style="89" bestFit="1" customWidth="1"/>
    <col min="13844" max="13844" width="13.28515625" style="89" bestFit="1" customWidth="1"/>
    <col min="13845" max="13845" width="3.140625" style="89" customWidth="1"/>
    <col min="13846" max="13846" width="5.42578125" style="89" bestFit="1" customWidth="1"/>
    <col min="13847" max="13847" width="4.42578125" style="89" bestFit="1" customWidth="1"/>
    <col min="13848" max="13848" width="6.42578125" style="89" customWidth="1"/>
    <col min="13849" max="13849" width="5" style="89" bestFit="1" customWidth="1"/>
    <col min="13850" max="13850" width="4.5703125" style="89" bestFit="1" customWidth="1"/>
    <col min="13851" max="13851" width="4.42578125" style="89" bestFit="1" customWidth="1"/>
    <col min="13852" max="13852" width="4" style="89" customWidth="1"/>
    <col min="13853" max="14080" width="11.42578125" style="89"/>
    <col min="14081" max="14081" width="14.85546875" style="89" bestFit="1" customWidth="1"/>
    <col min="14082" max="14082" width="28" style="89" bestFit="1" customWidth="1"/>
    <col min="14083" max="14083" width="4.42578125" style="89" bestFit="1" customWidth="1"/>
    <col min="14084" max="14084" width="8" style="89" bestFit="1" customWidth="1"/>
    <col min="14085" max="14085" width="11.42578125" style="89"/>
    <col min="14086" max="14086" width="22.85546875" style="89" bestFit="1" customWidth="1"/>
    <col min="14087" max="14087" width="7" style="89" customWidth="1"/>
    <col min="14088" max="14088" width="6.28515625" style="89" customWidth="1"/>
    <col min="14089" max="14089" width="5.7109375" style="89" customWidth="1"/>
    <col min="14090" max="14090" width="5.7109375" style="89" bestFit="1" customWidth="1"/>
    <col min="14091" max="14091" width="5.85546875" style="89" bestFit="1" customWidth="1"/>
    <col min="14092" max="14092" width="9.42578125" style="89" customWidth="1"/>
    <col min="14093" max="14093" width="5.140625" style="89" customWidth="1"/>
    <col min="14094" max="14094" width="9.7109375" style="89" customWidth="1"/>
    <col min="14095" max="14095" width="6.7109375" style="89" bestFit="1" customWidth="1"/>
    <col min="14096" max="14096" width="4.85546875" style="89" customWidth="1"/>
    <col min="14097" max="14097" width="5.28515625" style="89" customWidth="1"/>
    <col min="14098" max="14099" width="4.42578125" style="89" bestFit="1" customWidth="1"/>
    <col min="14100" max="14100" width="13.28515625" style="89" bestFit="1" customWidth="1"/>
    <col min="14101" max="14101" width="3.140625" style="89" customWidth="1"/>
    <col min="14102" max="14102" width="5.42578125" style="89" bestFit="1" customWidth="1"/>
    <col min="14103" max="14103" width="4.42578125" style="89" bestFit="1" customWidth="1"/>
    <col min="14104" max="14104" width="6.42578125" style="89" customWidth="1"/>
    <col min="14105" max="14105" width="5" style="89" bestFit="1" customWidth="1"/>
    <col min="14106" max="14106" width="4.5703125" style="89" bestFit="1" customWidth="1"/>
    <col min="14107" max="14107" width="4.42578125" style="89" bestFit="1" customWidth="1"/>
    <col min="14108" max="14108" width="4" style="89" customWidth="1"/>
    <col min="14109" max="14336" width="11.42578125" style="89"/>
    <col min="14337" max="14337" width="14.85546875" style="89" bestFit="1" customWidth="1"/>
    <col min="14338" max="14338" width="28" style="89" bestFit="1" customWidth="1"/>
    <col min="14339" max="14339" width="4.42578125" style="89" bestFit="1" customWidth="1"/>
    <col min="14340" max="14340" width="8" style="89" bestFit="1" customWidth="1"/>
    <col min="14341" max="14341" width="11.42578125" style="89"/>
    <col min="14342" max="14342" width="22.85546875" style="89" bestFit="1" customWidth="1"/>
    <col min="14343" max="14343" width="7" style="89" customWidth="1"/>
    <col min="14344" max="14344" width="6.28515625" style="89" customWidth="1"/>
    <col min="14345" max="14345" width="5.7109375" style="89" customWidth="1"/>
    <col min="14346" max="14346" width="5.7109375" style="89" bestFit="1" customWidth="1"/>
    <col min="14347" max="14347" width="5.85546875" style="89" bestFit="1" customWidth="1"/>
    <col min="14348" max="14348" width="9.42578125" style="89" customWidth="1"/>
    <col min="14349" max="14349" width="5.140625" style="89" customWidth="1"/>
    <col min="14350" max="14350" width="9.7109375" style="89" customWidth="1"/>
    <col min="14351" max="14351" width="6.7109375" style="89" bestFit="1" customWidth="1"/>
    <col min="14352" max="14352" width="4.85546875" style="89" customWidth="1"/>
    <col min="14353" max="14353" width="5.28515625" style="89" customWidth="1"/>
    <col min="14354" max="14355" width="4.42578125" style="89" bestFit="1" customWidth="1"/>
    <col min="14356" max="14356" width="13.28515625" style="89" bestFit="1" customWidth="1"/>
    <col min="14357" max="14357" width="3.140625" style="89" customWidth="1"/>
    <col min="14358" max="14358" width="5.42578125" style="89" bestFit="1" customWidth="1"/>
    <col min="14359" max="14359" width="4.42578125" style="89" bestFit="1" customWidth="1"/>
    <col min="14360" max="14360" width="6.42578125" style="89" customWidth="1"/>
    <col min="14361" max="14361" width="5" style="89" bestFit="1" customWidth="1"/>
    <col min="14362" max="14362" width="4.5703125" style="89" bestFit="1" customWidth="1"/>
    <col min="14363" max="14363" width="4.42578125" style="89" bestFit="1" customWidth="1"/>
    <col min="14364" max="14364" width="4" style="89" customWidth="1"/>
    <col min="14365" max="14592" width="11.42578125" style="89"/>
    <col min="14593" max="14593" width="14.85546875" style="89" bestFit="1" customWidth="1"/>
    <col min="14594" max="14594" width="28" style="89" bestFit="1" customWidth="1"/>
    <col min="14595" max="14595" width="4.42578125" style="89" bestFit="1" customWidth="1"/>
    <col min="14596" max="14596" width="8" style="89" bestFit="1" customWidth="1"/>
    <col min="14597" max="14597" width="11.42578125" style="89"/>
    <col min="14598" max="14598" width="22.85546875" style="89" bestFit="1" customWidth="1"/>
    <col min="14599" max="14599" width="7" style="89" customWidth="1"/>
    <col min="14600" max="14600" width="6.28515625" style="89" customWidth="1"/>
    <col min="14601" max="14601" width="5.7109375" style="89" customWidth="1"/>
    <col min="14602" max="14602" width="5.7109375" style="89" bestFit="1" customWidth="1"/>
    <col min="14603" max="14603" width="5.85546875" style="89" bestFit="1" customWidth="1"/>
    <col min="14604" max="14604" width="9.42578125" style="89" customWidth="1"/>
    <col min="14605" max="14605" width="5.140625" style="89" customWidth="1"/>
    <col min="14606" max="14606" width="9.7109375" style="89" customWidth="1"/>
    <col min="14607" max="14607" width="6.7109375" style="89" bestFit="1" customWidth="1"/>
    <col min="14608" max="14608" width="4.85546875" style="89" customWidth="1"/>
    <col min="14609" max="14609" width="5.28515625" style="89" customWidth="1"/>
    <col min="14610" max="14611" width="4.42578125" style="89" bestFit="1" customWidth="1"/>
    <col min="14612" max="14612" width="13.28515625" style="89" bestFit="1" customWidth="1"/>
    <col min="14613" max="14613" width="3.140625" style="89" customWidth="1"/>
    <col min="14614" max="14614" width="5.42578125" style="89" bestFit="1" customWidth="1"/>
    <col min="14615" max="14615" width="4.42578125" style="89" bestFit="1" customWidth="1"/>
    <col min="14616" max="14616" width="6.42578125" style="89" customWidth="1"/>
    <col min="14617" max="14617" width="5" style="89" bestFit="1" customWidth="1"/>
    <col min="14618" max="14618" width="4.5703125" style="89" bestFit="1" customWidth="1"/>
    <col min="14619" max="14619" width="4.42578125" style="89" bestFit="1" customWidth="1"/>
    <col min="14620" max="14620" width="4" style="89" customWidth="1"/>
    <col min="14621" max="14848" width="11.42578125" style="89"/>
    <col min="14849" max="14849" width="14.85546875" style="89" bestFit="1" customWidth="1"/>
    <col min="14850" max="14850" width="28" style="89" bestFit="1" customWidth="1"/>
    <col min="14851" max="14851" width="4.42578125" style="89" bestFit="1" customWidth="1"/>
    <col min="14852" max="14852" width="8" style="89" bestFit="1" customWidth="1"/>
    <col min="14853" max="14853" width="11.42578125" style="89"/>
    <col min="14854" max="14854" width="22.85546875" style="89" bestFit="1" customWidth="1"/>
    <col min="14855" max="14855" width="7" style="89" customWidth="1"/>
    <col min="14856" max="14856" width="6.28515625" style="89" customWidth="1"/>
    <col min="14857" max="14857" width="5.7109375" style="89" customWidth="1"/>
    <col min="14858" max="14858" width="5.7109375" style="89" bestFit="1" customWidth="1"/>
    <col min="14859" max="14859" width="5.85546875" style="89" bestFit="1" customWidth="1"/>
    <col min="14860" max="14860" width="9.42578125" style="89" customWidth="1"/>
    <col min="14861" max="14861" width="5.140625" style="89" customWidth="1"/>
    <col min="14862" max="14862" width="9.7109375" style="89" customWidth="1"/>
    <col min="14863" max="14863" width="6.7109375" style="89" bestFit="1" customWidth="1"/>
    <col min="14864" max="14864" width="4.85546875" style="89" customWidth="1"/>
    <col min="14865" max="14865" width="5.28515625" style="89" customWidth="1"/>
    <col min="14866" max="14867" width="4.42578125" style="89" bestFit="1" customWidth="1"/>
    <col min="14868" max="14868" width="13.28515625" style="89" bestFit="1" customWidth="1"/>
    <col min="14869" max="14869" width="3.140625" style="89" customWidth="1"/>
    <col min="14870" max="14870" width="5.42578125" style="89" bestFit="1" customWidth="1"/>
    <col min="14871" max="14871" width="4.42578125" style="89" bestFit="1" customWidth="1"/>
    <col min="14872" max="14872" width="6.42578125" style="89" customWidth="1"/>
    <col min="14873" max="14873" width="5" style="89" bestFit="1" customWidth="1"/>
    <col min="14874" max="14874" width="4.5703125" style="89" bestFit="1" customWidth="1"/>
    <col min="14875" max="14875" width="4.42578125" style="89" bestFit="1" customWidth="1"/>
    <col min="14876" max="14876" width="4" style="89" customWidth="1"/>
    <col min="14877" max="15104" width="11.42578125" style="89"/>
    <col min="15105" max="15105" width="14.85546875" style="89" bestFit="1" customWidth="1"/>
    <col min="15106" max="15106" width="28" style="89" bestFit="1" customWidth="1"/>
    <col min="15107" max="15107" width="4.42578125" style="89" bestFit="1" customWidth="1"/>
    <col min="15108" max="15108" width="8" style="89" bestFit="1" customWidth="1"/>
    <col min="15109" max="15109" width="11.42578125" style="89"/>
    <col min="15110" max="15110" width="22.85546875" style="89" bestFit="1" customWidth="1"/>
    <col min="15111" max="15111" width="7" style="89" customWidth="1"/>
    <col min="15112" max="15112" width="6.28515625" style="89" customWidth="1"/>
    <col min="15113" max="15113" width="5.7109375" style="89" customWidth="1"/>
    <col min="15114" max="15114" width="5.7109375" style="89" bestFit="1" customWidth="1"/>
    <col min="15115" max="15115" width="5.85546875" style="89" bestFit="1" customWidth="1"/>
    <col min="15116" max="15116" width="9.42578125" style="89" customWidth="1"/>
    <col min="15117" max="15117" width="5.140625" style="89" customWidth="1"/>
    <col min="15118" max="15118" width="9.7109375" style="89" customWidth="1"/>
    <col min="15119" max="15119" width="6.7109375" style="89" bestFit="1" customWidth="1"/>
    <col min="15120" max="15120" width="4.85546875" style="89" customWidth="1"/>
    <col min="15121" max="15121" width="5.28515625" style="89" customWidth="1"/>
    <col min="15122" max="15123" width="4.42578125" style="89" bestFit="1" customWidth="1"/>
    <col min="15124" max="15124" width="13.28515625" style="89" bestFit="1" customWidth="1"/>
    <col min="15125" max="15125" width="3.140625" style="89" customWidth="1"/>
    <col min="15126" max="15126" width="5.42578125" style="89" bestFit="1" customWidth="1"/>
    <col min="15127" max="15127" width="4.42578125" style="89" bestFit="1" customWidth="1"/>
    <col min="15128" max="15128" width="6.42578125" style="89" customWidth="1"/>
    <col min="15129" max="15129" width="5" style="89" bestFit="1" customWidth="1"/>
    <col min="15130" max="15130" width="4.5703125" style="89" bestFit="1" customWidth="1"/>
    <col min="15131" max="15131" width="4.42578125" style="89" bestFit="1" customWidth="1"/>
    <col min="15132" max="15132" width="4" style="89" customWidth="1"/>
    <col min="15133" max="15360" width="11.42578125" style="89"/>
    <col min="15361" max="15361" width="14.85546875" style="89" bestFit="1" customWidth="1"/>
    <col min="15362" max="15362" width="28" style="89" bestFit="1" customWidth="1"/>
    <col min="15363" max="15363" width="4.42578125" style="89" bestFit="1" customWidth="1"/>
    <col min="15364" max="15364" width="8" style="89" bestFit="1" customWidth="1"/>
    <col min="15365" max="15365" width="11.42578125" style="89"/>
    <col min="15366" max="15366" width="22.85546875" style="89" bestFit="1" customWidth="1"/>
    <col min="15367" max="15367" width="7" style="89" customWidth="1"/>
    <col min="15368" max="15368" width="6.28515625" style="89" customWidth="1"/>
    <col min="15369" max="15369" width="5.7109375" style="89" customWidth="1"/>
    <col min="15370" max="15370" width="5.7109375" style="89" bestFit="1" customWidth="1"/>
    <col min="15371" max="15371" width="5.85546875" style="89" bestFit="1" customWidth="1"/>
    <col min="15372" max="15372" width="9.42578125" style="89" customWidth="1"/>
    <col min="15373" max="15373" width="5.140625" style="89" customWidth="1"/>
    <col min="15374" max="15374" width="9.7109375" style="89" customWidth="1"/>
    <col min="15375" max="15375" width="6.7109375" style="89" bestFit="1" customWidth="1"/>
    <col min="15376" max="15376" width="4.85546875" style="89" customWidth="1"/>
    <col min="15377" max="15377" width="5.28515625" style="89" customWidth="1"/>
    <col min="15378" max="15379" width="4.42578125" style="89" bestFit="1" customWidth="1"/>
    <col min="15380" max="15380" width="13.28515625" style="89" bestFit="1" customWidth="1"/>
    <col min="15381" max="15381" width="3.140625" style="89" customWidth="1"/>
    <col min="15382" max="15382" width="5.42578125" style="89" bestFit="1" customWidth="1"/>
    <col min="15383" max="15383" width="4.42578125" style="89" bestFit="1" customWidth="1"/>
    <col min="15384" max="15384" width="6.42578125" style="89" customWidth="1"/>
    <col min="15385" max="15385" width="5" style="89" bestFit="1" customWidth="1"/>
    <col min="15386" max="15386" width="4.5703125" style="89" bestFit="1" customWidth="1"/>
    <col min="15387" max="15387" width="4.42578125" style="89" bestFit="1" customWidth="1"/>
    <col min="15388" max="15388" width="4" style="89" customWidth="1"/>
    <col min="15389" max="15616" width="11.42578125" style="89"/>
    <col min="15617" max="15617" width="14.85546875" style="89" bestFit="1" customWidth="1"/>
    <col min="15618" max="15618" width="28" style="89" bestFit="1" customWidth="1"/>
    <col min="15619" max="15619" width="4.42578125" style="89" bestFit="1" customWidth="1"/>
    <col min="15620" max="15620" width="8" style="89" bestFit="1" customWidth="1"/>
    <col min="15621" max="15621" width="11.42578125" style="89"/>
    <col min="15622" max="15622" width="22.85546875" style="89" bestFit="1" customWidth="1"/>
    <col min="15623" max="15623" width="7" style="89" customWidth="1"/>
    <col min="15624" max="15624" width="6.28515625" style="89" customWidth="1"/>
    <col min="15625" max="15625" width="5.7109375" style="89" customWidth="1"/>
    <col min="15626" max="15626" width="5.7109375" style="89" bestFit="1" customWidth="1"/>
    <col min="15627" max="15627" width="5.85546875" style="89" bestFit="1" customWidth="1"/>
    <col min="15628" max="15628" width="9.42578125" style="89" customWidth="1"/>
    <col min="15629" max="15629" width="5.140625" style="89" customWidth="1"/>
    <col min="15630" max="15630" width="9.7109375" style="89" customWidth="1"/>
    <col min="15631" max="15631" width="6.7109375" style="89" bestFit="1" customWidth="1"/>
    <col min="15632" max="15632" width="4.85546875" style="89" customWidth="1"/>
    <col min="15633" max="15633" width="5.28515625" style="89" customWidth="1"/>
    <col min="15634" max="15635" width="4.42578125" style="89" bestFit="1" customWidth="1"/>
    <col min="15636" max="15636" width="13.28515625" style="89" bestFit="1" customWidth="1"/>
    <col min="15637" max="15637" width="3.140625" style="89" customWidth="1"/>
    <col min="15638" max="15638" width="5.42578125" style="89" bestFit="1" customWidth="1"/>
    <col min="15639" max="15639" width="4.42578125" style="89" bestFit="1" customWidth="1"/>
    <col min="15640" max="15640" width="6.42578125" style="89" customWidth="1"/>
    <col min="15641" max="15641" width="5" style="89" bestFit="1" customWidth="1"/>
    <col min="15642" max="15642" width="4.5703125" style="89" bestFit="1" customWidth="1"/>
    <col min="15643" max="15643" width="4.42578125" style="89" bestFit="1" customWidth="1"/>
    <col min="15644" max="15644" width="4" style="89" customWidth="1"/>
    <col min="15645" max="15872" width="11.42578125" style="89"/>
    <col min="15873" max="15873" width="14.85546875" style="89" bestFit="1" customWidth="1"/>
    <col min="15874" max="15874" width="28" style="89" bestFit="1" customWidth="1"/>
    <col min="15875" max="15875" width="4.42578125" style="89" bestFit="1" customWidth="1"/>
    <col min="15876" max="15876" width="8" style="89" bestFit="1" customWidth="1"/>
    <col min="15877" max="15877" width="11.42578125" style="89"/>
    <col min="15878" max="15878" width="22.85546875" style="89" bestFit="1" customWidth="1"/>
    <col min="15879" max="15879" width="7" style="89" customWidth="1"/>
    <col min="15880" max="15880" width="6.28515625" style="89" customWidth="1"/>
    <col min="15881" max="15881" width="5.7109375" style="89" customWidth="1"/>
    <col min="15882" max="15882" width="5.7109375" style="89" bestFit="1" customWidth="1"/>
    <col min="15883" max="15883" width="5.85546875" style="89" bestFit="1" customWidth="1"/>
    <col min="15884" max="15884" width="9.42578125" style="89" customWidth="1"/>
    <col min="15885" max="15885" width="5.140625" style="89" customWidth="1"/>
    <col min="15886" max="15886" width="9.7109375" style="89" customWidth="1"/>
    <col min="15887" max="15887" width="6.7109375" style="89" bestFit="1" customWidth="1"/>
    <col min="15888" max="15888" width="4.85546875" style="89" customWidth="1"/>
    <col min="15889" max="15889" width="5.28515625" style="89" customWidth="1"/>
    <col min="15890" max="15891" width="4.42578125" style="89" bestFit="1" customWidth="1"/>
    <col min="15892" max="15892" width="13.28515625" style="89" bestFit="1" customWidth="1"/>
    <col min="15893" max="15893" width="3.140625" style="89" customWidth="1"/>
    <col min="15894" max="15894" width="5.42578125" style="89" bestFit="1" customWidth="1"/>
    <col min="15895" max="15895" width="4.42578125" style="89" bestFit="1" customWidth="1"/>
    <col min="15896" max="15896" width="6.42578125" style="89" customWidth="1"/>
    <col min="15897" max="15897" width="5" style="89" bestFit="1" customWidth="1"/>
    <col min="15898" max="15898" width="4.5703125" style="89" bestFit="1" customWidth="1"/>
    <col min="15899" max="15899" width="4.42578125" style="89" bestFit="1" customWidth="1"/>
    <col min="15900" max="15900" width="4" style="89" customWidth="1"/>
    <col min="15901" max="16128" width="11.42578125" style="89"/>
    <col min="16129" max="16129" width="14.85546875" style="89" bestFit="1" customWidth="1"/>
    <col min="16130" max="16130" width="28" style="89" bestFit="1" customWidth="1"/>
    <col min="16131" max="16131" width="4.42578125" style="89" bestFit="1" customWidth="1"/>
    <col min="16132" max="16132" width="8" style="89" bestFit="1" customWidth="1"/>
    <col min="16133" max="16133" width="11.42578125" style="89"/>
    <col min="16134" max="16134" width="22.85546875" style="89" bestFit="1" customWidth="1"/>
    <col min="16135" max="16135" width="7" style="89" customWidth="1"/>
    <col min="16136" max="16136" width="6.28515625" style="89" customWidth="1"/>
    <col min="16137" max="16137" width="5.7109375" style="89" customWidth="1"/>
    <col min="16138" max="16138" width="5.7109375" style="89" bestFit="1" customWidth="1"/>
    <col min="16139" max="16139" width="5.85546875" style="89" bestFit="1" customWidth="1"/>
    <col min="16140" max="16140" width="9.42578125" style="89" customWidth="1"/>
    <col min="16141" max="16141" width="5.140625" style="89" customWidth="1"/>
    <col min="16142" max="16142" width="9.7109375" style="89" customWidth="1"/>
    <col min="16143" max="16143" width="6.7109375" style="89" bestFit="1" customWidth="1"/>
    <col min="16144" max="16144" width="4.85546875" style="89" customWidth="1"/>
    <col min="16145" max="16145" width="5.28515625" style="89" customWidth="1"/>
    <col min="16146" max="16147" width="4.42578125" style="89" bestFit="1" customWidth="1"/>
    <col min="16148" max="16148" width="13.28515625" style="89" bestFit="1" customWidth="1"/>
    <col min="16149" max="16149" width="3.140625" style="89" customWidth="1"/>
    <col min="16150" max="16150" width="5.42578125" style="89" bestFit="1" customWidth="1"/>
    <col min="16151" max="16151" width="4.42578125" style="89" bestFit="1" customWidth="1"/>
    <col min="16152" max="16152" width="6.42578125" style="89" customWidth="1"/>
    <col min="16153" max="16153" width="5" style="89" bestFit="1" customWidth="1"/>
    <col min="16154" max="16154" width="4.5703125" style="89" bestFit="1" customWidth="1"/>
    <col min="16155" max="16155" width="4.42578125" style="89" bestFit="1" customWidth="1"/>
    <col min="16156" max="16156" width="4" style="89" customWidth="1"/>
    <col min="16157" max="16384" width="11.42578125" style="89"/>
  </cols>
  <sheetData>
    <row r="1" spans="1:31" x14ac:dyDescent="0.2">
      <c r="E1" s="64"/>
      <c r="F1" s="64"/>
      <c r="G1" s="430" t="s">
        <v>12</v>
      </c>
      <c r="H1" s="417"/>
      <c r="I1" s="417"/>
      <c r="J1" s="417"/>
      <c r="K1" s="417"/>
      <c r="L1" s="427"/>
      <c r="M1" s="352"/>
      <c r="N1" s="417" t="s">
        <v>13</v>
      </c>
      <c r="O1" s="417"/>
      <c r="P1" s="417"/>
      <c r="Q1" s="417"/>
      <c r="R1" s="417"/>
      <c r="S1" s="417"/>
      <c r="T1" s="417"/>
      <c r="U1" s="64"/>
      <c r="V1" s="417" t="s">
        <v>14</v>
      </c>
      <c r="W1" s="417"/>
      <c r="X1" s="417"/>
      <c r="Y1" s="417"/>
      <c r="Z1" s="417"/>
      <c r="AA1" s="417"/>
      <c r="AB1" s="93"/>
    </row>
    <row r="2" spans="1:31" ht="15" customHeight="1" x14ac:dyDescent="0.25">
      <c r="E2" s="64"/>
      <c r="F2" s="64"/>
      <c r="G2" s="418" t="s">
        <v>61</v>
      </c>
      <c r="H2" s="419"/>
      <c r="I2" s="420" t="s">
        <v>15</v>
      </c>
      <c r="J2" s="419"/>
      <c r="K2" s="419"/>
      <c r="L2" s="419"/>
      <c r="M2" s="64"/>
      <c r="N2" s="443" t="s">
        <v>16</v>
      </c>
      <c r="O2" s="433" t="s">
        <v>17</v>
      </c>
      <c r="P2" s="424"/>
      <c r="Q2" s="424"/>
      <c r="R2" s="424"/>
      <c r="S2" s="424"/>
      <c r="T2" s="425"/>
      <c r="U2" s="64"/>
      <c r="V2" s="423" t="s">
        <v>18</v>
      </c>
      <c r="W2" s="424"/>
      <c r="X2" s="424"/>
      <c r="Y2" s="424"/>
      <c r="Z2" s="424"/>
      <c r="AA2" s="425"/>
      <c r="AB2" s="94"/>
    </row>
    <row r="3" spans="1:31" s="90" customFormat="1" ht="15" x14ac:dyDescent="0.2">
      <c r="E3" s="67"/>
      <c r="F3" s="67"/>
      <c r="G3" s="95"/>
      <c r="H3" s="95"/>
      <c r="I3" s="445" t="s">
        <v>19</v>
      </c>
      <c r="J3" s="419"/>
      <c r="K3" s="445" t="s">
        <v>70</v>
      </c>
      <c r="L3" s="419"/>
      <c r="N3" s="444"/>
      <c r="O3" s="426"/>
      <c r="P3" s="424"/>
      <c r="Q3" s="424"/>
      <c r="R3" s="424"/>
      <c r="S3" s="424"/>
      <c r="T3" s="425"/>
      <c r="U3" s="67"/>
      <c r="V3" s="426"/>
      <c r="W3" s="427"/>
      <c r="X3" s="427"/>
      <c r="Y3" s="427"/>
      <c r="Z3" s="427"/>
      <c r="AA3" s="425"/>
      <c r="AB3" s="96"/>
    </row>
    <row r="4" spans="1:31" ht="15" x14ac:dyDescent="0.25">
      <c r="A4" s="438" t="s">
        <v>62</v>
      </c>
      <c r="B4" s="439"/>
      <c r="C4" s="439"/>
      <c r="E4" s="85" t="s">
        <v>21</v>
      </c>
      <c r="F4" s="85" t="s">
        <v>22</v>
      </c>
      <c r="G4" s="97"/>
      <c r="H4" s="98" t="s">
        <v>23</v>
      </c>
      <c r="I4" s="84"/>
      <c r="J4" s="364" t="s">
        <v>23</v>
      </c>
      <c r="K4" s="84"/>
      <c r="L4" s="364" t="s">
        <v>23</v>
      </c>
      <c r="N4" s="444"/>
      <c r="O4" s="77" t="s">
        <v>24</v>
      </c>
      <c r="P4" s="77" t="s">
        <v>25</v>
      </c>
      <c r="Q4" s="77" t="s">
        <v>26</v>
      </c>
      <c r="R4" s="76" t="s">
        <v>27</v>
      </c>
      <c r="S4" s="75" t="s">
        <v>28</v>
      </c>
      <c r="T4" s="75" t="s">
        <v>29</v>
      </c>
      <c r="U4" s="73"/>
      <c r="V4" s="83" t="s">
        <v>23</v>
      </c>
      <c r="W4" s="77" t="s">
        <v>30</v>
      </c>
      <c r="X4" s="77" t="s">
        <v>31</v>
      </c>
      <c r="Y4" s="76" t="s">
        <v>32</v>
      </c>
      <c r="Z4" s="75" t="s">
        <v>33</v>
      </c>
      <c r="AA4" s="75" t="s">
        <v>34</v>
      </c>
    </row>
    <row r="5" spans="1:31" ht="15" x14ac:dyDescent="0.25">
      <c r="A5" s="89" t="s">
        <v>23</v>
      </c>
      <c r="C5" s="92">
        <f>SUM(C7:C25)</f>
        <v>103.36836145177814</v>
      </c>
      <c r="E5" s="65"/>
      <c r="F5" s="82"/>
      <c r="G5" s="99">
        <f>SUM(G7:G16)+SUM(G21:G22)+SUM(G34:G43)+SUM(G24:G31)</f>
        <v>103.36836145177813</v>
      </c>
      <c r="H5" s="82"/>
      <c r="I5" s="81"/>
      <c r="J5" s="80"/>
      <c r="L5" s="72"/>
      <c r="N5" s="79">
        <f>N7+N21+N26</f>
        <v>71.553757255374222</v>
      </c>
      <c r="O5" s="78"/>
      <c r="P5" s="77"/>
      <c r="Q5" s="77"/>
      <c r="R5" s="76"/>
      <c r="S5" s="75"/>
      <c r="T5" s="74">
        <f>V5</f>
        <v>83.12100667404718</v>
      </c>
      <c r="U5" s="73"/>
      <c r="V5" s="365">
        <f>V7+V21+V26+V34</f>
        <v>83.12100667404718</v>
      </c>
      <c r="W5" s="297">
        <f>W12+W21+W26+SUM(W34:W43)</f>
        <v>3.0676291457685831</v>
      </c>
      <c r="X5" s="297">
        <f>X12+X21+X29+SUM(X34:X43)</f>
        <v>26.437708250544716</v>
      </c>
      <c r="Y5" s="297">
        <f>Y12+Y21+Y29+SUM(Y34:Y43)</f>
        <v>22.203131882945311</v>
      </c>
      <c r="Z5" s="297">
        <f>Z12+Z21+Z29+SUM(Z34:Z43)</f>
        <v>16.202933625272028</v>
      </c>
      <c r="AA5" s="297">
        <f>AA12+AA21+AA26+SUM(AA34:AA43)</f>
        <v>15.209603769516558</v>
      </c>
    </row>
    <row r="6" spans="1:31" x14ac:dyDescent="0.2">
      <c r="D6" s="89" t="s">
        <v>155</v>
      </c>
      <c r="E6" s="64"/>
      <c r="F6" s="64"/>
      <c r="G6" s="65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366">
        <v>2.7904616945712838E-2</v>
      </c>
      <c r="X6" s="366">
        <v>0.22907153729071536</v>
      </c>
      <c r="Y6" s="366">
        <v>0.27980720446473872</v>
      </c>
      <c r="Z6" s="366">
        <v>0.31050228310502287</v>
      </c>
      <c r="AA6" s="366">
        <v>0.15271435819381027</v>
      </c>
      <c r="AB6" s="100"/>
    </row>
    <row r="7" spans="1:31" x14ac:dyDescent="0.2">
      <c r="A7" s="89" t="s">
        <v>63</v>
      </c>
      <c r="B7" s="89" t="s">
        <v>64</v>
      </c>
      <c r="C7" s="92">
        <f>G13+G29+G35+G22</f>
        <v>22.223518090888057</v>
      </c>
      <c r="E7" s="440" t="s">
        <v>28</v>
      </c>
      <c r="F7" s="64" t="s">
        <v>36</v>
      </c>
      <c r="G7" s="65">
        <f>I7+K7</f>
        <v>19.904163043287927</v>
      </c>
      <c r="H7" s="442">
        <f>SUM(G7:G19)</f>
        <v>51.67934991509761</v>
      </c>
      <c r="I7" s="315"/>
      <c r="J7" s="441">
        <f>SUM(I7:I19)</f>
        <v>9.531280357181096</v>
      </c>
      <c r="K7" s="65">
        <v>19.904163043287927</v>
      </c>
      <c r="L7" s="441">
        <f>SUM(K7:K19)</f>
        <v>42.148069557916514</v>
      </c>
      <c r="N7" s="442">
        <f>L7</f>
        <v>42.148069557916514</v>
      </c>
      <c r="O7" s="163"/>
      <c r="P7" s="163"/>
      <c r="Q7" s="163"/>
      <c r="R7" s="162"/>
      <c r="S7" s="351"/>
      <c r="T7" s="434">
        <f>N7-O12-P12-Q12-R12-S12</f>
        <v>33.924114103010005</v>
      </c>
      <c r="U7" s="88"/>
      <c r="V7" s="428">
        <f>T7</f>
        <v>33.924114103010005</v>
      </c>
      <c r="W7" s="298"/>
      <c r="X7" s="298"/>
      <c r="Y7" s="298"/>
      <c r="Z7" s="298"/>
      <c r="AA7" s="299"/>
      <c r="AB7" s="101"/>
    </row>
    <row r="8" spans="1:31" x14ac:dyDescent="0.2">
      <c r="B8" s="89" t="s">
        <v>36</v>
      </c>
      <c r="C8" s="92">
        <f>G7</f>
        <v>19.904163043287927</v>
      </c>
      <c r="D8" s="92">
        <v>13.937159999999999</v>
      </c>
      <c r="E8" s="440"/>
      <c r="F8" s="64" t="s">
        <v>37</v>
      </c>
      <c r="G8" s="65">
        <f t="shared" ref="G8:G16" si="0">I8+K8</f>
        <v>5.268713384767346</v>
      </c>
      <c r="H8" s="442"/>
      <c r="I8" s="315"/>
      <c r="J8" s="441"/>
      <c r="K8" s="65">
        <v>5.268713384767346</v>
      </c>
      <c r="L8" s="441"/>
      <c r="N8" s="442"/>
      <c r="O8" s="163"/>
      <c r="P8" s="163"/>
      <c r="Q8" s="163"/>
      <c r="R8" s="162"/>
      <c r="S8" s="351"/>
      <c r="T8" s="434"/>
      <c r="U8" s="88"/>
      <c r="V8" s="428"/>
      <c r="W8" s="298"/>
      <c r="X8" s="298"/>
      <c r="Y8" s="298"/>
      <c r="Z8" s="298"/>
      <c r="AA8" s="299"/>
      <c r="AB8" s="101"/>
    </row>
    <row r="9" spans="1:31" x14ac:dyDescent="0.2">
      <c r="B9" s="89" t="s">
        <v>65</v>
      </c>
      <c r="C9" s="92">
        <f>G11+G26+G34+G21</f>
        <v>8.7049110195726911</v>
      </c>
      <c r="D9" s="89">
        <v>8.9</v>
      </c>
      <c r="E9" s="440"/>
      <c r="F9" s="64" t="s">
        <v>234</v>
      </c>
      <c r="G9" s="65">
        <f t="shared" si="0"/>
        <v>10.388370354887599</v>
      </c>
      <c r="H9" s="442"/>
      <c r="I9" s="315"/>
      <c r="J9" s="441"/>
      <c r="K9" s="65">
        <v>10.388370354887599</v>
      </c>
      <c r="L9" s="441"/>
      <c r="N9" s="442"/>
      <c r="O9" s="163"/>
      <c r="P9" s="163"/>
      <c r="Q9" s="163"/>
      <c r="R9" s="162"/>
      <c r="S9" s="351"/>
      <c r="T9" s="434"/>
      <c r="U9" s="88"/>
      <c r="V9" s="428"/>
      <c r="W9" s="298"/>
      <c r="X9" s="298"/>
      <c r="Y9" s="298"/>
      <c r="Z9" s="298"/>
      <c r="AA9" s="299"/>
      <c r="AB9" s="101"/>
      <c r="AD9" s="70"/>
      <c r="AE9" s="330" t="s">
        <v>320</v>
      </c>
    </row>
    <row r="10" spans="1:31" x14ac:dyDescent="0.2">
      <c r="B10" s="89" t="s">
        <v>43</v>
      </c>
      <c r="C10" s="92">
        <f>G14+G30+G37</f>
        <v>5.1170360000000015</v>
      </c>
      <c r="E10" s="440"/>
      <c r="F10" s="64" t="s">
        <v>39</v>
      </c>
      <c r="G10" s="65">
        <f t="shared" si="0"/>
        <v>0</v>
      </c>
      <c r="H10" s="442"/>
      <c r="I10" s="316">
        <f>K10*AE10/(1-AE10)</f>
        <v>0</v>
      </c>
      <c r="J10" s="441"/>
      <c r="K10" s="65">
        <v>0</v>
      </c>
      <c r="L10" s="441"/>
      <c r="N10" s="442"/>
      <c r="O10" s="163"/>
      <c r="P10" s="163"/>
      <c r="Q10" s="163"/>
      <c r="R10" s="162"/>
      <c r="S10" s="351"/>
      <c r="T10" s="434"/>
      <c r="U10" s="88"/>
      <c r="V10" s="428"/>
      <c r="W10" s="298"/>
      <c r="X10" s="298"/>
      <c r="Y10" s="298"/>
      <c r="Z10" s="298"/>
      <c r="AA10" s="299"/>
      <c r="AB10" s="101"/>
      <c r="AD10" s="70" t="s">
        <v>39</v>
      </c>
      <c r="AE10" s="363">
        <v>0.67</v>
      </c>
    </row>
    <row r="11" spans="1:31" x14ac:dyDescent="0.2">
      <c r="B11" s="89" t="s">
        <v>37</v>
      </c>
      <c r="C11" s="92">
        <f>G8</f>
        <v>5.268713384767346</v>
      </c>
      <c r="D11" s="89">
        <v>5.8</v>
      </c>
      <c r="E11" s="440"/>
      <c r="F11" s="64" t="s">
        <v>40</v>
      </c>
      <c r="G11" s="65">
        <f t="shared" si="0"/>
        <v>1.2276659242186883</v>
      </c>
      <c r="H11" s="442"/>
      <c r="I11" s="316">
        <f t="shared" ref="I11:I16" si="1">K11*AE11/(1-AE11)</f>
        <v>0.53710384184567606</v>
      </c>
      <c r="J11" s="441"/>
      <c r="K11" s="65">
        <v>0.69056208237301209</v>
      </c>
      <c r="L11" s="441"/>
      <c r="N11" s="442"/>
      <c r="O11" s="163"/>
      <c r="P11" s="163"/>
      <c r="Q11" s="163"/>
      <c r="R11" s="162"/>
      <c r="S11" s="351"/>
      <c r="T11" s="434"/>
      <c r="U11" s="88"/>
      <c r="V11" s="428"/>
      <c r="W11" s="300"/>
      <c r="X11" s="300"/>
      <c r="Y11" s="300"/>
      <c r="Z11" s="300"/>
      <c r="AA11" s="301"/>
      <c r="AB11" s="101"/>
      <c r="AD11" s="70" t="s">
        <v>40</v>
      </c>
      <c r="AE11" s="363">
        <v>0.43749999999999994</v>
      </c>
    </row>
    <row r="12" spans="1:31" x14ac:dyDescent="0.2">
      <c r="B12" s="89" t="s">
        <v>38</v>
      </c>
      <c r="C12" s="92">
        <f>G9</f>
        <v>10.388370354887599</v>
      </c>
      <c r="D12" s="92">
        <v>6.1489999999999991</v>
      </c>
      <c r="E12" s="440"/>
      <c r="F12" s="64" t="s">
        <v>41</v>
      </c>
      <c r="G12" s="65">
        <f t="shared" si="0"/>
        <v>1.197005333333333</v>
      </c>
      <c r="H12" s="442"/>
      <c r="I12" s="316">
        <f t="shared" si="1"/>
        <v>0.87381389333333315</v>
      </c>
      <c r="J12" s="441"/>
      <c r="K12" s="65">
        <v>0.32319143999999994</v>
      </c>
      <c r="L12" s="441"/>
      <c r="N12" s="442"/>
      <c r="O12" s="163">
        <v>3.9821875996986877</v>
      </c>
      <c r="P12" s="163">
        <v>0</v>
      </c>
      <c r="Q12" s="211">
        <v>4.2417678552078169</v>
      </c>
      <c r="R12" s="347">
        <v>0</v>
      </c>
      <c r="S12" s="351"/>
      <c r="T12" s="434"/>
      <c r="U12" s="71"/>
      <c r="V12" s="428"/>
      <c r="W12" s="300">
        <f>$V$7*W6</f>
        <v>0.94663940926714885</v>
      </c>
      <c r="X12" s="300">
        <f>$V$7*X6</f>
        <v>7.7710489688021394</v>
      </c>
      <c r="Y12" s="300">
        <f>$V$7*Y6</f>
        <v>9.4922115311060473</v>
      </c>
      <c r="Z12" s="300">
        <f>$V$7*Z6</f>
        <v>10.533514881299912</v>
      </c>
      <c r="AA12" s="301">
        <f>$V$7*AA6</f>
        <v>5.1806993125347605</v>
      </c>
      <c r="AB12" s="101"/>
      <c r="AD12" s="70" t="s">
        <v>41</v>
      </c>
      <c r="AE12" s="363">
        <v>0.73</v>
      </c>
    </row>
    <row r="13" spans="1:31" x14ac:dyDescent="0.2">
      <c r="B13" s="89" t="s">
        <v>107</v>
      </c>
      <c r="C13" s="92">
        <f>G39</f>
        <v>2.9995839860144065</v>
      </c>
      <c r="E13" s="440"/>
      <c r="F13" s="64" t="s">
        <v>42</v>
      </c>
      <c r="G13" s="65">
        <f t="shared" si="0"/>
        <v>7.4225842526970363</v>
      </c>
      <c r="H13" s="442"/>
      <c r="I13" s="316">
        <f t="shared" si="1"/>
        <v>5.4184865044688362</v>
      </c>
      <c r="J13" s="441"/>
      <c r="K13" s="65">
        <v>2.0040977482282001</v>
      </c>
      <c r="L13" s="441"/>
      <c r="N13" s="442"/>
      <c r="O13" s="163"/>
      <c r="P13" s="163"/>
      <c r="Q13" s="163"/>
      <c r="R13" s="162"/>
      <c r="S13" s="351"/>
      <c r="T13" s="434"/>
      <c r="U13" s="64"/>
      <c r="V13" s="428"/>
      <c r="W13" s="298"/>
      <c r="X13" s="298"/>
      <c r="Y13" s="298"/>
      <c r="Z13" s="298"/>
      <c r="AA13" s="299"/>
      <c r="AB13" s="101"/>
      <c r="AD13" s="70" t="s">
        <v>42</v>
      </c>
      <c r="AE13" s="363">
        <v>0.73</v>
      </c>
    </row>
    <row r="14" spans="1:31" x14ac:dyDescent="0.2">
      <c r="B14" s="89" t="s">
        <v>66</v>
      </c>
      <c r="C14" s="92">
        <f>G38</f>
        <v>2.3611427691146649</v>
      </c>
      <c r="E14" s="440"/>
      <c r="F14" s="64" t="s">
        <v>43</v>
      </c>
      <c r="G14" s="65">
        <f t="shared" si="0"/>
        <v>1.0170360000000014</v>
      </c>
      <c r="H14" s="442"/>
      <c r="I14" s="316">
        <f t="shared" si="1"/>
        <v>0.91533240000000138</v>
      </c>
      <c r="J14" s="441"/>
      <c r="K14" s="65">
        <v>0.10170360000000001</v>
      </c>
      <c r="L14" s="441"/>
      <c r="N14" s="442"/>
      <c r="O14" s="163"/>
      <c r="P14" s="163"/>
      <c r="Q14" s="163"/>
      <c r="R14" s="162"/>
      <c r="S14" s="351"/>
      <c r="T14" s="434"/>
      <c r="U14" s="64"/>
      <c r="V14" s="428"/>
      <c r="W14" s="298"/>
      <c r="X14" s="298"/>
      <c r="Y14" s="298"/>
      <c r="Z14" s="298"/>
      <c r="AA14" s="299"/>
      <c r="AB14" s="101"/>
      <c r="AD14" s="70" t="s">
        <v>43</v>
      </c>
      <c r="AE14" s="363">
        <v>0.90000000000000013</v>
      </c>
    </row>
    <row r="15" spans="1:31" x14ac:dyDescent="0.2">
      <c r="B15" s="89" t="s">
        <v>50</v>
      </c>
      <c r="C15" s="92">
        <f>G31+G36</f>
        <v>1.8119253317839281</v>
      </c>
      <c r="E15" s="440"/>
      <c r="F15" s="64" t="s">
        <v>44</v>
      </c>
      <c r="G15" s="65">
        <f t="shared" si="0"/>
        <v>2.0777339018465657</v>
      </c>
      <c r="H15" s="442"/>
      <c r="I15" s="316"/>
      <c r="J15" s="441"/>
      <c r="K15" s="65">
        <v>2.0777339018465657</v>
      </c>
      <c r="L15" s="441"/>
      <c r="N15" s="442"/>
      <c r="O15" s="163"/>
      <c r="P15" s="163"/>
      <c r="Q15" s="163"/>
      <c r="R15" s="162"/>
      <c r="S15" s="351"/>
      <c r="T15" s="434"/>
      <c r="U15" s="64"/>
      <c r="V15" s="428"/>
      <c r="W15" s="298"/>
      <c r="X15" s="298"/>
      <c r="Y15" s="298"/>
      <c r="Z15" s="298"/>
      <c r="AA15" s="299"/>
      <c r="AB15" s="101"/>
      <c r="AD15" s="70" t="s">
        <v>44</v>
      </c>
      <c r="AE15" s="363"/>
    </row>
    <row r="16" spans="1:31" x14ac:dyDescent="0.2">
      <c r="B16" s="89" t="s">
        <v>57</v>
      </c>
      <c r="C16" s="92">
        <f>(G12+G16+G27+G28+G42)/2</f>
        <v>1.5992791903454238</v>
      </c>
      <c r="E16" s="440"/>
      <c r="F16" s="64" t="s">
        <v>45</v>
      </c>
      <c r="G16" s="65">
        <f t="shared" si="0"/>
        <v>0</v>
      </c>
      <c r="H16" s="442"/>
      <c r="I16" s="316">
        <f t="shared" si="1"/>
        <v>0</v>
      </c>
      <c r="J16" s="441"/>
      <c r="K16" s="65">
        <v>0</v>
      </c>
      <c r="L16" s="441"/>
      <c r="N16" s="442"/>
      <c r="O16" s="163"/>
      <c r="P16" s="163"/>
      <c r="Q16" s="163"/>
      <c r="R16" s="162"/>
      <c r="S16" s="351"/>
      <c r="T16" s="434"/>
      <c r="U16" s="64"/>
      <c r="V16" s="428"/>
      <c r="W16" s="298"/>
      <c r="X16" s="298"/>
      <c r="Y16" s="298"/>
      <c r="Z16" s="298"/>
      <c r="AA16" s="299"/>
      <c r="AB16" s="101"/>
      <c r="AD16" s="70" t="s">
        <v>45</v>
      </c>
      <c r="AE16" s="363">
        <v>0.73</v>
      </c>
    </row>
    <row r="17" spans="1:31" x14ac:dyDescent="0.2">
      <c r="C17" s="92"/>
      <c r="E17" s="440"/>
      <c r="F17" s="68" t="s">
        <v>129</v>
      </c>
      <c r="G17" s="65"/>
      <c r="H17" s="442"/>
      <c r="I17" s="316"/>
      <c r="J17" s="441"/>
      <c r="K17" s="65"/>
      <c r="L17" s="441"/>
      <c r="N17" s="442"/>
      <c r="O17" s="163"/>
      <c r="P17" s="163"/>
      <c r="Q17" s="163"/>
      <c r="R17" s="162"/>
      <c r="S17" s="351"/>
      <c r="T17" s="434"/>
      <c r="U17" s="64"/>
      <c r="V17" s="428"/>
      <c r="W17" s="298"/>
      <c r="X17" s="298"/>
      <c r="Y17" s="298"/>
      <c r="Z17" s="298"/>
      <c r="AA17" s="299"/>
      <c r="AB17" s="101"/>
      <c r="AD17" s="70"/>
      <c r="AE17" s="363"/>
    </row>
    <row r="18" spans="1:31" x14ac:dyDescent="0.2">
      <c r="C18" s="92"/>
      <c r="E18" s="440"/>
      <c r="F18" s="68" t="s">
        <v>58</v>
      </c>
      <c r="G18" s="65"/>
      <c r="H18" s="442"/>
      <c r="I18" s="316"/>
      <c r="J18" s="441"/>
      <c r="K18" s="65"/>
      <c r="L18" s="441"/>
      <c r="N18" s="442"/>
      <c r="O18" s="163"/>
      <c r="P18" s="163"/>
      <c r="Q18" s="163"/>
      <c r="R18" s="162"/>
      <c r="S18" s="351"/>
      <c r="T18" s="434"/>
      <c r="U18" s="64"/>
      <c r="V18" s="428"/>
      <c r="W18" s="298"/>
      <c r="X18" s="298"/>
      <c r="Y18" s="298"/>
      <c r="Z18" s="298"/>
      <c r="AA18" s="299"/>
      <c r="AB18" s="101"/>
      <c r="AD18" s="70"/>
      <c r="AE18" s="363"/>
    </row>
    <row r="19" spans="1:31" x14ac:dyDescent="0.2">
      <c r="B19" s="89" t="s">
        <v>67</v>
      </c>
      <c r="C19" s="92">
        <f>G15</f>
        <v>2.0777339018465657</v>
      </c>
      <c r="D19" s="92">
        <v>3.8699999999999997</v>
      </c>
      <c r="E19" s="440"/>
      <c r="F19" s="64" t="s">
        <v>46</v>
      </c>
      <c r="G19" s="65">
        <f>S21</f>
        <v>3.1760777200591099</v>
      </c>
      <c r="H19" s="442"/>
      <c r="I19" s="367">
        <f>G19*(1-0.4375)</f>
        <v>1.7865437175332493</v>
      </c>
      <c r="J19" s="441"/>
      <c r="K19" s="68">
        <f>G19-I19</f>
        <v>1.3895340025258607</v>
      </c>
      <c r="L19" s="441"/>
      <c r="N19" s="442"/>
      <c r="O19" s="163"/>
      <c r="P19" s="163"/>
      <c r="Q19" s="163"/>
      <c r="R19" s="162"/>
      <c r="S19" s="351"/>
      <c r="T19" s="434"/>
      <c r="U19" s="64"/>
      <c r="V19" s="428"/>
      <c r="W19" s="298"/>
      <c r="X19" s="298"/>
      <c r="Y19" s="298"/>
      <c r="Z19" s="298"/>
      <c r="AA19" s="299"/>
      <c r="AB19" s="101"/>
      <c r="AD19" s="70" t="s">
        <v>129</v>
      </c>
      <c r="AE19" s="363">
        <f>AE20</f>
        <v>0.65390243902439027</v>
      </c>
    </row>
    <row r="20" spans="1:31" x14ac:dyDescent="0.2">
      <c r="E20" s="64"/>
      <c r="F20" s="64"/>
      <c r="G20" s="64"/>
      <c r="H20" s="64"/>
      <c r="I20" s="317"/>
      <c r="J20" s="64"/>
      <c r="K20" s="64"/>
      <c r="L20" s="64"/>
      <c r="M20" s="296"/>
      <c r="N20" s="64"/>
      <c r="O20" s="294"/>
      <c r="P20" s="64"/>
      <c r="Q20" s="64"/>
      <c r="R20" s="64"/>
      <c r="S20" s="64"/>
      <c r="T20" s="64"/>
      <c r="U20" s="64"/>
      <c r="V20" s="68"/>
      <c r="W20" s="366">
        <v>6.2059502185826974E-2</v>
      </c>
      <c r="X20" s="366">
        <v>0.3056173196775685</v>
      </c>
      <c r="Y20" s="366">
        <v>0.20183480622735689</v>
      </c>
      <c r="Z20" s="366">
        <v>5.1755759993971605E-2</v>
      </c>
      <c r="AA20" s="366">
        <v>0.37873261191527607</v>
      </c>
      <c r="AD20" s="70" t="s">
        <v>58</v>
      </c>
      <c r="AE20" s="363">
        <f>(4.92-1.7028)/4.92</f>
        <v>0.65390243902439027</v>
      </c>
    </row>
    <row r="21" spans="1:31" x14ac:dyDescent="0.2">
      <c r="A21" s="89" t="s">
        <v>68</v>
      </c>
      <c r="B21" s="89" t="s">
        <v>39</v>
      </c>
      <c r="C21" s="92">
        <f>G10</f>
        <v>0</v>
      </c>
      <c r="E21" s="454" t="s">
        <v>26</v>
      </c>
      <c r="F21" s="64" t="s">
        <v>40</v>
      </c>
      <c r="G21" s="65">
        <v>6.7772450953540027</v>
      </c>
      <c r="H21" s="421">
        <f>SUM(G21:G24)</f>
        <v>26.7139470949238</v>
      </c>
      <c r="I21" s="318"/>
      <c r="J21" s="421">
        <f>SUM(I21:I24)</f>
        <v>4.0032780119822204</v>
      </c>
      <c r="K21" s="92">
        <f>G21-I21</f>
        <v>6.7772450953540027</v>
      </c>
      <c r="L21" s="333">
        <f>SUM(K21:K24)</f>
        <v>22.710669082941578</v>
      </c>
      <c r="M21" s="296"/>
      <c r="N21" s="421">
        <f>L21</f>
        <v>22.710669082941578</v>
      </c>
      <c r="O21" s="314"/>
      <c r="P21" s="435"/>
      <c r="Q21" s="435"/>
      <c r="R21" s="436"/>
      <c r="S21" s="314">
        <v>3.1760777200591099</v>
      </c>
      <c r="T21" s="437">
        <f>N21-O23-P21-Q21-R21-S21</f>
        <v>19.352229621585874</v>
      </c>
      <c r="U21" s="64"/>
      <c r="V21" s="449">
        <f>T21</f>
        <v>19.352229621585874</v>
      </c>
      <c r="W21" s="429">
        <f>W20*$V$21</f>
        <v>1.2009897365014341</v>
      </c>
      <c r="X21" s="429">
        <f t="shared" ref="X21:AA21" si="2">X20*$V$21</f>
        <v>5.9143765467339202</v>
      </c>
      <c r="Y21" s="429">
        <f t="shared" si="2"/>
        <v>3.9059535157401011</v>
      </c>
      <c r="Z21" s="429">
        <f t="shared" si="2"/>
        <v>1.0015893516430263</v>
      </c>
      <c r="AA21" s="429">
        <f t="shared" si="2"/>
        <v>7.3293204709673923</v>
      </c>
      <c r="AD21" s="70" t="s">
        <v>46</v>
      </c>
      <c r="AE21" s="363">
        <v>0.4375</v>
      </c>
    </row>
    <row r="22" spans="1:31" x14ac:dyDescent="0.2">
      <c r="B22" s="89" t="s">
        <v>49</v>
      </c>
      <c r="C22" s="92">
        <f>G24</f>
        <v>9.3850852624806684</v>
      </c>
      <c r="E22" s="454"/>
      <c r="F22" s="64" t="s">
        <v>47</v>
      </c>
      <c r="G22" s="65">
        <v>6.3098488818813134</v>
      </c>
      <c r="H22" s="422"/>
      <c r="I22" s="319">
        <v>3.1549244409406567</v>
      </c>
      <c r="J22" s="422"/>
      <c r="K22" s="92">
        <f>G22-I22</f>
        <v>3.1549244409406567</v>
      </c>
      <c r="L22" s="334"/>
      <c r="M22" s="65"/>
      <c r="N22" s="421"/>
      <c r="O22" s="314"/>
      <c r="P22" s="435"/>
      <c r="Q22" s="435"/>
      <c r="R22" s="436"/>
      <c r="S22" s="314"/>
      <c r="T22" s="437"/>
      <c r="U22" s="64"/>
      <c r="V22" s="449"/>
      <c r="W22" s="429"/>
      <c r="X22" s="429"/>
      <c r="Y22" s="429"/>
      <c r="Z22" s="429"/>
      <c r="AA22" s="429"/>
      <c r="AC22" s="158"/>
    </row>
    <row r="23" spans="1:31" x14ac:dyDescent="0.2">
      <c r="B23" s="89" t="s">
        <v>69</v>
      </c>
      <c r="C23" s="92">
        <f>G40+G41</f>
        <v>5.9074343177858619</v>
      </c>
      <c r="E23" s="454"/>
      <c r="F23" s="64" t="s">
        <v>317</v>
      </c>
      <c r="G23" s="65">
        <f>Q12</f>
        <v>4.2417678552078169</v>
      </c>
      <c r="H23" s="422"/>
      <c r="I23" s="319">
        <f>G23*0.2</f>
        <v>0.84835357104156339</v>
      </c>
      <c r="J23" s="422"/>
      <c r="K23" s="92">
        <f>G23-I23</f>
        <v>3.3934142841662536</v>
      </c>
      <c r="L23" s="334"/>
      <c r="M23" s="65"/>
      <c r="N23" s="421"/>
      <c r="O23" s="323">
        <f>0.00802978285802991*N21</f>
        <v>0.18236174129659416</v>
      </c>
      <c r="P23" s="435"/>
      <c r="Q23" s="435"/>
      <c r="R23" s="436"/>
      <c r="S23" s="314"/>
      <c r="T23" s="437"/>
      <c r="U23" s="64"/>
      <c r="V23" s="449"/>
      <c r="W23" s="429"/>
      <c r="X23" s="429"/>
      <c r="Y23" s="429"/>
      <c r="Z23" s="429"/>
      <c r="AA23" s="429"/>
      <c r="AC23" s="158"/>
    </row>
    <row r="24" spans="1:31" x14ac:dyDescent="0.2">
      <c r="B24" s="89" t="s">
        <v>58</v>
      </c>
      <c r="C24" s="92">
        <f>G43</f>
        <v>4.0201856086575631</v>
      </c>
      <c r="E24" s="454"/>
      <c r="F24" s="64" t="s">
        <v>49</v>
      </c>
      <c r="G24" s="65">
        <v>9.3850852624806684</v>
      </c>
      <c r="H24" s="422"/>
      <c r="I24" s="318"/>
      <c r="J24" s="422"/>
      <c r="K24" s="92">
        <f>G24</f>
        <v>9.3850852624806684</v>
      </c>
      <c r="L24" s="334"/>
      <c r="M24" s="69"/>
      <c r="N24" s="421"/>
      <c r="O24" s="314"/>
      <c r="P24" s="435"/>
      <c r="Q24" s="435"/>
      <c r="R24" s="436"/>
      <c r="S24" s="314"/>
      <c r="T24" s="437"/>
      <c r="U24" s="64"/>
      <c r="V24" s="449"/>
      <c r="W24" s="429"/>
      <c r="X24" s="429"/>
      <c r="Y24" s="429"/>
      <c r="Z24" s="429"/>
      <c r="AA24" s="429"/>
      <c r="AC24" s="158"/>
    </row>
    <row r="25" spans="1:31" x14ac:dyDescent="0.2">
      <c r="B25" s="89" t="s">
        <v>57</v>
      </c>
      <c r="C25" s="92">
        <f>C16</f>
        <v>1.5992791903454238</v>
      </c>
      <c r="E25" s="64"/>
      <c r="F25" s="64"/>
      <c r="G25" s="64"/>
      <c r="H25" s="64"/>
      <c r="I25" s="317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8"/>
      <c r="W25" s="368"/>
      <c r="X25" s="366">
        <v>3.958707453086021E-2</v>
      </c>
      <c r="Y25" s="366">
        <v>0.54287419816610083</v>
      </c>
      <c r="Z25" s="366">
        <v>0.41753872730303898</v>
      </c>
      <c r="AA25" s="368"/>
    </row>
    <row r="26" spans="1:31" x14ac:dyDescent="0.2">
      <c r="D26" s="92">
        <f>J26</f>
        <v>1.181473873149905</v>
      </c>
      <c r="E26" s="455" t="s">
        <v>27</v>
      </c>
      <c r="F26" s="64" t="s">
        <v>40</v>
      </c>
      <c r="G26" s="68">
        <v>0.4</v>
      </c>
      <c r="H26" s="456">
        <f>SUM(G26:G32)</f>
        <v>7.8764924876660327</v>
      </c>
      <c r="I26" s="320">
        <f t="shared" ref="I26:I32" si="3">G26-K26</f>
        <v>0.06</v>
      </c>
      <c r="J26" s="457">
        <f>SUM(I26:I32)</f>
        <v>1.181473873149905</v>
      </c>
      <c r="K26" s="103">
        <v>0.34</v>
      </c>
      <c r="L26" s="456">
        <f>SUM(K26:K32)</f>
        <v>6.6950186145161279</v>
      </c>
      <c r="M26" s="64"/>
      <c r="N26" s="456">
        <f>L26</f>
        <v>6.6950186145161279</v>
      </c>
      <c r="O26" s="458">
        <v>0.95325279217741965</v>
      </c>
      <c r="P26" s="458"/>
      <c r="Q26" s="458"/>
      <c r="R26" s="431"/>
      <c r="S26" s="432"/>
      <c r="T26" s="432">
        <f>N26-O26</f>
        <v>5.7417658223387082</v>
      </c>
      <c r="U26" s="64"/>
      <c r="V26" s="447">
        <f>T26</f>
        <v>5.7417658223387082</v>
      </c>
      <c r="W26" s="448"/>
      <c r="X26" s="302"/>
      <c r="Y26" s="302"/>
      <c r="Z26" s="303"/>
      <c r="AA26" s="446"/>
    </row>
    <row r="27" spans="1:31" x14ac:dyDescent="0.2">
      <c r="E27" s="455"/>
      <c r="F27" s="64" t="s">
        <v>41</v>
      </c>
      <c r="G27" s="68">
        <v>0.7</v>
      </c>
      <c r="H27" s="456"/>
      <c r="I27" s="320">
        <f t="shared" si="3"/>
        <v>0.10499999999999998</v>
      </c>
      <c r="J27" s="457"/>
      <c r="K27" s="103">
        <v>0.59499999999999997</v>
      </c>
      <c r="L27" s="456"/>
      <c r="M27" s="64"/>
      <c r="N27" s="456"/>
      <c r="O27" s="458"/>
      <c r="P27" s="458"/>
      <c r="Q27" s="458"/>
      <c r="R27" s="431"/>
      <c r="S27" s="432"/>
      <c r="T27" s="432"/>
      <c r="U27" s="64"/>
      <c r="V27" s="447"/>
      <c r="W27" s="448"/>
      <c r="X27" s="302"/>
      <c r="Y27" s="302"/>
      <c r="Z27" s="303"/>
      <c r="AA27" s="446"/>
    </row>
    <row r="28" spans="1:31" x14ac:dyDescent="0.2">
      <c r="E28" s="455"/>
      <c r="F28" s="64" t="s">
        <v>45</v>
      </c>
      <c r="G28" s="68">
        <v>0.5</v>
      </c>
      <c r="H28" s="456"/>
      <c r="I28" s="320">
        <f t="shared" si="3"/>
        <v>7.5000000000000011E-2</v>
      </c>
      <c r="J28" s="457"/>
      <c r="K28" s="103">
        <v>0.42499999999999999</v>
      </c>
      <c r="L28" s="456"/>
      <c r="M28" s="64"/>
      <c r="N28" s="456"/>
      <c r="O28" s="458">
        <v>0</v>
      </c>
      <c r="P28" s="458" t="e">
        <v>#REF!</v>
      </c>
      <c r="Q28" s="458" t="e">
        <v>#REF!</v>
      </c>
      <c r="R28" s="431" t="e">
        <v>#REF!</v>
      </c>
      <c r="S28" s="432" t="e">
        <v>#REF!</v>
      </c>
      <c r="T28" s="432"/>
      <c r="U28" s="64"/>
      <c r="V28" s="447"/>
      <c r="W28" s="448"/>
      <c r="X28" s="302"/>
      <c r="Y28" s="302"/>
      <c r="Z28" s="303"/>
      <c r="AA28" s="446"/>
    </row>
    <row r="29" spans="1:31" x14ac:dyDescent="0.2">
      <c r="E29" s="455"/>
      <c r="F29" s="64" t="s">
        <v>42</v>
      </c>
      <c r="G29" s="68">
        <v>3.7764924876660331</v>
      </c>
      <c r="H29" s="456"/>
      <c r="I29" s="320">
        <f t="shared" si="3"/>
        <v>0.56647387314990505</v>
      </c>
      <c r="J29" s="457"/>
      <c r="K29" s="103">
        <v>3.210018614516128</v>
      </c>
      <c r="L29" s="456"/>
      <c r="M29" s="64"/>
      <c r="N29" s="456"/>
      <c r="O29" s="458">
        <v>0</v>
      </c>
      <c r="P29" s="458" t="e">
        <v>#REF!</v>
      </c>
      <c r="Q29" s="458" t="e">
        <v>#REF!</v>
      </c>
      <c r="R29" s="431" t="e">
        <v>#REF!</v>
      </c>
      <c r="S29" s="432" t="e">
        <v>#REF!</v>
      </c>
      <c r="T29" s="432"/>
      <c r="U29" s="64"/>
      <c r="V29" s="447"/>
      <c r="W29" s="448"/>
      <c r="X29" s="304">
        <f>$V$26*X25</f>
        <v>0.22729971154766831</v>
      </c>
      <c r="Y29" s="304">
        <f>$V$26*Y25</f>
        <v>3.1170565168596487</v>
      </c>
      <c r="Z29" s="350">
        <f>$V$26*Z25</f>
        <v>2.3974095939313913</v>
      </c>
      <c r="AA29" s="446"/>
    </row>
    <row r="30" spans="1:31" x14ac:dyDescent="0.2">
      <c r="E30" s="455"/>
      <c r="F30" s="64" t="s">
        <v>43</v>
      </c>
      <c r="G30" s="68">
        <v>2.2999999999999998</v>
      </c>
      <c r="H30" s="456"/>
      <c r="I30" s="320">
        <f t="shared" si="3"/>
        <v>0.34499999999999997</v>
      </c>
      <c r="J30" s="457"/>
      <c r="K30" s="103">
        <v>1.9549999999999998</v>
      </c>
      <c r="L30" s="456"/>
      <c r="M30" s="64"/>
      <c r="N30" s="456"/>
      <c r="O30" s="458"/>
      <c r="P30" s="458"/>
      <c r="Q30" s="458"/>
      <c r="R30" s="431"/>
      <c r="S30" s="432"/>
      <c r="T30" s="432"/>
      <c r="U30" s="64"/>
      <c r="V30" s="447"/>
      <c r="W30" s="448"/>
      <c r="X30" s="302"/>
      <c r="Y30" s="302"/>
      <c r="Z30" s="303"/>
      <c r="AA30" s="446"/>
    </row>
    <row r="31" spans="1:31" x14ac:dyDescent="0.2">
      <c r="E31" s="455"/>
      <c r="F31" s="64" t="s">
        <v>50</v>
      </c>
      <c r="G31" s="68">
        <v>0.2</v>
      </c>
      <c r="H31" s="456"/>
      <c r="I31" s="320">
        <f t="shared" si="3"/>
        <v>0.03</v>
      </c>
      <c r="J31" s="457"/>
      <c r="K31" s="103">
        <v>0.17</v>
      </c>
      <c r="L31" s="456"/>
      <c r="M31" s="64"/>
      <c r="N31" s="456"/>
      <c r="O31" s="458"/>
      <c r="P31" s="458"/>
      <c r="Q31" s="458"/>
      <c r="R31" s="431"/>
      <c r="S31" s="432"/>
      <c r="T31" s="432"/>
      <c r="U31" s="64"/>
      <c r="V31" s="447"/>
      <c r="W31" s="448"/>
      <c r="X31" s="302"/>
      <c r="Y31" s="302"/>
      <c r="Z31" s="303"/>
      <c r="AA31" s="446"/>
    </row>
    <row r="32" spans="1:31" x14ac:dyDescent="0.2">
      <c r="E32" s="455"/>
      <c r="F32" s="64" t="s">
        <v>318</v>
      </c>
      <c r="G32" s="68">
        <f>R12+R21</f>
        <v>0</v>
      </c>
      <c r="H32" s="456"/>
      <c r="I32" s="320">
        <f t="shared" si="3"/>
        <v>0</v>
      </c>
      <c r="J32" s="457"/>
      <c r="K32" s="293">
        <f>G32</f>
        <v>0</v>
      </c>
      <c r="L32" s="456"/>
      <c r="M32" s="64"/>
      <c r="N32" s="456"/>
      <c r="O32" s="458"/>
      <c r="P32" s="458"/>
      <c r="Q32" s="458"/>
      <c r="R32" s="431"/>
      <c r="S32" s="432"/>
      <c r="T32" s="432"/>
      <c r="U32" s="64"/>
      <c r="V32" s="447"/>
      <c r="W32" s="448"/>
      <c r="X32" s="302"/>
      <c r="Y32" s="302"/>
      <c r="Z32" s="303"/>
      <c r="AA32" s="446"/>
    </row>
    <row r="33" spans="5:27" x14ac:dyDescent="0.2">
      <c r="E33" s="67"/>
      <c r="F33" s="64"/>
      <c r="G33" s="65"/>
      <c r="H33" s="64"/>
      <c r="I33" s="317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6"/>
      <c r="W33" s="296"/>
      <c r="X33" s="296"/>
      <c r="Y33" s="296"/>
      <c r="Z33" s="296"/>
      <c r="AA33" s="296"/>
    </row>
    <row r="34" spans="5:27" x14ac:dyDescent="0.2">
      <c r="E34" s="450" t="s">
        <v>51</v>
      </c>
      <c r="F34" s="64" t="s">
        <v>40</v>
      </c>
      <c r="G34" s="92">
        <v>0.30000000000000004</v>
      </c>
      <c r="H34" s="450">
        <v>24.516417529357614</v>
      </c>
      <c r="I34" s="321"/>
      <c r="J34" s="452">
        <v>0.41352040224501002</v>
      </c>
      <c r="K34" s="369">
        <v>0.30000000000000004</v>
      </c>
      <c r="L34" s="450">
        <v>24.102897127112605</v>
      </c>
      <c r="M34" s="349"/>
      <c r="N34" s="427"/>
      <c r="O34" s="427"/>
      <c r="P34" s="427"/>
      <c r="Q34" s="427"/>
      <c r="R34" s="427"/>
      <c r="S34" s="427"/>
      <c r="T34" s="427"/>
      <c r="V34" s="450">
        <v>24.102897127112605</v>
      </c>
      <c r="W34" s="158"/>
      <c r="X34" s="305">
        <v>0.30000000000000004</v>
      </c>
      <c r="Y34" s="306"/>
      <c r="Z34" s="307"/>
      <c r="AA34" s="158"/>
    </row>
    <row r="35" spans="5:27" x14ac:dyDescent="0.2">
      <c r="E35" s="450"/>
      <c r="F35" s="64" t="s">
        <v>42</v>
      </c>
      <c r="G35" s="92">
        <v>4.7145924686436729</v>
      </c>
      <c r="H35" s="450"/>
      <c r="I35" s="321"/>
      <c r="J35" s="452"/>
      <c r="K35" s="369">
        <v>4.7145924686436729</v>
      </c>
      <c r="L35" s="450"/>
      <c r="M35" s="349"/>
      <c r="N35" s="427"/>
      <c r="O35" s="427"/>
      <c r="P35" s="427"/>
      <c r="Q35" s="427"/>
      <c r="R35" s="427"/>
      <c r="S35" s="427"/>
      <c r="T35" s="427"/>
      <c r="V35" s="450"/>
      <c r="W35" s="158">
        <v>0.02</v>
      </c>
      <c r="X35" s="305">
        <v>2.0193304519050552</v>
      </c>
      <c r="Y35" s="306">
        <v>2.0781773650310091</v>
      </c>
      <c r="Z35" s="307">
        <v>0.59708465170760816</v>
      </c>
      <c r="AA35" s="158"/>
    </row>
    <row r="36" spans="5:27" x14ac:dyDescent="0.2">
      <c r="E36" s="450"/>
      <c r="F36" s="64" t="s">
        <v>50</v>
      </c>
      <c r="G36" s="92">
        <v>1.6119253317839282</v>
      </c>
      <c r="H36" s="450"/>
      <c r="I36" s="321"/>
      <c r="J36" s="452"/>
      <c r="K36" s="369">
        <v>1.6119253317839282</v>
      </c>
      <c r="L36" s="450"/>
      <c r="M36" s="349"/>
      <c r="N36" s="427"/>
      <c r="O36" s="427"/>
      <c r="P36" s="427"/>
      <c r="Q36" s="427"/>
      <c r="R36" s="427"/>
      <c r="S36" s="427"/>
      <c r="T36" s="427"/>
      <c r="V36" s="450"/>
      <c r="W36" s="158"/>
      <c r="X36" s="305">
        <v>0.49</v>
      </c>
      <c r="Y36" s="306">
        <v>0.49859018509383868</v>
      </c>
      <c r="Z36" s="307">
        <v>0.62333514669008938</v>
      </c>
      <c r="AA36" s="158"/>
    </row>
    <row r="37" spans="5:27" x14ac:dyDescent="0.2">
      <c r="E37" s="450"/>
      <c r="F37" s="64" t="s">
        <v>59</v>
      </c>
      <c r="G37" s="92">
        <v>1.8</v>
      </c>
      <c r="H37" s="450"/>
      <c r="I37" s="321"/>
      <c r="J37" s="452"/>
      <c r="K37" s="104">
        <v>1.8</v>
      </c>
      <c r="L37" s="450"/>
      <c r="M37" s="349"/>
      <c r="N37" s="427"/>
      <c r="O37" s="427"/>
      <c r="P37" s="427"/>
      <c r="Q37" s="427"/>
      <c r="R37" s="427"/>
      <c r="S37" s="427"/>
      <c r="T37" s="427"/>
      <c r="V37" s="450"/>
      <c r="W37" s="158"/>
      <c r="X37" s="305"/>
      <c r="Y37" s="306">
        <v>0.75</v>
      </c>
      <c r="Z37" s="307">
        <v>1.05</v>
      </c>
      <c r="AA37" s="158"/>
    </row>
    <row r="38" spans="5:27" x14ac:dyDescent="0.2">
      <c r="E38" s="450"/>
      <c r="F38" s="64" t="s">
        <v>60</v>
      </c>
      <c r="G38" s="92">
        <v>2.3611427691146649</v>
      </c>
      <c r="H38" s="450"/>
      <c r="I38" s="321"/>
      <c r="J38" s="452"/>
      <c r="K38" s="104">
        <v>2.3611427691146649</v>
      </c>
      <c r="L38" s="450"/>
      <c r="M38" s="349"/>
      <c r="N38" s="427"/>
      <c r="O38" s="427"/>
      <c r="P38" s="427"/>
      <c r="Q38" s="427"/>
      <c r="R38" s="427"/>
      <c r="S38" s="427"/>
      <c r="T38" s="427"/>
      <c r="V38" s="450"/>
      <c r="W38" s="158"/>
      <c r="X38" s="305"/>
      <c r="Y38" s="306">
        <v>2.3611427691146649</v>
      </c>
      <c r="Z38" s="307"/>
      <c r="AA38" s="158"/>
    </row>
    <row r="39" spans="5:27" x14ac:dyDescent="0.2">
      <c r="E39" s="450"/>
      <c r="F39" s="64" t="s">
        <v>114</v>
      </c>
      <c r="G39" s="92">
        <v>2.9995839860144065</v>
      </c>
      <c r="H39" s="450"/>
      <c r="I39" s="322"/>
      <c r="J39" s="452"/>
      <c r="K39" s="104">
        <v>2.9995839860144065</v>
      </c>
      <c r="L39" s="450"/>
      <c r="M39" s="349"/>
      <c r="N39" s="427"/>
      <c r="O39" s="427"/>
      <c r="P39" s="427"/>
      <c r="Q39" s="427"/>
      <c r="R39" s="427"/>
      <c r="S39" s="427"/>
      <c r="T39" s="427"/>
      <c r="V39" s="450"/>
      <c r="W39" s="158">
        <v>0.3</v>
      </c>
      <c r="X39" s="305"/>
      <c r="Y39" s="306"/>
      <c r="Z39" s="307"/>
      <c r="AA39" s="158">
        <v>2.6995839860144066</v>
      </c>
    </row>
    <row r="40" spans="5:27" x14ac:dyDescent="0.2">
      <c r="E40" s="450"/>
      <c r="F40" s="64" t="s">
        <v>55</v>
      </c>
      <c r="G40" s="92">
        <v>0</v>
      </c>
      <c r="H40" s="450"/>
      <c r="I40" s="322">
        <v>0</v>
      </c>
      <c r="J40" s="452"/>
      <c r="K40" s="104">
        <v>0</v>
      </c>
      <c r="L40" s="450"/>
      <c r="M40" s="349"/>
      <c r="N40" s="427"/>
      <c r="O40" s="427"/>
      <c r="P40" s="427"/>
      <c r="Q40" s="427"/>
      <c r="R40" s="427"/>
      <c r="S40" s="427"/>
      <c r="T40" s="427"/>
      <c r="V40" s="450"/>
      <c r="W40" s="158">
        <v>0</v>
      </c>
      <c r="X40" s="305"/>
      <c r="Y40" s="306"/>
      <c r="Z40" s="307"/>
      <c r="AA40" s="158"/>
    </row>
    <row r="41" spans="5:27" x14ac:dyDescent="0.2">
      <c r="E41" s="450"/>
      <c r="F41" s="64" t="s">
        <v>56</v>
      </c>
      <c r="G41" s="92">
        <v>5.9074343177858619</v>
      </c>
      <c r="H41" s="450"/>
      <c r="I41" s="322">
        <v>0.41352040224501002</v>
      </c>
      <c r="J41" s="452"/>
      <c r="K41" s="104">
        <v>5.4939139155408521</v>
      </c>
      <c r="L41" s="450"/>
      <c r="M41" s="349"/>
      <c r="N41" s="427"/>
      <c r="O41" s="427"/>
      <c r="P41" s="427"/>
      <c r="Q41" s="427"/>
      <c r="R41" s="427"/>
      <c r="S41" s="427"/>
      <c r="T41" s="427"/>
      <c r="V41" s="450"/>
      <c r="W41" s="158">
        <v>0.6</v>
      </c>
      <c r="X41" s="305">
        <v>4.8939139155408524</v>
      </c>
      <c r="Y41" s="306"/>
      <c r="Z41" s="307"/>
      <c r="AA41" s="158"/>
    </row>
    <row r="42" spans="5:27" x14ac:dyDescent="0.2">
      <c r="E42" s="450"/>
      <c r="F42" s="64" t="s">
        <v>57</v>
      </c>
      <c r="G42" s="92">
        <v>0.80155304735751465</v>
      </c>
      <c r="H42" s="450"/>
      <c r="I42" s="322"/>
      <c r="J42" s="452"/>
      <c r="K42" s="104">
        <v>0.80155304735751465</v>
      </c>
      <c r="L42" s="450"/>
      <c r="M42" s="349"/>
      <c r="N42" s="427"/>
      <c r="O42" s="427"/>
      <c r="P42" s="427"/>
      <c r="Q42" s="427"/>
      <c r="R42" s="427"/>
      <c r="S42" s="427"/>
      <c r="T42" s="427"/>
      <c r="V42" s="450"/>
      <c r="W42" s="158"/>
      <c r="X42" s="305">
        <v>0.80155304735751465</v>
      </c>
      <c r="Y42" s="306"/>
      <c r="Z42" s="307"/>
      <c r="AA42" s="158"/>
    </row>
    <row r="43" spans="5:27" x14ac:dyDescent="0.2">
      <c r="E43" s="451"/>
      <c r="F43" s="64" t="s">
        <v>58</v>
      </c>
      <c r="G43" s="92">
        <v>4.0201856086575631</v>
      </c>
      <c r="H43" s="451"/>
      <c r="I43" s="321"/>
      <c r="J43" s="453"/>
      <c r="K43" s="104">
        <v>4.0201856086575631</v>
      </c>
      <c r="L43" s="451"/>
      <c r="M43" s="349"/>
      <c r="N43" s="427"/>
      <c r="O43" s="427"/>
      <c r="P43" s="427"/>
      <c r="Q43" s="427"/>
      <c r="R43" s="427"/>
      <c r="S43" s="427"/>
      <c r="T43" s="427"/>
      <c r="V43" s="451"/>
      <c r="W43" s="296"/>
      <c r="X43" s="308">
        <v>4.0201856086575631</v>
      </c>
      <c r="Y43" s="309"/>
      <c r="Z43" s="310"/>
      <c r="AA43" s="296"/>
    </row>
    <row r="44" spans="5:27" x14ac:dyDescent="0.2">
      <c r="E44" s="64"/>
      <c r="F44" s="64"/>
      <c r="G44" s="65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5:27" x14ac:dyDescent="0.2">
      <c r="F45" s="64"/>
      <c r="G45" s="66" t="s">
        <v>108</v>
      </c>
      <c r="H45" s="64"/>
      <c r="I45" s="64"/>
      <c r="J45" s="64"/>
      <c r="K45" s="64"/>
      <c r="L45" s="64"/>
      <c r="M45" s="137">
        <f>M46+R46+R52</f>
        <v>103.36836145177814</v>
      </c>
      <c r="N45" s="137"/>
      <c r="O45" s="137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5:27" x14ac:dyDescent="0.2">
      <c r="G46" s="138" t="s">
        <v>109</v>
      </c>
      <c r="H46" s="139"/>
      <c r="I46" s="139"/>
      <c r="J46" s="139"/>
      <c r="K46" s="139"/>
      <c r="L46" s="139"/>
      <c r="M46" s="140">
        <f>SUM(M47:M57)</f>
        <v>82.706377072508616</v>
      </c>
      <c r="N46" s="140"/>
      <c r="O46" s="140"/>
      <c r="P46" s="141" t="s">
        <v>110</v>
      </c>
      <c r="Q46" s="142"/>
      <c r="R46" s="143">
        <f>SUM(R47:R49)</f>
        <v>19.312705188924092</v>
      </c>
      <c r="S46" s="143"/>
      <c r="T46" s="64"/>
      <c r="U46" s="64"/>
      <c r="V46" s="64"/>
      <c r="W46" s="64"/>
      <c r="X46" s="64"/>
      <c r="Y46" s="64"/>
      <c r="Z46" s="64"/>
      <c r="AA46" s="64"/>
    </row>
    <row r="47" spans="5:27" x14ac:dyDescent="0.2">
      <c r="F47" s="64"/>
      <c r="G47" s="66"/>
      <c r="H47" s="64" t="s">
        <v>42</v>
      </c>
      <c r="I47" s="64"/>
      <c r="J47" s="64"/>
      <c r="K47" s="64"/>
      <c r="L47" s="64"/>
      <c r="M47" s="65">
        <f>C7</f>
        <v>22.223518090888057</v>
      </c>
      <c r="N47" s="65"/>
      <c r="O47" s="65"/>
      <c r="Q47" s="64" t="s">
        <v>111</v>
      </c>
      <c r="R47" s="65">
        <f>C23</f>
        <v>5.9074343177858619</v>
      </c>
      <c r="S47" s="65"/>
      <c r="T47" s="64"/>
      <c r="U47" s="64"/>
      <c r="V47" s="64"/>
      <c r="W47" s="64"/>
      <c r="X47" s="64"/>
      <c r="Y47" s="64"/>
      <c r="Z47" s="64"/>
      <c r="AA47" s="64"/>
    </row>
    <row r="48" spans="5:27" x14ac:dyDescent="0.2">
      <c r="F48" s="64"/>
      <c r="G48" s="66"/>
      <c r="H48" s="64" t="s">
        <v>36</v>
      </c>
      <c r="I48" s="64"/>
      <c r="J48" s="64"/>
      <c r="K48" s="64"/>
      <c r="L48" s="64"/>
      <c r="M48" s="65">
        <f>C8</f>
        <v>19.904163043287927</v>
      </c>
      <c r="N48" s="65"/>
      <c r="O48" s="65"/>
      <c r="Q48" s="64" t="s">
        <v>49</v>
      </c>
      <c r="R48" s="65">
        <f>C22</f>
        <v>9.3850852624806684</v>
      </c>
      <c r="S48" s="65"/>
      <c r="T48" s="64"/>
      <c r="U48" s="64"/>
      <c r="V48" s="64"/>
      <c r="W48" s="64"/>
      <c r="X48" s="64"/>
      <c r="Y48" s="64"/>
      <c r="Z48" s="64"/>
      <c r="AA48" s="64"/>
    </row>
    <row r="49" spans="6:27" x14ac:dyDescent="0.2">
      <c r="F49" s="64"/>
      <c r="G49" s="66"/>
      <c r="H49" s="64" t="s">
        <v>37</v>
      </c>
      <c r="I49" s="64"/>
      <c r="J49" s="64"/>
      <c r="K49" s="64"/>
      <c r="L49" s="64"/>
      <c r="M49" s="65">
        <f>C11</f>
        <v>5.268713384767346</v>
      </c>
      <c r="N49" s="65"/>
      <c r="O49" s="65"/>
      <c r="Q49" s="64" t="s">
        <v>58</v>
      </c>
      <c r="R49" s="65">
        <f>C24</f>
        <v>4.0201856086575631</v>
      </c>
      <c r="S49" s="65"/>
      <c r="T49" s="64"/>
      <c r="U49" s="64"/>
      <c r="V49" s="64"/>
      <c r="W49" s="64"/>
      <c r="X49" s="64"/>
      <c r="Y49" s="64"/>
      <c r="Z49" s="64"/>
      <c r="AA49" s="64"/>
    </row>
    <row r="50" spans="6:27" x14ac:dyDescent="0.2">
      <c r="G50" s="64"/>
      <c r="H50" s="64" t="s">
        <v>40</v>
      </c>
      <c r="I50" s="64"/>
      <c r="J50" s="64"/>
      <c r="K50" s="64"/>
      <c r="L50" s="64"/>
      <c r="M50" s="65">
        <f>C9</f>
        <v>8.7049110195726911</v>
      </c>
      <c r="N50" s="65"/>
      <c r="O50" s="65"/>
      <c r="R50" s="65"/>
      <c r="S50" s="65"/>
      <c r="T50" s="64"/>
      <c r="U50" s="64"/>
      <c r="V50" s="64"/>
      <c r="W50" s="64"/>
      <c r="X50" s="64"/>
      <c r="Y50" s="64"/>
      <c r="Z50" s="64"/>
      <c r="AA50" s="64"/>
    </row>
    <row r="51" spans="6:27" x14ac:dyDescent="0.2">
      <c r="G51" s="64"/>
      <c r="H51" s="64" t="s">
        <v>43</v>
      </c>
      <c r="I51" s="64"/>
      <c r="J51" s="64"/>
      <c r="K51" s="64"/>
      <c r="L51" s="64"/>
      <c r="M51" s="65">
        <f>C10+C14</f>
        <v>7.4781787691146668</v>
      </c>
      <c r="N51" s="65"/>
      <c r="O51" s="65"/>
      <c r="Q51" s="64"/>
      <c r="R51" s="65"/>
      <c r="S51" s="65"/>
      <c r="T51" s="64"/>
      <c r="U51" s="64"/>
      <c r="V51" s="64"/>
      <c r="W51" s="64"/>
      <c r="X51" s="64"/>
      <c r="Y51" s="64"/>
      <c r="Z51" s="64"/>
      <c r="AA51" s="64"/>
    </row>
    <row r="52" spans="6:27" x14ac:dyDescent="0.2">
      <c r="G52" s="64"/>
      <c r="H52" s="64" t="s">
        <v>38</v>
      </c>
      <c r="I52" s="64"/>
      <c r="J52" s="64"/>
      <c r="K52" s="64"/>
      <c r="L52" s="64"/>
      <c r="M52" s="65">
        <f>C12</f>
        <v>10.388370354887599</v>
      </c>
      <c r="N52" s="65"/>
      <c r="O52" s="65"/>
      <c r="P52" s="144" t="s">
        <v>112</v>
      </c>
      <c r="Q52" s="145"/>
      <c r="R52" s="146">
        <f>SUM(R53:R54)</f>
        <v>1.3492791903454238</v>
      </c>
      <c r="S52" s="146"/>
      <c r="T52" s="64"/>
      <c r="U52" s="64"/>
      <c r="V52" s="64"/>
      <c r="W52" s="64"/>
      <c r="X52" s="64"/>
      <c r="Y52" s="64"/>
      <c r="Z52" s="64"/>
      <c r="AA52" s="64"/>
    </row>
    <row r="53" spans="6:27" x14ac:dyDescent="0.2">
      <c r="F53" s="64"/>
      <c r="G53" s="64"/>
      <c r="H53" s="64" t="s">
        <v>41</v>
      </c>
      <c r="I53" s="64"/>
      <c r="J53" s="64"/>
      <c r="K53" s="64"/>
      <c r="L53" s="64"/>
      <c r="M53" s="65">
        <f>(G12+G27+G42)/2</f>
        <v>1.3492791903454238</v>
      </c>
      <c r="N53" s="65"/>
      <c r="O53" s="65"/>
      <c r="Q53" s="64" t="s">
        <v>41</v>
      </c>
      <c r="R53" s="65">
        <f>M53</f>
        <v>1.3492791903454238</v>
      </c>
      <c r="S53" s="65"/>
      <c r="T53" s="64"/>
      <c r="U53" s="64"/>
      <c r="V53" s="64"/>
      <c r="W53" s="64"/>
      <c r="X53" s="64"/>
      <c r="Y53" s="64"/>
      <c r="Z53" s="64"/>
      <c r="AA53" s="64"/>
    </row>
    <row r="54" spans="6:27" x14ac:dyDescent="0.2">
      <c r="F54" s="64"/>
      <c r="G54" s="64"/>
      <c r="H54" s="64" t="s">
        <v>50</v>
      </c>
      <c r="I54" s="64"/>
      <c r="J54" s="64"/>
      <c r="K54" s="64"/>
      <c r="L54" s="64"/>
      <c r="M54" s="65">
        <f>C15</f>
        <v>1.8119253317839281</v>
      </c>
      <c r="N54" s="65"/>
      <c r="O54" s="65"/>
      <c r="Q54" s="64" t="s">
        <v>39</v>
      </c>
      <c r="R54" s="65">
        <f>C21</f>
        <v>0</v>
      </c>
      <c r="S54" s="65"/>
      <c r="T54" s="64"/>
      <c r="U54" s="64"/>
      <c r="V54" s="64"/>
      <c r="W54" s="64"/>
      <c r="X54" s="64"/>
      <c r="Y54" s="64"/>
      <c r="Z54" s="64"/>
      <c r="AA54" s="64"/>
    </row>
    <row r="55" spans="6:27" x14ac:dyDescent="0.2">
      <c r="F55" s="64"/>
      <c r="G55" s="64"/>
      <c r="H55" s="64" t="s">
        <v>45</v>
      </c>
      <c r="I55" s="64"/>
      <c r="J55" s="64"/>
      <c r="K55" s="64"/>
      <c r="L55" s="64"/>
      <c r="M55" s="65">
        <f>G16+G28</f>
        <v>0.5</v>
      </c>
      <c r="N55" s="65"/>
      <c r="O55" s="65"/>
      <c r="T55" s="64"/>
      <c r="U55" s="64"/>
      <c r="V55" s="64"/>
      <c r="W55" s="64"/>
      <c r="X55" s="64"/>
      <c r="Y55" s="64"/>
      <c r="Z55" s="64"/>
      <c r="AA55" s="64"/>
    </row>
    <row r="56" spans="6:27" x14ac:dyDescent="0.2">
      <c r="F56" s="64"/>
      <c r="G56" s="64"/>
      <c r="H56" s="64" t="s">
        <v>54</v>
      </c>
      <c r="I56" s="64"/>
      <c r="J56" s="64"/>
      <c r="K56" s="64"/>
      <c r="L56" s="64"/>
      <c r="M56" s="65">
        <f>C13</f>
        <v>2.9995839860144065</v>
      </c>
      <c r="N56" s="65"/>
      <c r="O56" s="65"/>
      <c r="Q56" s="147" t="s">
        <v>113</v>
      </c>
      <c r="R56" s="148">
        <f>M46/M45</f>
        <v>0.80011307048812563</v>
      </c>
      <c r="S56" s="148"/>
      <c r="T56" s="64"/>
      <c r="U56" s="64"/>
      <c r="V56" s="64"/>
      <c r="W56" s="64"/>
      <c r="X56" s="64"/>
      <c r="Y56" s="64"/>
      <c r="Z56" s="64"/>
      <c r="AA56" s="64"/>
    </row>
    <row r="57" spans="6:27" x14ac:dyDescent="0.2">
      <c r="F57" s="64"/>
      <c r="G57" s="64"/>
      <c r="H57" s="64" t="s">
        <v>44</v>
      </c>
      <c r="I57" s="64"/>
      <c r="J57" s="64"/>
      <c r="K57" s="64"/>
      <c r="L57" s="64"/>
      <c r="M57" s="65">
        <f>C19</f>
        <v>2.0777339018465657</v>
      </c>
      <c r="N57" s="65"/>
      <c r="O57" s="65"/>
      <c r="Q57" s="147"/>
      <c r="R57" s="148"/>
      <c r="S57" s="148"/>
      <c r="T57" s="64"/>
      <c r="U57" s="64"/>
      <c r="V57" s="64"/>
      <c r="W57" s="64"/>
      <c r="X57" s="64"/>
      <c r="Y57" s="64"/>
      <c r="Z57" s="64"/>
      <c r="AA57" s="64"/>
    </row>
  </sheetData>
  <mergeCells count="52">
    <mergeCell ref="E21:E24"/>
    <mergeCell ref="Q21:Q24"/>
    <mergeCell ref="E26:E32"/>
    <mergeCell ref="H26:H32"/>
    <mergeCell ref="J26:J32"/>
    <mergeCell ref="L26:L32"/>
    <mergeCell ref="Q26:Q32"/>
    <mergeCell ref="N26:N32"/>
    <mergeCell ref="O26:O32"/>
    <mergeCell ref="P26:P32"/>
    <mergeCell ref="E34:E43"/>
    <mergeCell ref="J34:J43"/>
    <mergeCell ref="L34:L43"/>
    <mergeCell ref="N34:T43"/>
    <mergeCell ref="V34:V43"/>
    <mergeCell ref="H34:H43"/>
    <mergeCell ref="AA26:AA32"/>
    <mergeCell ref="V26:V32"/>
    <mergeCell ref="W26:W32"/>
    <mergeCell ref="V21:V24"/>
    <mergeCell ref="W21:W24"/>
    <mergeCell ref="A4:C4"/>
    <mergeCell ref="E7:E19"/>
    <mergeCell ref="L7:L19"/>
    <mergeCell ref="N7:N19"/>
    <mergeCell ref="H7:H19"/>
    <mergeCell ref="N2:N4"/>
    <mergeCell ref="I3:J3"/>
    <mergeCell ref="K3:L3"/>
    <mergeCell ref="J7:J19"/>
    <mergeCell ref="R26:R32"/>
    <mergeCell ref="S26:S32"/>
    <mergeCell ref="O2:T3"/>
    <mergeCell ref="T7:T19"/>
    <mergeCell ref="T26:T32"/>
    <mergeCell ref="P21:P24"/>
    <mergeCell ref="R21:R24"/>
    <mergeCell ref="T21:T24"/>
    <mergeCell ref="V1:AA1"/>
    <mergeCell ref="G2:H2"/>
    <mergeCell ref="I2:L2"/>
    <mergeCell ref="H21:H24"/>
    <mergeCell ref="J21:J24"/>
    <mergeCell ref="V2:AA3"/>
    <mergeCell ref="V7:V19"/>
    <mergeCell ref="X21:X24"/>
    <mergeCell ref="Y21:Y24"/>
    <mergeCell ref="Z21:Z24"/>
    <mergeCell ref="AA21:AA24"/>
    <mergeCell ref="G1:L1"/>
    <mergeCell ref="N1:T1"/>
    <mergeCell ref="N21:N2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baseColWidth="10" defaultRowHeight="12.75" x14ac:dyDescent="0.2"/>
  <cols>
    <col min="1" max="1" width="25.5703125" bestFit="1" customWidth="1"/>
    <col min="2" max="2" width="16.5703125" customWidth="1"/>
  </cols>
  <sheetData>
    <row r="1" spans="1:19" x14ac:dyDescent="0.2">
      <c r="A1" s="112">
        <v>2010</v>
      </c>
      <c r="B1" s="107" t="s">
        <v>58</v>
      </c>
      <c r="C1" s="107" t="s">
        <v>71</v>
      </c>
      <c r="D1" s="107" t="s">
        <v>72</v>
      </c>
      <c r="E1" s="107" t="s">
        <v>73</v>
      </c>
      <c r="F1" s="107" t="s">
        <v>74</v>
      </c>
      <c r="G1" s="107" t="s">
        <v>75</v>
      </c>
      <c r="H1" s="107" t="s">
        <v>76</v>
      </c>
      <c r="I1" s="107" t="s">
        <v>77</v>
      </c>
      <c r="J1" s="107" t="s">
        <v>78</v>
      </c>
      <c r="K1" s="107" t="s">
        <v>79</v>
      </c>
      <c r="L1" s="107" t="s">
        <v>80</v>
      </c>
      <c r="M1" s="107" t="s">
        <v>81</v>
      </c>
      <c r="N1" s="107" t="s">
        <v>82</v>
      </c>
      <c r="O1" s="107" t="s">
        <v>83</v>
      </c>
      <c r="P1" s="107" t="s">
        <v>65</v>
      </c>
      <c r="Q1" s="107" t="s">
        <v>57</v>
      </c>
      <c r="R1" s="107" t="s">
        <v>84</v>
      </c>
      <c r="S1" s="114" t="s">
        <v>23</v>
      </c>
    </row>
    <row r="2" spans="1:19" x14ac:dyDescent="0.2">
      <c r="A2" s="109" t="s">
        <v>90</v>
      </c>
      <c r="B2" s="107">
        <v>5.1142461327608384</v>
      </c>
      <c r="C2" s="107"/>
      <c r="D2" s="107"/>
      <c r="E2" s="107"/>
      <c r="F2" s="107">
        <v>2.1573803988250364</v>
      </c>
      <c r="G2" s="107"/>
      <c r="H2" s="107">
        <v>4.9902338524421328</v>
      </c>
      <c r="I2" s="107">
        <v>11.302661321340045</v>
      </c>
      <c r="J2" s="107">
        <v>10.348539032405132</v>
      </c>
      <c r="K2" s="107">
        <v>1.7257147036019576</v>
      </c>
      <c r="L2" s="107">
        <v>0.37520911523607425</v>
      </c>
      <c r="M2" s="107"/>
      <c r="N2" s="107"/>
      <c r="O2" s="107"/>
      <c r="P2" s="107"/>
      <c r="Q2" s="107">
        <v>0.46090767522909276</v>
      </c>
      <c r="R2" s="107"/>
      <c r="S2" s="107">
        <v>36.474892231840307</v>
      </c>
    </row>
    <row r="3" spans="1:19" x14ac:dyDescent="0.2">
      <c r="A3" s="107" t="s">
        <v>85</v>
      </c>
      <c r="B3" s="107">
        <v>0.20721284186221628</v>
      </c>
      <c r="C3" s="107">
        <v>0.99671566677065049</v>
      </c>
      <c r="D3" s="107"/>
      <c r="E3" s="107"/>
      <c r="F3" s="107">
        <v>6.2990570030859336</v>
      </c>
      <c r="G3" s="107"/>
      <c r="H3" s="107"/>
      <c r="I3" s="107">
        <v>13.92522642068414</v>
      </c>
      <c r="J3" s="107">
        <v>13.670208902870701</v>
      </c>
      <c r="K3" s="107">
        <v>6.6020942644992724</v>
      </c>
      <c r="L3" s="107">
        <v>1.6167781437295601</v>
      </c>
      <c r="M3" s="107">
        <v>0</v>
      </c>
      <c r="N3" s="107">
        <v>1</v>
      </c>
      <c r="O3" s="107"/>
      <c r="P3" s="107"/>
      <c r="Q3" s="107"/>
      <c r="R3" s="107"/>
      <c r="S3" s="107">
        <v>44.317293243502476</v>
      </c>
    </row>
    <row r="4" spans="1:19" x14ac:dyDescent="0.2">
      <c r="A4" s="107" t="s">
        <v>86</v>
      </c>
      <c r="B4" s="107">
        <v>8.1182610280045808E-2</v>
      </c>
      <c r="C4" s="107"/>
      <c r="D4" s="107"/>
      <c r="E4" s="107"/>
      <c r="F4" s="107">
        <v>2.7177628584230953</v>
      </c>
      <c r="G4" s="107"/>
      <c r="H4" s="107"/>
      <c r="I4" s="107">
        <v>6.1751872373997374</v>
      </c>
      <c r="J4" s="107">
        <v>11.49519071702511</v>
      </c>
      <c r="K4" s="107">
        <v>0.44622329030058266</v>
      </c>
      <c r="L4" s="107">
        <v>1.2232727300200663</v>
      </c>
      <c r="M4" s="107"/>
      <c r="N4" s="107"/>
      <c r="O4" s="107"/>
      <c r="P4" s="107"/>
      <c r="Q4" s="107"/>
      <c r="R4" s="107"/>
      <c r="S4" s="107">
        <v>22.138819443448639</v>
      </c>
    </row>
    <row r="5" spans="1:19" x14ac:dyDescent="0.2">
      <c r="A5" s="107" t="s">
        <v>87</v>
      </c>
      <c r="B5" s="107"/>
      <c r="C5" s="107">
        <v>1.911717681403283E-3</v>
      </c>
      <c r="D5" s="107">
        <v>7.7869558712832445</v>
      </c>
      <c r="E5" s="107">
        <v>31.228171649108535</v>
      </c>
      <c r="F5" s="107"/>
      <c r="G5" s="107">
        <v>1.4902983550625282</v>
      </c>
      <c r="H5" s="107"/>
      <c r="I5" s="107"/>
      <c r="J5" s="107">
        <v>1.1190050974705239</v>
      </c>
      <c r="K5" s="107"/>
      <c r="L5" s="107"/>
      <c r="M5" s="107"/>
      <c r="N5" s="107"/>
      <c r="O5" s="107"/>
      <c r="P5" s="107"/>
      <c r="Q5" s="107"/>
      <c r="R5" s="107">
        <v>2.4</v>
      </c>
      <c r="S5" s="107">
        <v>44.026342690606235</v>
      </c>
    </row>
    <row r="6" spans="1:19" x14ac:dyDescent="0.2">
      <c r="A6" s="107" t="s">
        <v>88</v>
      </c>
      <c r="B6" s="107">
        <v>7.0000000000000007E-2</v>
      </c>
      <c r="C6" s="107">
        <v>0.27</v>
      </c>
      <c r="D6" s="107">
        <v>0.16</v>
      </c>
      <c r="E6" s="107">
        <v>0.22</v>
      </c>
      <c r="F6" s="107">
        <v>2.02</v>
      </c>
      <c r="G6" s="107"/>
      <c r="H6" s="107"/>
      <c r="I6" s="107">
        <v>0.08</v>
      </c>
      <c r="J6" s="107">
        <v>1.1100000000000001</v>
      </c>
      <c r="K6" s="107">
        <v>0.02</v>
      </c>
      <c r="L6" s="107">
        <v>0</v>
      </c>
      <c r="M6" s="107">
        <v>0</v>
      </c>
      <c r="N6" s="107"/>
      <c r="O6" s="107"/>
      <c r="P6" s="107"/>
      <c r="Q6" s="107"/>
      <c r="R6" s="107"/>
      <c r="S6" s="107">
        <v>3.9500000000000006</v>
      </c>
    </row>
    <row r="7" spans="1:19" x14ac:dyDescent="0.2">
      <c r="A7" s="115" t="s">
        <v>23</v>
      </c>
      <c r="B7" s="107">
        <f>SUM(B2:B6)</f>
        <v>5.4726415849031014</v>
      </c>
      <c r="C7" s="107">
        <f>SUM(C2:C6)</f>
        <v>1.2686273844520537</v>
      </c>
      <c r="D7" s="107">
        <f t="shared" ref="D7:S7" si="0">SUM(D2:D6)</f>
        <v>7.9469558712832447</v>
      </c>
      <c r="E7" s="107">
        <f t="shared" si="0"/>
        <v>31.448171649108534</v>
      </c>
      <c r="F7" s="107">
        <f t="shared" si="0"/>
        <v>13.194200260334064</v>
      </c>
      <c r="G7" s="107">
        <f t="shared" si="0"/>
        <v>1.4902983550625282</v>
      </c>
      <c r="H7" s="107">
        <f t="shared" si="0"/>
        <v>4.9902338524421328</v>
      </c>
      <c r="I7" s="107">
        <f t="shared" si="0"/>
        <v>31.483074979423922</v>
      </c>
      <c r="J7" s="107">
        <f t="shared" si="0"/>
        <v>37.74294374977147</v>
      </c>
      <c r="K7" s="107">
        <f t="shared" si="0"/>
        <v>8.7940322584018134</v>
      </c>
      <c r="L7" s="107">
        <f t="shared" si="0"/>
        <v>3.2152599889857005</v>
      </c>
      <c r="M7" s="107">
        <f t="shared" si="0"/>
        <v>0</v>
      </c>
      <c r="N7" s="107">
        <f t="shared" si="0"/>
        <v>1</v>
      </c>
      <c r="O7" s="107">
        <f t="shared" si="0"/>
        <v>0</v>
      </c>
      <c r="P7" s="107">
        <f t="shared" si="0"/>
        <v>0</v>
      </c>
      <c r="Q7" s="107">
        <f t="shared" si="0"/>
        <v>0.46090767522909276</v>
      </c>
      <c r="R7" s="107">
        <f t="shared" si="0"/>
        <v>2.4</v>
      </c>
      <c r="S7" s="113">
        <f t="shared" si="0"/>
        <v>150.90734760939765</v>
      </c>
    </row>
    <row r="8" spans="1:19" x14ac:dyDescent="0.2">
      <c r="A8" s="108" t="s">
        <v>89</v>
      </c>
      <c r="B8" s="108"/>
      <c r="C8" s="108"/>
      <c r="D8" s="108"/>
      <c r="E8" s="108"/>
      <c r="F8" s="108">
        <v>10.661712718501592</v>
      </c>
      <c r="G8" s="108"/>
      <c r="H8" s="108"/>
      <c r="I8" s="108">
        <v>1.0742831177984353</v>
      </c>
      <c r="J8" s="108"/>
      <c r="K8" s="108"/>
      <c r="L8" s="108"/>
      <c r="M8" s="108"/>
      <c r="N8" s="108"/>
      <c r="O8" s="108"/>
      <c r="P8" s="108"/>
      <c r="Q8" s="108"/>
      <c r="R8" s="108"/>
      <c r="S8" s="108">
        <v>11.735995836300027</v>
      </c>
    </row>
    <row r="11" spans="1:19" x14ac:dyDescent="0.2">
      <c r="A11" s="116">
        <v>2010</v>
      </c>
    </row>
    <row r="12" spans="1:19" x14ac:dyDescent="0.2">
      <c r="C12" s="106" t="s">
        <v>90</v>
      </c>
      <c r="D12" s="106" t="s">
        <v>96</v>
      </c>
      <c r="E12" s="106" t="s">
        <v>86</v>
      </c>
      <c r="F12" s="106" t="s">
        <v>87</v>
      </c>
      <c r="G12" s="106" t="s">
        <v>88</v>
      </c>
      <c r="H12" s="106" t="s">
        <v>104</v>
      </c>
    </row>
    <row r="13" spans="1:19" x14ac:dyDescent="0.2">
      <c r="A13" s="129" t="s">
        <v>103</v>
      </c>
      <c r="B13" s="126" t="s">
        <v>93</v>
      </c>
      <c r="C13" s="107">
        <f>J2</f>
        <v>10.348539032405132</v>
      </c>
      <c r="D13" s="107">
        <f>J3</f>
        <v>13.670208902870701</v>
      </c>
      <c r="E13" s="107">
        <f>J4</f>
        <v>11.49519071702511</v>
      </c>
      <c r="F13" s="107">
        <f>J5</f>
        <v>1.1190050974705239</v>
      </c>
      <c r="G13" s="107">
        <f>J6</f>
        <v>1.1100000000000001</v>
      </c>
      <c r="H13" s="127">
        <f>SUM(C13:G13)</f>
        <v>37.74294374977147</v>
      </c>
    </row>
    <row r="14" spans="1:19" x14ac:dyDescent="0.2">
      <c r="A14" s="130" t="s">
        <v>102</v>
      </c>
      <c r="B14" s="125" t="s">
        <v>94</v>
      </c>
      <c r="C14" s="107">
        <f>I2+P2</f>
        <v>11.302661321340045</v>
      </c>
      <c r="D14" s="107">
        <f>I3+P3</f>
        <v>13.92522642068414</v>
      </c>
      <c r="E14" s="107">
        <f>I4+P4</f>
        <v>6.1751872373997374</v>
      </c>
      <c r="F14" s="107">
        <f>I5+P5</f>
        <v>0</v>
      </c>
      <c r="G14" s="107">
        <f>I6+P6</f>
        <v>0.08</v>
      </c>
      <c r="H14" s="127">
        <f t="shared" ref="H14:H25" si="1">SUM(C14:G14)</f>
        <v>31.483074979423922</v>
      </c>
    </row>
    <row r="15" spans="1:19" x14ac:dyDescent="0.2">
      <c r="A15" s="131" t="s">
        <v>102</v>
      </c>
      <c r="B15" s="123" t="s">
        <v>95</v>
      </c>
      <c r="C15" s="107">
        <f>L2</f>
        <v>0.37520911523607425</v>
      </c>
      <c r="D15" s="107">
        <f>L3</f>
        <v>1.6167781437295601</v>
      </c>
      <c r="E15" s="107">
        <f>L4</f>
        <v>1.2232727300200663</v>
      </c>
      <c r="F15" s="107">
        <f>L5</f>
        <v>0</v>
      </c>
      <c r="G15" s="107">
        <f>L6</f>
        <v>0</v>
      </c>
      <c r="H15" s="127">
        <f t="shared" si="1"/>
        <v>3.2152599889857005</v>
      </c>
    </row>
    <row r="16" spans="1:19" x14ac:dyDescent="0.2">
      <c r="A16" s="459" t="s">
        <v>98</v>
      </c>
      <c r="B16" s="122" t="s">
        <v>97</v>
      </c>
      <c r="C16" s="107">
        <f>P2</f>
        <v>0</v>
      </c>
      <c r="D16" s="107">
        <f>P3</f>
        <v>0</v>
      </c>
      <c r="E16" s="107">
        <f>P4</f>
        <v>0</v>
      </c>
      <c r="F16" s="107">
        <f>P5</f>
        <v>0</v>
      </c>
      <c r="G16" s="107">
        <f>P6</f>
        <v>0</v>
      </c>
      <c r="H16" s="127">
        <f t="shared" si="1"/>
        <v>0</v>
      </c>
    </row>
    <row r="17" spans="1:8" x14ac:dyDescent="0.2">
      <c r="A17" s="460"/>
      <c r="B17" s="122" t="s">
        <v>42</v>
      </c>
      <c r="C17" s="107">
        <f>K2</f>
        <v>1.7257147036019576</v>
      </c>
      <c r="D17" s="107">
        <f>K3</f>
        <v>6.6020942644992724</v>
      </c>
      <c r="E17" s="107">
        <f>K4</f>
        <v>0.44622329030058266</v>
      </c>
      <c r="F17" s="107">
        <f>K5</f>
        <v>0</v>
      </c>
      <c r="G17" s="107">
        <f>K6</f>
        <v>0.02</v>
      </c>
      <c r="H17" s="127">
        <f t="shared" si="1"/>
        <v>8.7940322584018134</v>
      </c>
    </row>
    <row r="18" spans="1:8" x14ac:dyDescent="0.2">
      <c r="A18" s="460"/>
      <c r="B18" s="122" t="s">
        <v>50</v>
      </c>
      <c r="C18" s="107">
        <f>M2</f>
        <v>0</v>
      </c>
      <c r="D18" s="107">
        <f>M3</f>
        <v>0</v>
      </c>
      <c r="E18" s="107">
        <f>M4</f>
        <v>0</v>
      </c>
      <c r="F18" s="107">
        <f>M5</f>
        <v>0</v>
      </c>
      <c r="G18" s="107">
        <f>M6</f>
        <v>0</v>
      </c>
      <c r="H18" s="127">
        <f t="shared" si="1"/>
        <v>0</v>
      </c>
    </row>
    <row r="19" spans="1:8" x14ac:dyDescent="0.2">
      <c r="A19" s="460"/>
      <c r="B19" s="122" t="s">
        <v>52</v>
      </c>
      <c r="C19" s="107">
        <f>N2</f>
        <v>0</v>
      </c>
      <c r="D19" s="107">
        <f>N3</f>
        <v>1</v>
      </c>
      <c r="E19" s="107">
        <f>N4</f>
        <v>0</v>
      </c>
      <c r="F19" s="107">
        <f>N5</f>
        <v>0</v>
      </c>
      <c r="G19" s="107">
        <f>N6</f>
        <v>0</v>
      </c>
      <c r="H19" s="127">
        <f t="shared" si="1"/>
        <v>1</v>
      </c>
    </row>
    <row r="20" spans="1:8" x14ac:dyDescent="0.2">
      <c r="A20" s="460"/>
      <c r="B20" s="122" t="s">
        <v>53</v>
      </c>
      <c r="C20" s="107">
        <f>O2</f>
        <v>0</v>
      </c>
      <c r="D20" s="107">
        <f>O3</f>
        <v>0</v>
      </c>
      <c r="E20" s="107">
        <f>O4</f>
        <v>0</v>
      </c>
      <c r="F20" s="107">
        <f>O5</f>
        <v>0</v>
      </c>
      <c r="G20" s="107">
        <f>O6</f>
        <v>0</v>
      </c>
      <c r="H20" s="127">
        <f t="shared" si="1"/>
        <v>0</v>
      </c>
    </row>
    <row r="21" spans="1:8" x14ac:dyDescent="0.2">
      <c r="A21" s="460"/>
      <c r="B21" s="122" t="s">
        <v>54</v>
      </c>
      <c r="C21" s="107">
        <f>R2</f>
        <v>0</v>
      </c>
      <c r="D21" s="107">
        <f>R3</f>
        <v>0</v>
      </c>
      <c r="E21" s="107">
        <f>R4</f>
        <v>0</v>
      </c>
      <c r="F21" s="107">
        <f>R5</f>
        <v>2.4</v>
      </c>
      <c r="G21" s="107">
        <f>R6</f>
        <v>0</v>
      </c>
      <c r="H21" s="127">
        <f t="shared" si="1"/>
        <v>2.4</v>
      </c>
    </row>
    <row r="22" spans="1:8" x14ac:dyDescent="0.2">
      <c r="A22" s="460"/>
      <c r="B22" s="122" t="s">
        <v>55</v>
      </c>
      <c r="C22" s="107">
        <f>D2+E2</f>
        <v>0</v>
      </c>
      <c r="D22" s="107">
        <f>D3+E3</f>
        <v>0</v>
      </c>
      <c r="E22" s="107">
        <f>D4+E4</f>
        <v>0</v>
      </c>
      <c r="F22" s="107">
        <f>D5+E5+G5</f>
        <v>40.505425875454307</v>
      </c>
      <c r="G22" s="107">
        <f>D6+E6</f>
        <v>0.38</v>
      </c>
      <c r="H22" s="127">
        <f t="shared" si="1"/>
        <v>40.88542587545431</v>
      </c>
    </row>
    <row r="23" spans="1:8" x14ac:dyDescent="0.2">
      <c r="A23" s="460"/>
      <c r="B23" s="122" t="s">
        <v>56</v>
      </c>
      <c r="C23" s="107">
        <f>C2+F2+H2</f>
        <v>7.1476142512671696</v>
      </c>
      <c r="D23" s="107">
        <f>C3+F3+H3</f>
        <v>7.2957726698565839</v>
      </c>
      <c r="E23" s="107">
        <f>C4+F4+H4</f>
        <v>2.7177628584230953</v>
      </c>
      <c r="F23" s="107">
        <f>C5+F5+H5</f>
        <v>1.911717681403283E-3</v>
      </c>
      <c r="G23" s="107">
        <f>C6+F6+H6</f>
        <v>2.29</v>
      </c>
      <c r="H23" s="127">
        <f t="shared" si="1"/>
        <v>19.453061497228251</v>
      </c>
    </row>
    <row r="24" spans="1:8" x14ac:dyDescent="0.2">
      <c r="A24" s="460"/>
      <c r="B24" s="122" t="s">
        <v>57</v>
      </c>
      <c r="C24" s="107">
        <f>Q2</f>
        <v>0.46090767522909276</v>
      </c>
      <c r="D24" s="107">
        <f>Q3</f>
        <v>0</v>
      </c>
      <c r="E24" s="107">
        <f>Q4</f>
        <v>0</v>
      </c>
      <c r="F24" s="107">
        <f>Q5</f>
        <v>0</v>
      </c>
      <c r="G24" s="107">
        <f>Q6</f>
        <v>0</v>
      </c>
      <c r="H24" s="127">
        <f t="shared" si="1"/>
        <v>0.46090767522909276</v>
      </c>
    </row>
    <row r="25" spans="1:8" x14ac:dyDescent="0.2">
      <c r="A25" s="460"/>
      <c r="B25" s="122" t="s">
        <v>58</v>
      </c>
      <c r="C25" s="107">
        <f>B2</f>
        <v>5.1142461327608384</v>
      </c>
      <c r="D25" s="107">
        <f>B3</f>
        <v>0.20721284186221628</v>
      </c>
      <c r="E25" s="107">
        <f>B4</f>
        <v>8.1182610280045808E-2</v>
      </c>
      <c r="F25" s="107">
        <f>B5</f>
        <v>0</v>
      </c>
      <c r="G25" s="107">
        <f>B6</f>
        <v>7.0000000000000007E-2</v>
      </c>
      <c r="H25" s="127">
        <f t="shared" si="1"/>
        <v>5.4726415849031014</v>
      </c>
    </row>
    <row r="26" spans="1:8" x14ac:dyDescent="0.2">
      <c r="B26" s="132" t="s">
        <v>105</v>
      </c>
      <c r="C26" s="127">
        <f>SUM(C13:C25)</f>
        <v>36.474892231840307</v>
      </c>
      <c r="D26" s="127">
        <f t="shared" ref="D26:G26" si="2">SUM(D13:D25)</f>
        <v>44.317293243502476</v>
      </c>
      <c r="E26" s="127">
        <f t="shared" si="2"/>
        <v>22.138819443448639</v>
      </c>
      <c r="F26" s="127">
        <f t="shared" si="2"/>
        <v>44.026342690606235</v>
      </c>
      <c r="G26" s="127">
        <f t="shared" si="2"/>
        <v>3.95</v>
      </c>
      <c r="H26" s="128">
        <f>SUM(C13:G25)</f>
        <v>150.90734760939762</v>
      </c>
    </row>
  </sheetData>
  <mergeCells count="1">
    <mergeCell ref="A16:A2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sqref="A1:XFD1048576"/>
    </sheetView>
  </sheetViews>
  <sheetFormatPr baseColWidth="10" defaultRowHeight="12.75" x14ac:dyDescent="0.2"/>
  <cols>
    <col min="1" max="1" width="16.140625" customWidth="1"/>
    <col min="2" max="2" width="25.140625" customWidth="1"/>
  </cols>
  <sheetData>
    <row r="1" spans="1:19" x14ac:dyDescent="0.2">
      <c r="A1" s="111">
        <v>2030</v>
      </c>
      <c r="B1" s="107" t="s">
        <v>58</v>
      </c>
      <c r="C1" s="107" t="s">
        <v>71</v>
      </c>
      <c r="D1" s="107" t="s">
        <v>72</v>
      </c>
      <c r="E1" s="107" t="s">
        <v>73</v>
      </c>
      <c r="F1" s="107" t="s">
        <v>74</v>
      </c>
      <c r="G1" s="107" t="s">
        <v>75</v>
      </c>
      <c r="H1" s="107" t="s">
        <v>76</v>
      </c>
      <c r="I1" s="107" t="s">
        <v>77</v>
      </c>
      <c r="J1" s="107" t="s">
        <v>78</v>
      </c>
      <c r="K1" s="107" t="s">
        <v>79</v>
      </c>
      <c r="L1" s="107" t="s">
        <v>80</v>
      </c>
      <c r="M1" s="107" t="s">
        <v>81</v>
      </c>
      <c r="N1" s="107" t="s">
        <v>82</v>
      </c>
      <c r="O1" s="107" t="s">
        <v>83</v>
      </c>
      <c r="P1" s="107" t="s">
        <v>65</v>
      </c>
      <c r="Q1" s="107" t="s">
        <v>57</v>
      </c>
      <c r="R1" s="107" t="s">
        <v>84</v>
      </c>
      <c r="S1" s="114" t="s">
        <v>23</v>
      </c>
    </row>
    <row r="2" spans="1:19" x14ac:dyDescent="0.2">
      <c r="A2" s="109" t="s">
        <v>90</v>
      </c>
      <c r="B2" s="107">
        <f>'[1]FLUX 2030'!X43</f>
        <v>5.0087892394540097</v>
      </c>
      <c r="C2" s="107"/>
      <c r="D2" s="107"/>
      <c r="E2" s="107"/>
      <c r="F2" s="107">
        <v>4.795642201836813</v>
      </c>
      <c r="G2" s="107"/>
      <c r="H2" s="107">
        <v>0.93686862818474315</v>
      </c>
      <c r="I2" s="107">
        <f>'[1]FLUX 2030'!X21</f>
        <v>8.9236666721468829</v>
      </c>
      <c r="J2" s="107">
        <f>'[1]FLUX 2030'!X7</f>
        <v>10.311534772019041</v>
      </c>
      <c r="K2" s="107">
        <v>2.577576725349024</v>
      </c>
      <c r="L2" s="107">
        <v>0.25132023939710446</v>
      </c>
      <c r="M2" s="107">
        <v>0.49</v>
      </c>
      <c r="N2" s="107"/>
      <c r="O2" s="107"/>
      <c r="P2" s="107"/>
      <c r="Q2" s="107">
        <v>0.86944701578796535</v>
      </c>
      <c r="R2" s="107"/>
      <c r="S2" s="107">
        <f>SUM(B2:R2)</f>
        <v>34.16484549417558</v>
      </c>
    </row>
    <row r="3" spans="1:19" x14ac:dyDescent="0.2">
      <c r="A3" s="107" t="s">
        <v>85</v>
      </c>
      <c r="B3" s="107">
        <f>'[1]FLUX 2030'!Y43</f>
        <v>7.830094102733021E-3</v>
      </c>
      <c r="C3" s="107">
        <v>0.42148986084670292</v>
      </c>
      <c r="D3" s="107"/>
      <c r="E3" s="107"/>
      <c r="F3" s="107">
        <v>0.36488366727235283</v>
      </c>
      <c r="G3" s="107"/>
      <c r="H3" s="107"/>
      <c r="I3" s="107">
        <f>'[1]FLUX 2030'!Y21</f>
        <v>8.2001969126280194</v>
      </c>
      <c r="J3" s="107">
        <f>'[1]FLUX 2030'!Y7</f>
        <v>12.41847498431887</v>
      </c>
      <c r="K3" s="107">
        <v>6.4845186632408227</v>
      </c>
      <c r="L3" s="107">
        <v>3.4464601151382652</v>
      </c>
      <c r="M3" s="107">
        <v>0.21816585535479055</v>
      </c>
      <c r="N3" s="107">
        <v>0.75</v>
      </c>
      <c r="O3" s="107">
        <v>1.8351839637785343</v>
      </c>
      <c r="P3" s="107">
        <f>'[1]FLUX 2030'!X34</f>
        <v>0.3</v>
      </c>
      <c r="Q3" s="107"/>
      <c r="R3" s="107"/>
      <c r="S3" s="107">
        <f>SUM(B3:R3)</f>
        <v>34.447204116681093</v>
      </c>
    </row>
    <row r="4" spans="1:19" x14ac:dyDescent="0.2">
      <c r="A4" s="107" t="s">
        <v>86</v>
      </c>
      <c r="B4" s="107">
        <f>'[1]FLUX 2030'!Z43</f>
        <v>4.2193853263537952E-2</v>
      </c>
      <c r="C4" s="107"/>
      <c r="D4" s="107"/>
      <c r="E4" s="107"/>
      <c r="F4" s="107">
        <v>0.62751884130739644</v>
      </c>
      <c r="G4" s="107"/>
      <c r="H4" s="107"/>
      <c r="I4" s="107">
        <f>'[1]FLUX 2030'!Z21</f>
        <v>3.4152040275123836</v>
      </c>
      <c r="J4" s="107">
        <f>'[1]FLUX 2030'!Z7</f>
        <v>11.337844736770206</v>
      </c>
      <c r="K4" s="107">
        <v>1.0631250277186171</v>
      </c>
      <c r="L4" s="107">
        <v>2.6507625063720983</v>
      </c>
      <c r="M4" s="107">
        <v>0.10793273374485982</v>
      </c>
      <c r="N4" s="107">
        <v>0.75</v>
      </c>
      <c r="O4" s="107"/>
      <c r="P4" s="107"/>
      <c r="Q4" s="107"/>
      <c r="R4" s="107"/>
      <c r="S4" s="107">
        <f>SUM(B4:R4)</f>
        <v>19.994581726689098</v>
      </c>
    </row>
    <row r="5" spans="1:19" x14ac:dyDescent="0.2">
      <c r="A5" s="107" t="s">
        <v>87</v>
      </c>
      <c r="B5" s="107"/>
      <c r="C5" s="107">
        <v>3.3589065753609131E-4</v>
      </c>
      <c r="D5" s="107">
        <v>7.1413538845559925</v>
      </c>
      <c r="E5" s="107">
        <v>22.347696728709916</v>
      </c>
      <c r="F5" s="107"/>
      <c r="G5" s="107">
        <v>1.47526734904848</v>
      </c>
      <c r="H5" s="107"/>
      <c r="I5" s="107"/>
      <c r="J5" s="107">
        <f>'[1]FLUX 2030'!AA7</f>
        <v>2.1069463682853788</v>
      </c>
      <c r="K5" s="107"/>
      <c r="L5" s="107"/>
      <c r="M5" s="107"/>
      <c r="N5" s="107"/>
      <c r="O5" s="107"/>
      <c r="P5" s="107"/>
      <c r="Q5" s="107"/>
      <c r="R5" s="107">
        <v>3</v>
      </c>
      <c r="S5" s="107">
        <f>SUM(B5:R5)</f>
        <v>36.071600221257306</v>
      </c>
    </row>
    <row r="6" spans="1:19" x14ac:dyDescent="0.2">
      <c r="A6" s="107" t="s">
        <v>88</v>
      </c>
      <c r="B6" s="107"/>
      <c r="C6" s="107">
        <v>0.17550000000000002</v>
      </c>
      <c r="D6" s="107">
        <v>0.10400000000000001</v>
      </c>
      <c r="E6" s="107">
        <v>0.22</v>
      </c>
      <c r="F6" s="107">
        <v>0.6150000000000001</v>
      </c>
      <c r="G6" s="107"/>
      <c r="H6" s="107"/>
      <c r="I6" s="107">
        <f>'[1]FLUX 2030'!W21</f>
        <v>0.96458100088211896</v>
      </c>
      <c r="J6" s="107">
        <f>'[1]FLUX 2030'!W7</f>
        <v>1.016531561718043</v>
      </c>
      <c r="K6" s="107"/>
      <c r="L6" s="107"/>
      <c r="M6" s="107"/>
      <c r="N6" s="107"/>
      <c r="O6" s="107"/>
      <c r="P6" s="107"/>
      <c r="Q6" s="107"/>
      <c r="R6" s="107"/>
      <c r="S6" s="107">
        <f>SUM(B6:R6)</f>
        <v>3.095612562600162</v>
      </c>
    </row>
    <row r="7" spans="1:19" x14ac:dyDescent="0.2">
      <c r="A7" s="115" t="s">
        <v>23</v>
      </c>
      <c r="B7" s="107">
        <f t="shared" ref="B7:S7" si="0">SUM(B2:B6)</f>
        <v>5.0588131868202808</v>
      </c>
      <c r="C7" s="107">
        <f t="shared" si="0"/>
        <v>0.59732575150423906</v>
      </c>
      <c r="D7" s="107">
        <f t="shared" si="0"/>
        <v>7.2453538845559926</v>
      </c>
      <c r="E7" s="107">
        <f t="shared" si="0"/>
        <v>22.567696728709915</v>
      </c>
      <c r="F7" s="107">
        <f t="shared" si="0"/>
        <v>6.4030447104165624</v>
      </c>
      <c r="G7" s="107">
        <f t="shared" si="0"/>
        <v>1.47526734904848</v>
      </c>
      <c r="H7" s="107">
        <f t="shared" si="0"/>
        <v>0.93686862818474315</v>
      </c>
      <c r="I7" s="107">
        <f t="shared" si="0"/>
        <v>21.503648613169407</v>
      </c>
      <c r="J7" s="107">
        <f t="shared" si="0"/>
        <v>37.191332423111533</v>
      </c>
      <c r="K7" s="107">
        <f t="shared" si="0"/>
        <v>10.125220416308462</v>
      </c>
      <c r="L7" s="107">
        <f t="shared" si="0"/>
        <v>6.3485428609074681</v>
      </c>
      <c r="M7" s="107">
        <f t="shared" si="0"/>
        <v>0.81609858909965027</v>
      </c>
      <c r="N7" s="107">
        <f t="shared" si="0"/>
        <v>1.5</v>
      </c>
      <c r="O7" s="107">
        <f t="shared" si="0"/>
        <v>1.8351839637785343</v>
      </c>
      <c r="P7" s="107">
        <f t="shared" si="0"/>
        <v>0.3</v>
      </c>
      <c r="Q7" s="107">
        <f t="shared" si="0"/>
        <v>0.86944701578796535</v>
      </c>
      <c r="R7" s="107">
        <f t="shared" si="0"/>
        <v>3</v>
      </c>
      <c r="S7" s="113">
        <f t="shared" si="0"/>
        <v>127.77384412140324</v>
      </c>
    </row>
    <row r="8" spans="1:19" x14ac:dyDescent="0.2">
      <c r="A8" s="108" t="s">
        <v>89</v>
      </c>
      <c r="B8" s="108"/>
      <c r="C8" s="108"/>
      <c r="D8" s="108"/>
      <c r="E8" s="108"/>
      <c r="F8" s="108">
        <v>13.448653422591534</v>
      </c>
      <c r="G8" s="108"/>
      <c r="H8" s="108"/>
      <c r="I8" s="108">
        <v>1.5713496242250362</v>
      </c>
      <c r="J8" s="108"/>
      <c r="K8" s="108"/>
      <c r="L8" s="108"/>
      <c r="M8" s="108"/>
      <c r="N8" s="108"/>
      <c r="O8" s="108"/>
      <c r="P8" s="108"/>
      <c r="Q8" s="108"/>
      <c r="R8" s="108"/>
      <c r="S8" s="108">
        <f>SUM(B8:R8)</f>
        <v>15.020003046816569</v>
      </c>
    </row>
    <row r="11" spans="1:19" x14ac:dyDescent="0.2">
      <c r="A11" s="118">
        <v>2030</v>
      </c>
    </row>
    <row r="12" spans="1:19" x14ac:dyDescent="0.2">
      <c r="C12" s="106" t="s">
        <v>90</v>
      </c>
      <c r="D12" s="106" t="s">
        <v>96</v>
      </c>
      <c r="E12" s="106" t="s">
        <v>86</v>
      </c>
      <c r="F12" s="106" t="s">
        <v>87</v>
      </c>
      <c r="G12" s="106" t="s">
        <v>88</v>
      </c>
      <c r="H12" s="132" t="s">
        <v>104</v>
      </c>
    </row>
    <row r="13" spans="1:19" x14ac:dyDescent="0.2">
      <c r="A13" s="129" t="s">
        <v>103</v>
      </c>
      <c r="B13" s="121" t="s">
        <v>101</v>
      </c>
      <c r="C13" s="107">
        <f>J2</f>
        <v>10.311534772019041</v>
      </c>
      <c r="D13" s="107">
        <f>J3</f>
        <v>12.41847498431887</v>
      </c>
      <c r="E13" s="107">
        <f>J4</f>
        <v>11.337844736770206</v>
      </c>
      <c r="F13" s="107">
        <f>J5</f>
        <v>2.1069463682853788</v>
      </c>
      <c r="G13" s="107">
        <f>J6</f>
        <v>1.016531561718043</v>
      </c>
      <c r="H13" s="127">
        <f>SUM(C13:G13)</f>
        <v>37.191332423111533</v>
      </c>
    </row>
    <row r="14" spans="1:19" x14ac:dyDescent="0.2">
      <c r="A14" s="130" t="s">
        <v>102</v>
      </c>
      <c r="B14" s="120" t="s">
        <v>100</v>
      </c>
      <c r="C14" s="107">
        <f>I2+P2-C16</f>
        <v>8.6236666721468822</v>
      </c>
      <c r="D14" s="107">
        <f>I3+P3</f>
        <v>8.5001969126280201</v>
      </c>
      <c r="E14" s="107">
        <f>I4+P4</f>
        <v>3.4152040275123836</v>
      </c>
      <c r="F14" s="107">
        <f>I5+P5</f>
        <v>0</v>
      </c>
      <c r="G14" s="107">
        <f>I6+P6</f>
        <v>0.96458100088211896</v>
      </c>
      <c r="H14" s="127">
        <f t="shared" ref="H14:H25" si="1">SUM(C14:G14)</f>
        <v>21.503648613169407</v>
      </c>
    </row>
    <row r="15" spans="1:19" x14ac:dyDescent="0.2">
      <c r="A15" s="131" t="s">
        <v>102</v>
      </c>
      <c r="B15" s="119" t="s">
        <v>99</v>
      </c>
      <c r="C15" s="107">
        <f>L2</f>
        <v>0.25132023939710446</v>
      </c>
      <c r="D15" s="107">
        <f>L3</f>
        <v>3.4464601151382652</v>
      </c>
      <c r="E15" s="107">
        <f>L4</f>
        <v>2.6507625063720983</v>
      </c>
      <c r="F15" s="107">
        <f>L5</f>
        <v>0</v>
      </c>
      <c r="G15" s="107">
        <f>L6</f>
        <v>0</v>
      </c>
      <c r="H15" s="127">
        <f t="shared" si="1"/>
        <v>6.3485428609074681</v>
      </c>
    </row>
    <row r="16" spans="1:19" x14ac:dyDescent="0.2">
      <c r="A16" s="459" t="s">
        <v>98</v>
      </c>
      <c r="B16" s="122" t="s">
        <v>97</v>
      </c>
      <c r="C16" s="107">
        <v>0.3</v>
      </c>
      <c r="D16" s="107">
        <v>0</v>
      </c>
      <c r="E16" s="107">
        <v>0</v>
      </c>
      <c r="F16" s="107">
        <v>0</v>
      </c>
      <c r="G16" s="107">
        <v>0</v>
      </c>
      <c r="H16" s="127">
        <f t="shared" si="1"/>
        <v>0.3</v>
      </c>
    </row>
    <row r="17" spans="1:8" x14ac:dyDescent="0.2">
      <c r="A17" s="460"/>
      <c r="B17" s="122" t="s">
        <v>42</v>
      </c>
      <c r="C17" s="107">
        <f>K2</f>
        <v>2.577576725349024</v>
      </c>
      <c r="D17" s="107">
        <f>K3</f>
        <v>6.4845186632408227</v>
      </c>
      <c r="E17" s="107">
        <f>K4</f>
        <v>1.0631250277186171</v>
      </c>
      <c r="F17" s="107">
        <f>K5</f>
        <v>0</v>
      </c>
      <c r="G17" s="107">
        <f>K6</f>
        <v>0</v>
      </c>
      <c r="H17" s="127">
        <f t="shared" si="1"/>
        <v>10.125220416308462</v>
      </c>
    </row>
    <row r="18" spans="1:8" x14ac:dyDescent="0.2">
      <c r="A18" s="460"/>
      <c r="B18" s="122" t="s">
        <v>50</v>
      </c>
      <c r="C18" s="107">
        <f>M2</f>
        <v>0.49</v>
      </c>
      <c r="D18" s="107">
        <f>M3</f>
        <v>0.21816585535479055</v>
      </c>
      <c r="E18" s="107">
        <f>M4</f>
        <v>0.10793273374485982</v>
      </c>
      <c r="F18" s="107">
        <f>M5</f>
        <v>0</v>
      </c>
      <c r="G18" s="107">
        <f>M6</f>
        <v>0</v>
      </c>
      <c r="H18" s="127">
        <f t="shared" si="1"/>
        <v>0.81609858909965027</v>
      </c>
    </row>
    <row r="19" spans="1:8" x14ac:dyDescent="0.2">
      <c r="A19" s="460"/>
      <c r="B19" s="122" t="s">
        <v>52</v>
      </c>
      <c r="C19" s="107">
        <f>N2</f>
        <v>0</v>
      </c>
      <c r="D19" s="107">
        <f>N3</f>
        <v>0.75</v>
      </c>
      <c r="E19" s="107">
        <f>N4</f>
        <v>0.75</v>
      </c>
      <c r="F19" s="107">
        <f>N5</f>
        <v>0</v>
      </c>
      <c r="G19" s="107">
        <f>N6</f>
        <v>0</v>
      </c>
      <c r="H19" s="127">
        <f t="shared" si="1"/>
        <v>1.5</v>
      </c>
    </row>
    <row r="20" spans="1:8" x14ac:dyDescent="0.2">
      <c r="A20" s="460"/>
      <c r="B20" s="122" t="s">
        <v>53</v>
      </c>
      <c r="C20" s="107">
        <f>O2</f>
        <v>0</v>
      </c>
      <c r="D20" s="107">
        <f>O3</f>
        <v>1.8351839637785343</v>
      </c>
      <c r="E20" s="107">
        <f>O4</f>
        <v>0</v>
      </c>
      <c r="F20" s="107">
        <f>O5</f>
        <v>0</v>
      </c>
      <c r="G20" s="107">
        <f>O6</f>
        <v>0</v>
      </c>
      <c r="H20" s="127">
        <f t="shared" si="1"/>
        <v>1.8351839637785343</v>
      </c>
    </row>
    <row r="21" spans="1:8" x14ac:dyDescent="0.2">
      <c r="A21" s="460"/>
      <c r="B21" s="122" t="s">
        <v>54</v>
      </c>
      <c r="C21" s="107">
        <f>R2</f>
        <v>0</v>
      </c>
      <c r="D21" s="107">
        <f>R3</f>
        <v>0</v>
      </c>
      <c r="E21" s="107">
        <f>R4</f>
        <v>0</v>
      </c>
      <c r="F21" s="107">
        <f>R5</f>
        <v>3</v>
      </c>
      <c r="G21" s="107">
        <f>R6</f>
        <v>0</v>
      </c>
      <c r="H21" s="127">
        <f t="shared" si="1"/>
        <v>3</v>
      </c>
    </row>
    <row r="22" spans="1:8" x14ac:dyDescent="0.2">
      <c r="A22" s="460"/>
      <c r="B22" s="122" t="s">
        <v>55</v>
      </c>
      <c r="C22" s="107">
        <f>D2+E2</f>
        <v>0</v>
      </c>
      <c r="D22" s="107">
        <f>D3+E3</f>
        <v>0</v>
      </c>
      <c r="E22" s="107">
        <f>D4+E4</f>
        <v>0</v>
      </c>
      <c r="F22" s="107">
        <f>D5+E5+G5</f>
        <v>30.964317962314389</v>
      </c>
      <c r="G22" s="107">
        <f>D6+E6</f>
        <v>0.32400000000000001</v>
      </c>
      <c r="H22" s="127">
        <f t="shared" si="1"/>
        <v>31.288317962314391</v>
      </c>
    </row>
    <row r="23" spans="1:8" x14ac:dyDescent="0.2">
      <c r="A23" s="460"/>
      <c r="B23" s="122" t="s">
        <v>56</v>
      </c>
      <c r="C23" s="107">
        <f>C2+F2+H2</f>
        <v>5.7325108300215559</v>
      </c>
      <c r="D23" s="107">
        <f>C3+F3+H3</f>
        <v>0.78637352811905581</v>
      </c>
      <c r="E23" s="107">
        <f>C4+F4+H4</f>
        <v>0.62751884130739644</v>
      </c>
      <c r="F23" s="107">
        <f>C5+F5+H5</f>
        <v>3.3589065753609131E-4</v>
      </c>
      <c r="G23" s="107">
        <f>C6+F6+H6</f>
        <v>0.79050000000000009</v>
      </c>
      <c r="H23" s="127">
        <f t="shared" si="1"/>
        <v>7.9372390901055443</v>
      </c>
    </row>
    <row r="24" spans="1:8" x14ac:dyDescent="0.2">
      <c r="A24" s="460"/>
      <c r="B24" s="122" t="s">
        <v>57</v>
      </c>
      <c r="C24" s="107">
        <f>Q2</f>
        <v>0.86944701578796535</v>
      </c>
      <c r="D24" s="107">
        <f>Q3</f>
        <v>0</v>
      </c>
      <c r="E24" s="107">
        <f>Q4</f>
        <v>0</v>
      </c>
      <c r="F24" s="107">
        <f>Q5</f>
        <v>0</v>
      </c>
      <c r="G24" s="107">
        <f>Q6</f>
        <v>0</v>
      </c>
      <c r="H24" s="127">
        <f t="shared" si="1"/>
        <v>0.86944701578796535</v>
      </c>
    </row>
    <row r="25" spans="1:8" x14ac:dyDescent="0.2">
      <c r="A25" s="460"/>
      <c r="B25" s="122" t="s">
        <v>58</v>
      </c>
      <c r="C25" s="107">
        <f>B2</f>
        <v>5.0087892394540097</v>
      </c>
      <c r="D25" s="107">
        <f>B3</f>
        <v>7.830094102733021E-3</v>
      </c>
      <c r="E25" s="107">
        <f>B4</f>
        <v>4.2193853263537952E-2</v>
      </c>
      <c r="F25" s="107">
        <f>B5</f>
        <v>0</v>
      </c>
      <c r="G25" s="107">
        <f>B6</f>
        <v>0</v>
      </c>
      <c r="H25" s="127">
        <f t="shared" si="1"/>
        <v>5.0588131868202808</v>
      </c>
    </row>
    <row r="26" spans="1:8" x14ac:dyDescent="0.2">
      <c r="B26" s="132" t="s">
        <v>105</v>
      </c>
      <c r="C26" s="127">
        <f>SUM(C13:C25)</f>
        <v>34.16484549417558</v>
      </c>
      <c r="D26" s="127">
        <f t="shared" ref="D26:G26" si="2">SUM(D13:D25)</f>
        <v>34.4472041166811</v>
      </c>
      <c r="E26" s="127">
        <f t="shared" si="2"/>
        <v>19.994581726689095</v>
      </c>
      <c r="F26" s="127">
        <f t="shared" si="2"/>
        <v>36.071600221257306</v>
      </c>
      <c r="G26" s="127">
        <f t="shared" si="2"/>
        <v>3.095612562600162</v>
      </c>
      <c r="H26" s="128">
        <f>SUM(C13:G25)</f>
        <v>127.77384412140322</v>
      </c>
    </row>
  </sheetData>
  <mergeCells count="1">
    <mergeCell ref="A16:A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E37" sqref="E37"/>
    </sheetView>
  </sheetViews>
  <sheetFormatPr baseColWidth="10" defaultRowHeight="12.75" x14ac:dyDescent="0.2"/>
  <cols>
    <col min="1" max="1" width="14.28515625" customWidth="1"/>
    <col min="2" max="2" width="20.28515625" customWidth="1"/>
  </cols>
  <sheetData>
    <row r="1" spans="1:21" x14ac:dyDescent="0.2">
      <c r="A1" s="110">
        <v>2050</v>
      </c>
      <c r="B1" s="107" t="s">
        <v>58</v>
      </c>
      <c r="C1" s="107" t="s">
        <v>71</v>
      </c>
      <c r="D1" s="107" t="s">
        <v>72</v>
      </c>
      <c r="E1" s="107" t="s">
        <v>73</v>
      </c>
      <c r="F1" s="107" t="s">
        <v>74</v>
      </c>
      <c r="G1" s="107" t="s">
        <v>75</v>
      </c>
      <c r="H1" s="107" t="s">
        <v>76</v>
      </c>
      <c r="I1" s="107" t="s">
        <v>77</v>
      </c>
      <c r="J1" s="107" t="s">
        <v>78</v>
      </c>
      <c r="K1" s="107" t="s">
        <v>79</v>
      </c>
      <c r="L1" s="107" t="s">
        <v>80</v>
      </c>
      <c r="M1" s="107" t="s">
        <v>81</v>
      </c>
      <c r="N1" s="107" t="s">
        <v>91</v>
      </c>
      <c r="O1" s="107" t="s">
        <v>83</v>
      </c>
      <c r="P1" s="107" t="s">
        <v>65</v>
      </c>
      <c r="Q1" s="107" t="s">
        <v>57</v>
      </c>
      <c r="R1" s="107" t="s">
        <v>84</v>
      </c>
      <c r="S1" s="107" t="s">
        <v>92</v>
      </c>
      <c r="T1" s="107" t="s">
        <v>47</v>
      </c>
      <c r="U1" s="114" t="s">
        <v>23</v>
      </c>
    </row>
    <row r="2" spans="1:21" x14ac:dyDescent="0.2">
      <c r="A2" s="109" t="s">
        <v>90</v>
      </c>
      <c r="B2" s="311">
        <f>'[1]FLUX 2050'!X43</f>
        <v>0</v>
      </c>
      <c r="C2" s="311"/>
      <c r="D2" s="311"/>
      <c r="E2" s="311"/>
      <c r="F2" s="311">
        <f>'[1]FLUX 2050'!X41</f>
        <v>4.0201856086575631</v>
      </c>
      <c r="G2" s="311"/>
      <c r="H2" s="311"/>
      <c r="I2" s="312" t="e">
        <f>'[1]FLUX 2050'!K24*'[1]FLUX 2050'!X20*(1-L10)</f>
        <v>#DIV/0!</v>
      </c>
      <c r="J2" s="311">
        <f>'[1]FLUX 2050'!X12</f>
        <v>7.7588297049098616</v>
      </c>
      <c r="K2" s="311">
        <f>'[1]FLUX 2050'!X35</f>
        <v>0</v>
      </c>
      <c r="L2" s="311">
        <f>'[1]FLUX 2050'!X29</f>
        <v>0</v>
      </c>
      <c r="M2" s="311">
        <f>'[1]FLUX 2050'!X36</f>
        <v>0</v>
      </c>
      <c r="N2" s="311"/>
      <c r="O2" s="311"/>
      <c r="P2" s="312" t="e">
        <f>'[1]FLUX 2050'!$K$21*'[1]FLUX 2050'!$X$20*(1-L10)+'[1]FLUX 2050'!$X$34</f>
        <v>#DIV/0!</v>
      </c>
      <c r="Q2" s="311">
        <f>'[1]FLUX 2050'!X42</f>
        <v>0</v>
      </c>
      <c r="R2" s="311"/>
      <c r="S2" s="312" t="e">
        <f>('[1]FLUX 2050'!$K$23*(1-$L$10)-'[1]FLUX 2050'!$S$21)*'[1]FLUX 2050'!X20</f>
        <v>#DIV/0!</v>
      </c>
      <c r="T2" s="312" t="e">
        <f>'[1]FLUX 2050'!$K$22*'[1]FLUX 2050'!$X$20*(1-L10)</f>
        <v>#DIV/0!</v>
      </c>
      <c r="U2" s="311" t="e">
        <f>SUM(B2:T2)</f>
        <v>#DIV/0!</v>
      </c>
    </row>
    <row r="3" spans="1:21" x14ac:dyDescent="0.2">
      <c r="A3" s="107" t="s">
        <v>85</v>
      </c>
      <c r="B3" s="311"/>
      <c r="C3" s="311"/>
      <c r="D3" s="311"/>
      <c r="E3" s="311"/>
      <c r="F3" s="311"/>
      <c r="G3" s="311"/>
      <c r="H3" s="311"/>
      <c r="I3" s="312" t="e">
        <f>'[1]FLUX 2050'!K24*'[1]FLUX 2050'!Y20*(1-L10)</f>
        <v>#DIV/0!</v>
      </c>
      <c r="J3" s="311">
        <f>'[1]FLUX 2050'!Y12</f>
        <v>9.4772858964735089</v>
      </c>
      <c r="K3" s="311">
        <f>'[1]FLUX 2050'!Y35</f>
        <v>0.75</v>
      </c>
      <c r="L3" s="311">
        <f>'[1]FLUX 2050'!Y29</f>
        <v>0</v>
      </c>
      <c r="M3" s="311">
        <f>'[1]FLUX 2050'!Y36</f>
        <v>2.3611427691146649</v>
      </c>
      <c r="N3" s="311">
        <f>'[1]FLUX 2050'!Y37</f>
        <v>0</v>
      </c>
      <c r="O3" s="311">
        <f>'[1]FLUX 2050'!Y38</f>
        <v>0</v>
      </c>
      <c r="P3" s="312" t="e">
        <f>'[1]FLUX 2050'!$K$21*'[1]FLUX 2050'!$Y$20*(1-L10)</f>
        <v>#DIV/0!</v>
      </c>
      <c r="Q3" s="311"/>
      <c r="R3" s="311"/>
      <c r="S3" s="312" t="e">
        <f>('[1]FLUX 2050'!$K$23*(1-$L$10)-'[1]FLUX 2050'!$S$21)*'[1]FLUX 2050'!Y20</f>
        <v>#DIV/0!</v>
      </c>
      <c r="T3" s="312" t="e">
        <f>'[1]FLUX 2050'!$K$22*'[1]FLUX 2050'!$Y$20*(1-L10)</f>
        <v>#DIV/0!</v>
      </c>
      <c r="U3" s="311" t="e">
        <f>SUM(B3:T3)</f>
        <v>#DIV/0!</v>
      </c>
    </row>
    <row r="4" spans="1:21" x14ac:dyDescent="0.2">
      <c r="A4" s="107" t="s">
        <v>86</v>
      </c>
      <c r="B4" s="311"/>
      <c r="C4" s="311"/>
      <c r="D4" s="311"/>
      <c r="E4" s="311"/>
      <c r="F4" s="311"/>
      <c r="G4" s="311"/>
      <c r="H4" s="311"/>
      <c r="I4" s="312" t="e">
        <f>'[1]FLUX 2050'!K24*'[1]FLUX 2050'!Z20*(1-L10)</f>
        <v>#DIV/0!</v>
      </c>
      <c r="J4" s="311">
        <f>'[1]FLUX 2050'!Z12</f>
        <v>10.516951892369516</v>
      </c>
      <c r="K4" s="311">
        <f>'[1]FLUX 2050'!Z35</f>
        <v>1.05</v>
      </c>
      <c r="L4" s="311">
        <f>'[1]FLUX 2050'!Z29</f>
        <v>0</v>
      </c>
      <c r="M4" s="311">
        <f>'[1]FLUX 2050'!Z36</f>
        <v>0</v>
      </c>
      <c r="N4" s="311">
        <f>'[1]FLUX 2050'!Z37</f>
        <v>0</v>
      </c>
      <c r="O4" s="311"/>
      <c r="P4" s="312" t="e">
        <f>'[1]FLUX 2050'!$K$21*'[1]FLUX 2050'!$Z$20*(1-L10)</f>
        <v>#DIV/0!</v>
      </c>
      <c r="Q4" s="311"/>
      <c r="R4" s="311"/>
      <c r="S4" s="312" t="e">
        <f>('[1]FLUX 2050'!$K$23*(1-$L$10)-'[1]FLUX 2050'!$S$21)*'[1]FLUX 2050'!Z20</f>
        <v>#DIV/0!</v>
      </c>
      <c r="T4" s="312" t="e">
        <f>'[1]FLUX 2050'!$K$22*'[1]FLUX 2050'!$Z$20*(1-L10)</f>
        <v>#DIV/0!</v>
      </c>
      <c r="U4" s="311" t="e">
        <f>SUM(B4:T4)</f>
        <v>#DIV/0!</v>
      </c>
    </row>
    <row r="5" spans="1:21" x14ac:dyDescent="0.2">
      <c r="A5" s="107" t="s">
        <v>87</v>
      </c>
      <c r="B5" s="311"/>
      <c r="C5" s="311"/>
      <c r="D5" s="311"/>
      <c r="E5" s="311"/>
      <c r="F5" s="311"/>
      <c r="G5" s="311"/>
      <c r="H5" s="311"/>
      <c r="I5" s="312" t="e">
        <f>'[1]FLUX 2050'!K24*'[1]FLUX 2050'!AA20*(1-L10)</f>
        <v>#DIV/0!</v>
      </c>
      <c r="J5" s="311">
        <f>'[1]FLUX 2050'!AA12</f>
        <v>5.1725531366065756</v>
      </c>
      <c r="K5" s="311"/>
      <c r="L5" s="311"/>
      <c r="M5" s="311"/>
      <c r="N5" s="311"/>
      <c r="O5" s="311"/>
      <c r="P5" s="312" t="e">
        <f>'[1]FLUX 2050'!$K$21*'[1]FLUX 2050'!$AA$20*(1-L10)</f>
        <v>#DIV/0!</v>
      </c>
      <c r="Q5" s="311"/>
      <c r="R5" s="311">
        <f>'[1]FLUX 2050'!AA39</f>
        <v>0</v>
      </c>
      <c r="S5" s="312" t="e">
        <f>('[1]FLUX 2050'!$K$23*(1-$L$10)-'[1]FLUX 2050'!$S$21)*'[1]FLUX 2050'!AA20</f>
        <v>#DIV/0!</v>
      </c>
      <c r="T5" s="312" t="e">
        <f>'[1]FLUX 2050'!$K$22*'[1]FLUX 2050'!$AA$20*(1-L10)</f>
        <v>#DIV/0!</v>
      </c>
      <c r="U5" s="311" t="e">
        <f>SUM(B5:T5)</f>
        <v>#DIV/0!</v>
      </c>
    </row>
    <row r="6" spans="1:21" x14ac:dyDescent="0.2">
      <c r="A6" s="107" t="s">
        <v>88</v>
      </c>
      <c r="B6" s="311"/>
      <c r="C6" s="311"/>
      <c r="D6" s="311"/>
      <c r="E6" s="311"/>
      <c r="F6" s="311">
        <f>'[1]FLUX 2050'!W41</f>
        <v>0</v>
      </c>
      <c r="G6" s="311"/>
      <c r="H6" s="311"/>
      <c r="I6" s="312" t="e">
        <f>'[1]FLUX 2050'!K24*'[1]FLUX 2050'!W20*(1-L10)</f>
        <v>#DIV/0!</v>
      </c>
      <c r="J6" s="311">
        <f>'[1]FLUX 2050'!W12</f>
        <v>0.94515090536000534</v>
      </c>
      <c r="K6" s="311">
        <f>'[1]FLUX 2050'!W35</f>
        <v>0</v>
      </c>
      <c r="L6" s="311"/>
      <c r="M6" s="311"/>
      <c r="N6" s="311"/>
      <c r="O6" s="311"/>
      <c r="P6" s="312" t="e">
        <f>'[1]FLUX 2050'!$K$21*'[1]FLUX 2050'!$W$20*(1-L10)</f>
        <v>#DIV/0!</v>
      </c>
      <c r="Q6" s="311"/>
      <c r="R6" s="311">
        <f>'[1]FLUX 2050'!W39</f>
        <v>0.6</v>
      </c>
      <c r="S6" s="312" t="e">
        <f>('[1]FLUX 2050'!$K$23*(1-$L$10)-'[1]FLUX 2050'!$S$21)*'[1]FLUX 2050'!W20</f>
        <v>#DIV/0!</v>
      </c>
      <c r="T6" s="312" t="e">
        <f>'[1]FLUX 2050'!$K$22*'[1]FLUX 2050'!$W$20*(1-L10)</f>
        <v>#DIV/0!</v>
      </c>
      <c r="U6" s="311" t="e">
        <f>SUM(B6:T6)</f>
        <v>#DIV/0!</v>
      </c>
    </row>
    <row r="7" spans="1:21" x14ac:dyDescent="0.2">
      <c r="A7" s="115" t="s">
        <v>23</v>
      </c>
      <c r="B7" s="313">
        <f t="shared" ref="B7:U7" si="0">SUM(B2:B6)</f>
        <v>0</v>
      </c>
      <c r="C7" s="313">
        <f t="shared" si="0"/>
        <v>0</v>
      </c>
      <c r="D7" s="313">
        <f t="shared" si="0"/>
        <v>0</v>
      </c>
      <c r="E7" s="313">
        <f t="shared" si="0"/>
        <v>0</v>
      </c>
      <c r="F7" s="313">
        <f t="shared" si="0"/>
        <v>4.0201856086575631</v>
      </c>
      <c r="G7" s="313">
        <f t="shared" si="0"/>
        <v>0</v>
      </c>
      <c r="H7" s="313">
        <f t="shared" si="0"/>
        <v>0</v>
      </c>
      <c r="I7" s="311" t="e">
        <f t="shared" si="0"/>
        <v>#DIV/0!</v>
      </c>
      <c r="J7" s="313">
        <f t="shared" si="0"/>
        <v>33.870771535719463</v>
      </c>
      <c r="K7" s="313">
        <f t="shared" si="0"/>
        <v>1.8</v>
      </c>
      <c r="L7" s="370">
        <f t="shared" si="0"/>
        <v>0</v>
      </c>
      <c r="M7" s="313">
        <f t="shared" si="0"/>
        <v>2.3611427691146649</v>
      </c>
      <c r="N7" s="313">
        <f t="shared" si="0"/>
        <v>0</v>
      </c>
      <c r="O7" s="313">
        <f t="shared" si="0"/>
        <v>0</v>
      </c>
      <c r="P7" s="311" t="e">
        <f t="shared" si="0"/>
        <v>#DIV/0!</v>
      </c>
      <c r="Q7" s="313">
        <f t="shared" si="0"/>
        <v>0</v>
      </c>
      <c r="R7" s="313">
        <f t="shared" si="0"/>
        <v>0.6</v>
      </c>
      <c r="S7" s="311" t="e">
        <f t="shared" si="0"/>
        <v>#DIV/0!</v>
      </c>
      <c r="T7" s="311" t="e">
        <f t="shared" si="0"/>
        <v>#DIV/0!</v>
      </c>
      <c r="U7" s="371" t="e">
        <f t="shared" si="0"/>
        <v>#DIV/0!</v>
      </c>
    </row>
    <row r="8" spans="1:21" x14ac:dyDescent="0.2">
      <c r="A8" s="108" t="s">
        <v>89</v>
      </c>
      <c r="B8" s="108"/>
      <c r="C8" s="108"/>
      <c r="D8" s="108"/>
      <c r="E8" s="108"/>
      <c r="F8" s="108">
        <v>14.138457641767275</v>
      </c>
      <c r="G8" s="108"/>
      <c r="H8" s="108"/>
      <c r="I8" s="108">
        <v>1.7171168172640674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>
        <v>15.855574459031342</v>
      </c>
    </row>
    <row r="10" spans="1:21" x14ac:dyDescent="0.2">
      <c r="K10" s="295" t="s">
        <v>319</v>
      </c>
      <c r="L10" s="295" t="e">
        <f>'[1]FLUX 2050'!O23/'[1]FLUX 2050'!L21</f>
        <v>#DIV/0!</v>
      </c>
    </row>
    <row r="11" spans="1:21" x14ac:dyDescent="0.2">
      <c r="A11" s="117">
        <v>2050</v>
      </c>
    </row>
    <row r="12" spans="1:21" x14ac:dyDescent="0.2">
      <c r="C12" s="106" t="s">
        <v>90</v>
      </c>
      <c r="D12" s="106" t="s">
        <v>96</v>
      </c>
      <c r="E12" s="106" t="s">
        <v>86</v>
      </c>
      <c r="F12" s="106" t="s">
        <v>87</v>
      </c>
      <c r="G12" s="106" t="s">
        <v>88</v>
      </c>
      <c r="H12" s="132" t="s">
        <v>104</v>
      </c>
      <c r="L12" s="311"/>
    </row>
    <row r="13" spans="1:21" x14ac:dyDescent="0.2">
      <c r="A13" s="129" t="s">
        <v>103</v>
      </c>
      <c r="B13" s="121" t="s">
        <v>101</v>
      </c>
      <c r="C13" s="107">
        <f>J2</f>
        <v>7.7588297049098616</v>
      </c>
      <c r="D13" s="107">
        <f>J3</f>
        <v>9.4772858964735089</v>
      </c>
      <c r="E13" s="107">
        <f>J4</f>
        <v>10.516951892369516</v>
      </c>
      <c r="F13" s="107">
        <f>J5</f>
        <v>5.1725531366065756</v>
      </c>
      <c r="G13" s="107">
        <f>J6</f>
        <v>0.94515090536000534</v>
      </c>
      <c r="H13" s="127">
        <f>SUM(C13:G13)</f>
        <v>33.870771535719463</v>
      </c>
    </row>
    <row r="14" spans="1:21" x14ac:dyDescent="0.2">
      <c r="A14" s="130" t="s">
        <v>102</v>
      </c>
      <c r="B14" s="120" t="s">
        <v>100</v>
      </c>
      <c r="C14" s="311" t="e">
        <f>I2+P2-C16+S2+T2</f>
        <v>#DIV/0!</v>
      </c>
      <c r="D14" s="311" t="e">
        <f>I3+P3+S3+T3</f>
        <v>#DIV/0!</v>
      </c>
      <c r="E14" s="311" t="e">
        <f>I4+P4+S4+T4</f>
        <v>#DIV/0!</v>
      </c>
      <c r="F14" s="311" t="e">
        <f>I5+P5+S5+T5</f>
        <v>#DIV/0!</v>
      </c>
      <c r="G14" s="311" t="e">
        <f>I6+P6+S6+T6</f>
        <v>#DIV/0!</v>
      </c>
      <c r="H14" s="127" t="e">
        <f t="shared" ref="H14:H25" si="1">SUM(C14:G14)</f>
        <v>#DIV/0!</v>
      </c>
    </row>
    <row r="15" spans="1:21" x14ac:dyDescent="0.2">
      <c r="A15" s="131" t="s">
        <v>102</v>
      </c>
      <c r="B15" s="119" t="s">
        <v>99</v>
      </c>
      <c r="C15" s="107">
        <f>L2</f>
        <v>0</v>
      </c>
      <c r="D15" s="107">
        <f>L3</f>
        <v>0</v>
      </c>
      <c r="E15" s="107">
        <f>L4</f>
        <v>0</v>
      </c>
      <c r="F15" s="107">
        <f>L5</f>
        <v>0</v>
      </c>
      <c r="G15" s="107">
        <f>L6</f>
        <v>0</v>
      </c>
      <c r="H15" s="127">
        <f t="shared" si="1"/>
        <v>0</v>
      </c>
    </row>
    <row r="16" spans="1:21" x14ac:dyDescent="0.2">
      <c r="A16" s="459" t="s">
        <v>98</v>
      </c>
      <c r="B16" s="122" t="s">
        <v>97</v>
      </c>
      <c r="C16" s="107">
        <f>'[1]FLUX 2050'!X34</f>
        <v>0.49</v>
      </c>
      <c r="D16" s="107">
        <v>0</v>
      </c>
      <c r="E16" s="107">
        <v>0</v>
      </c>
      <c r="F16" s="107">
        <v>0</v>
      </c>
      <c r="G16" s="107">
        <v>0</v>
      </c>
      <c r="H16" s="127">
        <f>SUM(C16:G16)</f>
        <v>0.49</v>
      </c>
    </row>
    <row r="17" spans="1:8" x14ac:dyDescent="0.2">
      <c r="A17" s="460"/>
      <c r="B17" s="122" t="s">
        <v>42</v>
      </c>
      <c r="C17" s="107">
        <f>K2</f>
        <v>0</v>
      </c>
      <c r="D17" s="107">
        <f>K3</f>
        <v>0.75</v>
      </c>
      <c r="E17" s="107">
        <f>K4</f>
        <v>1.05</v>
      </c>
      <c r="F17" s="107">
        <f>K5</f>
        <v>0</v>
      </c>
      <c r="G17" s="107">
        <f>K6</f>
        <v>0</v>
      </c>
      <c r="H17" s="127">
        <f t="shared" si="1"/>
        <v>1.8</v>
      </c>
    </row>
    <row r="18" spans="1:8" x14ac:dyDescent="0.2">
      <c r="A18" s="460"/>
      <c r="B18" s="122" t="s">
        <v>50</v>
      </c>
      <c r="C18" s="107">
        <f>M2</f>
        <v>0</v>
      </c>
      <c r="D18" s="107">
        <f>M3</f>
        <v>2.3611427691146649</v>
      </c>
      <c r="E18" s="107">
        <f>M4</f>
        <v>0</v>
      </c>
      <c r="F18" s="107">
        <f>M5</f>
        <v>0</v>
      </c>
      <c r="G18" s="107">
        <f>M6</f>
        <v>0</v>
      </c>
      <c r="H18" s="127">
        <f t="shared" si="1"/>
        <v>2.3611427691146649</v>
      </c>
    </row>
    <row r="19" spans="1:8" x14ac:dyDescent="0.2">
      <c r="A19" s="460"/>
      <c r="B19" s="122" t="s">
        <v>52</v>
      </c>
      <c r="C19" s="107">
        <f>N2</f>
        <v>0</v>
      </c>
      <c r="D19" s="107">
        <f>N3</f>
        <v>0</v>
      </c>
      <c r="E19" s="107">
        <f>N4</f>
        <v>0</v>
      </c>
      <c r="F19" s="107">
        <f>N5</f>
        <v>0</v>
      </c>
      <c r="G19" s="107">
        <f>N6</f>
        <v>0</v>
      </c>
      <c r="H19" s="127">
        <f t="shared" si="1"/>
        <v>0</v>
      </c>
    </row>
    <row r="20" spans="1:8" x14ac:dyDescent="0.2">
      <c r="A20" s="460"/>
      <c r="B20" s="122" t="s">
        <v>53</v>
      </c>
      <c r="C20" s="107">
        <f>O2</f>
        <v>0</v>
      </c>
      <c r="D20" s="107">
        <f>O3</f>
        <v>0</v>
      </c>
      <c r="E20" s="107">
        <f>O4</f>
        <v>0</v>
      </c>
      <c r="F20" s="107">
        <f>O5</f>
        <v>0</v>
      </c>
      <c r="G20" s="107">
        <f>O6</f>
        <v>0</v>
      </c>
      <c r="H20" s="127">
        <f t="shared" si="1"/>
        <v>0</v>
      </c>
    </row>
    <row r="21" spans="1:8" x14ac:dyDescent="0.2">
      <c r="A21" s="460"/>
      <c r="B21" s="122" t="s">
        <v>54</v>
      </c>
      <c r="C21" s="107">
        <f>R2</f>
        <v>0</v>
      </c>
      <c r="D21" s="107">
        <f>R3</f>
        <v>0</v>
      </c>
      <c r="E21" s="107">
        <f>R4</f>
        <v>0</v>
      </c>
      <c r="F21" s="107">
        <f>R5</f>
        <v>0</v>
      </c>
      <c r="G21" s="107">
        <f>R6</f>
        <v>0.6</v>
      </c>
      <c r="H21" s="127">
        <f t="shared" si="1"/>
        <v>0.6</v>
      </c>
    </row>
    <row r="22" spans="1:8" x14ac:dyDescent="0.2">
      <c r="A22" s="460"/>
      <c r="B22" s="122" t="s">
        <v>55</v>
      </c>
      <c r="C22" s="107">
        <f>D2+E2</f>
        <v>0</v>
      </c>
      <c r="D22" s="107">
        <f>D3+E3</f>
        <v>0</v>
      </c>
      <c r="E22" s="107">
        <f>D4+E4</f>
        <v>0</v>
      </c>
      <c r="F22" s="107">
        <f>D5+E5+G5</f>
        <v>0</v>
      </c>
      <c r="G22" s="107">
        <f>D6+E6</f>
        <v>0</v>
      </c>
      <c r="H22" s="127">
        <f t="shared" si="1"/>
        <v>0</v>
      </c>
    </row>
    <row r="23" spans="1:8" x14ac:dyDescent="0.2">
      <c r="A23" s="460"/>
      <c r="B23" s="122" t="s">
        <v>56</v>
      </c>
      <c r="C23" s="107">
        <f>C2+F2+H2</f>
        <v>4.0201856086575631</v>
      </c>
      <c r="D23" s="107">
        <f>C3+F3+H3</f>
        <v>0</v>
      </c>
      <c r="E23" s="107">
        <f>C4+F4+H4</f>
        <v>0</v>
      </c>
      <c r="F23" s="107">
        <f>C5+F5+H5</f>
        <v>0</v>
      </c>
      <c r="G23" s="107">
        <f>C6+F6+H6</f>
        <v>0</v>
      </c>
      <c r="H23" s="127">
        <f t="shared" si="1"/>
        <v>4.0201856086575631</v>
      </c>
    </row>
    <row r="24" spans="1:8" x14ac:dyDescent="0.2">
      <c r="A24" s="460"/>
      <c r="B24" s="122" t="s">
        <v>57</v>
      </c>
      <c r="C24" s="107">
        <f>Q2</f>
        <v>0</v>
      </c>
      <c r="D24" s="107">
        <f>Q3</f>
        <v>0</v>
      </c>
      <c r="E24" s="107">
        <f>Q4</f>
        <v>0</v>
      </c>
      <c r="F24" s="107">
        <f>Q5</f>
        <v>0</v>
      </c>
      <c r="G24" s="107">
        <f>Q6</f>
        <v>0</v>
      </c>
      <c r="H24" s="127">
        <f t="shared" si="1"/>
        <v>0</v>
      </c>
    </row>
    <row r="25" spans="1:8" x14ac:dyDescent="0.2">
      <c r="A25" s="460"/>
      <c r="B25" s="122" t="s">
        <v>58</v>
      </c>
      <c r="C25" s="107">
        <f>B2</f>
        <v>0</v>
      </c>
      <c r="D25" s="107">
        <f>B3</f>
        <v>0</v>
      </c>
      <c r="E25" s="107">
        <f>B4</f>
        <v>0</v>
      </c>
      <c r="F25" s="107">
        <f>B5</f>
        <v>0</v>
      </c>
      <c r="G25" s="107">
        <f>B6</f>
        <v>0</v>
      </c>
      <c r="H25" s="127">
        <f t="shared" si="1"/>
        <v>0</v>
      </c>
    </row>
    <row r="26" spans="1:8" x14ac:dyDescent="0.2">
      <c r="B26" s="132" t="s">
        <v>105</v>
      </c>
      <c r="C26" s="127" t="e">
        <f>SUM(C13:C25)</f>
        <v>#DIV/0!</v>
      </c>
      <c r="D26" s="127" t="e">
        <f t="shared" ref="D26:G26" si="2">SUM(D13:D25)</f>
        <v>#DIV/0!</v>
      </c>
      <c r="E26" s="127" t="e">
        <f t="shared" si="2"/>
        <v>#DIV/0!</v>
      </c>
      <c r="F26" s="127" t="e">
        <f t="shared" si="2"/>
        <v>#DIV/0!</v>
      </c>
      <c r="G26" s="127" t="e">
        <f t="shared" si="2"/>
        <v>#DIV/0!</v>
      </c>
      <c r="H26" s="128" t="e">
        <f>SUM(C13:G25)</f>
        <v>#DIV/0!</v>
      </c>
    </row>
  </sheetData>
  <mergeCells count="1">
    <mergeCell ref="A16:A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B22" sqref="B22"/>
    </sheetView>
  </sheetViews>
  <sheetFormatPr baseColWidth="10" defaultRowHeight="12.75" x14ac:dyDescent="0.2"/>
  <cols>
    <col min="2" max="2" width="24.7109375" bestFit="1" customWidth="1"/>
    <col min="4" max="4" width="7.140625" customWidth="1"/>
    <col min="6" max="6" width="14" customWidth="1"/>
    <col min="7" max="7" width="13.5703125" bestFit="1" customWidth="1"/>
    <col min="9" max="9" width="2.7109375" customWidth="1"/>
    <col min="10" max="10" width="2.42578125" style="124" customWidth="1"/>
    <col min="12" max="12" width="22.28515625" customWidth="1"/>
    <col min="14" max="14" width="7.42578125" customWidth="1"/>
  </cols>
  <sheetData>
    <row r="1" spans="1:18" ht="13.5" thickBot="1" x14ac:dyDescent="0.25"/>
    <row r="2" spans="1:18" ht="13.5" thickBot="1" x14ac:dyDescent="0.25">
      <c r="C2" s="463">
        <v>2030</v>
      </c>
      <c r="D2" s="464"/>
      <c r="E2" s="465"/>
      <c r="N2" s="478">
        <v>2050</v>
      </c>
      <c r="O2" s="479"/>
      <c r="P2" s="480"/>
    </row>
    <row r="4" spans="1:18" x14ac:dyDescent="0.2">
      <c r="A4" s="461" t="s">
        <v>62</v>
      </c>
      <c r="B4" s="462"/>
      <c r="C4" s="462"/>
      <c r="E4" s="477" t="s">
        <v>106</v>
      </c>
      <c r="F4" s="477"/>
      <c r="G4" s="477"/>
      <c r="H4" s="477"/>
      <c r="K4" s="461" t="s">
        <v>62</v>
      </c>
      <c r="L4" s="462"/>
      <c r="M4" s="462"/>
      <c r="O4" s="477" t="s">
        <v>106</v>
      </c>
      <c r="P4" s="477"/>
      <c r="Q4" s="477"/>
      <c r="R4" s="477"/>
    </row>
    <row r="5" spans="1:18" x14ac:dyDescent="0.2">
      <c r="A5" s="89" t="s">
        <v>23</v>
      </c>
      <c r="B5" s="89"/>
      <c r="C5" s="102">
        <f>'[1]FLUX 2030'!C5</f>
        <v>185.46950727357458</v>
      </c>
      <c r="E5" s="472" t="s">
        <v>28</v>
      </c>
      <c r="F5" s="133" t="s">
        <v>36</v>
      </c>
      <c r="G5" s="134">
        <f>'[1]FLUX 2030'!K7*'[1]FLUX 2030'!$T$7/'[1]FLUX 2030'!$N$7</f>
        <v>8.2575965263317919</v>
      </c>
      <c r="H5" s="469">
        <f>SUM(G5:G15)</f>
        <v>36.212356365950583</v>
      </c>
      <c r="K5" s="89" t="s">
        <v>23</v>
      </c>
      <c r="L5" s="89"/>
      <c r="M5" s="91">
        <f>'[1]FLUX 2050'!C5</f>
        <v>103.36836145177814</v>
      </c>
      <c r="O5" s="472" t="s">
        <v>28</v>
      </c>
      <c r="P5" s="133" t="s">
        <v>36</v>
      </c>
      <c r="Q5" s="134">
        <f>'[1]FLUX 2050'!K7*'[1]FLUX 2050'!$T$7/'[1]FLUX 2050'!$L$7</f>
        <v>15.995260663659252</v>
      </c>
      <c r="R5" s="469">
        <f>SUM(Q5:Q15)</f>
        <v>38.200410673162899</v>
      </c>
    </row>
    <row r="6" spans="1:18" x14ac:dyDescent="0.2">
      <c r="A6" s="89"/>
      <c r="B6" s="89"/>
      <c r="C6" s="89"/>
      <c r="E6" s="473"/>
      <c r="F6" s="133" t="s">
        <v>37</v>
      </c>
      <c r="G6" s="134">
        <f>'[1]FLUX 2030'!K8*'[1]FLUX 2030'!$T$7/'[1]FLUX 2030'!$N$7</f>
        <v>4.6849246042671675</v>
      </c>
      <c r="H6" s="470"/>
      <c r="K6" s="89"/>
      <c r="L6" s="89"/>
      <c r="M6" s="89"/>
      <c r="O6" s="473"/>
      <c r="P6" s="133" t="s">
        <v>37</v>
      </c>
      <c r="Q6" s="134">
        <f>'[1]FLUX 2050'!K8*'[1]FLUX 2050'!$T$7/'[1]FLUX 2050'!$L$7</f>
        <v>4.2340109337017866</v>
      </c>
      <c r="R6" s="470"/>
    </row>
    <row r="7" spans="1:18" x14ac:dyDescent="0.2">
      <c r="A7" s="89" t="s">
        <v>63</v>
      </c>
      <c r="B7" s="89" t="s">
        <v>64</v>
      </c>
      <c r="C7" s="92">
        <f>'[1]FLUX 2030'!C7</f>
        <v>17.790614390095044</v>
      </c>
      <c r="E7" s="473"/>
      <c r="F7" s="133" t="s">
        <v>38</v>
      </c>
      <c r="G7" s="134">
        <f>'[1]FLUX 2030'!K9*'[1]FLUX 2030'!$T$7/'[1]FLUX 2030'!$N$7</f>
        <v>4.1622288667514376</v>
      </c>
      <c r="H7" s="470"/>
      <c r="K7" s="89" t="s">
        <v>63</v>
      </c>
      <c r="L7" s="89" t="s">
        <v>64</v>
      </c>
      <c r="M7" s="92">
        <f>'[1]FLUX 2050'!C7</f>
        <v>22.223518090888057</v>
      </c>
      <c r="O7" s="473"/>
      <c r="P7" s="133" t="s">
        <v>38</v>
      </c>
      <c r="Q7" s="134">
        <f>'[1]FLUX 2050'!K9*'[1]FLUX 2050'!$T$7/'[1]FLUX 2050'!$L$7</f>
        <v>8.3482380713863513</v>
      </c>
      <c r="R7" s="470"/>
    </row>
    <row r="8" spans="1:18" x14ac:dyDescent="0.2">
      <c r="A8" s="89"/>
      <c r="B8" s="89" t="s">
        <v>36</v>
      </c>
      <c r="C8" s="92">
        <f>'[1]FLUX 2030'!C8</f>
        <v>9.8811809465741511</v>
      </c>
      <c r="E8" s="473"/>
      <c r="F8" s="133" t="s">
        <v>39</v>
      </c>
      <c r="G8" s="134">
        <f>'[1]FLUX 2030'!K10*'[1]FLUX 2030'!$T$7/'[1]FLUX 2030'!$N$7</f>
        <v>15.686489003371268</v>
      </c>
      <c r="H8" s="470"/>
      <c r="K8" s="89"/>
      <c r="L8" s="89" t="s">
        <v>36</v>
      </c>
      <c r="M8" s="92">
        <f>'[1]FLUX 2050'!C8</f>
        <v>19.904163043287927</v>
      </c>
      <c r="O8" s="473"/>
      <c r="P8" s="133" t="s">
        <v>39</v>
      </c>
      <c r="Q8" s="134">
        <f>'[1]FLUX 2050'!K10*'[1]FLUX 2050'!$T$7/'[1]FLUX 2050'!$L$7</f>
        <v>0</v>
      </c>
      <c r="R8" s="470"/>
    </row>
    <row r="9" spans="1:18" x14ac:dyDescent="0.2">
      <c r="A9" s="89"/>
      <c r="B9" s="89" t="s">
        <v>65</v>
      </c>
      <c r="C9" s="92">
        <f>'[1]FLUX 2030'!C9</f>
        <v>5.2402783603977552</v>
      </c>
      <c r="E9" s="473"/>
      <c r="F9" s="133" t="s">
        <v>40</v>
      </c>
      <c r="G9" s="134">
        <f>'[1]FLUX 2030'!K11*'[1]FLUX 2030'!$T$7/'[1]FLUX 2030'!$N$7</f>
        <v>0.32342427867404649</v>
      </c>
      <c r="H9" s="470"/>
      <c r="K9" s="89"/>
      <c r="L9" s="89" t="s">
        <v>65</v>
      </c>
      <c r="M9" s="92">
        <f>'[1]FLUX 2050'!C9</f>
        <v>8.7049110195726911</v>
      </c>
      <c r="O9" s="473"/>
      <c r="P9" s="133" t="s">
        <v>40</v>
      </c>
      <c r="Q9" s="134">
        <f>'[1]FLUX 2050'!K11*'[1]FLUX 2050'!$T$7/'[1]FLUX 2050'!$L$7</f>
        <v>0.55494523874092228</v>
      </c>
      <c r="R9" s="470"/>
    </row>
    <row r="10" spans="1:18" x14ac:dyDescent="0.2">
      <c r="A10" s="89"/>
      <c r="B10" s="89" t="s">
        <v>43</v>
      </c>
      <c r="C10" s="92">
        <f>'[1]FLUX 2030'!C10</f>
        <v>2.9728770060540635</v>
      </c>
      <c r="E10" s="473"/>
      <c r="F10" s="133" t="s">
        <v>41</v>
      </c>
      <c r="G10" s="134">
        <f>'[1]FLUX 2030'!K12*'[1]FLUX 2030'!$T$7/'[1]FLUX 2030'!$N$7</f>
        <v>0.20708843972809998</v>
      </c>
      <c r="H10" s="470"/>
      <c r="K10" s="89"/>
      <c r="L10" s="89" t="s">
        <v>43</v>
      </c>
      <c r="M10" s="92">
        <f>'[1]FLUX 2050'!C10</f>
        <v>5.1170360000000015</v>
      </c>
      <c r="O10" s="473"/>
      <c r="P10" s="133" t="s">
        <v>41</v>
      </c>
      <c r="Q10" s="134">
        <f>'[1]FLUX 2050'!K12*'[1]FLUX 2050'!$T$7/'[1]FLUX 2050'!$L$7</f>
        <v>0.25972111039387086</v>
      </c>
      <c r="R10" s="470"/>
    </row>
    <row r="11" spans="1:18" x14ac:dyDescent="0.2">
      <c r="A11" s="89"/>
      <c r="B11" s="89" t="s">
        <v>37</v>
      </c>
      <c r="C11" s="92">
        <f>'[1]FLUX 2030'!C11</f>
        <v>5.6060607451821554</v>
      </c>
      <c r="E11" s="473"/>
      <c r="F11" s="133" t="s">
        <v>42</v>
      </c>
      <c r="G11" s="134">
        <f>'[1]FLUX 2030'!K13*'[1]FLUX 2030'!$T$7/'[1]FLUX 2030'!$N$7</f>
        <v>0.83563265207844206</v>
      </c>
      <c r="H11" s="470"/>
      <c r="K11" s="89"/>
      <c r="L11" s="89" t="s">
        <v>37</v>
      </c>
      <c r="M11" s="92">
        <f>'[1]FLUX 2050'!C11</f>
        <v>5.268713384767346</v>
      </c>
      <c r="O11" s="473"/>
      <c r="P11" s="133" t="s">
        <v>42</v>
      </c>
      <c r="Q11" s="134">
        <f>'[1]FLUX 2050'!K13*'[1]FLUX 2050'!$T$7/'[1]FLUX 2050'!$L$7</f>
        <v>1.6105206638755174</v>
      </c>
      <c r="R11" s="470"/>
    </row>
    <row r="12" spans="1:18" x14ac:dyDescent="0.2">
      <c r="A12" s="89"/>
      <c r="B12" s="89" t="s">
        <v>38</v>
      </c>
      <c r="C12" s="92">
        <f>'[1]FLUX 2030'!C12</f>
        <v>4.9805941041412307</v>
      </c>
      <c r="E12" s="473"/>
      <c r="F12" s="133" t="s">
        <v>43</v>
      </c>
      <c r="G12" s="134">
        <f>'[1]FLUX 2030'!K14*'[1]FLUX 2030'!$T$7/'[1]FLUX 2030'!$N$7</f>
        <v>3.9517822249050386E-2</v>
      </c>
      <c r="H12" s="470"/>
      <c r="K12" s="89"/>
      <c r="L12" s="89" t="s">
        <v>38</v>
      </c>
      <c r="M12" s="92">
        <f>'[1]FLUX 2050'!C12</f>
        <v>10.388370354887599</v>
      </c>
      <c r="O12" s="473"/>
      <c r="P12" s="133" t="s">
        <v>43</v>
      </c>
      <c r="Q12" s="134">
        <f>'[1]FLUX 2050'!K14*'[1]FLUX 2050'!$T$7/'[1]FLUX 2050'!$L$7</f>
        <v>8.1730419354714631E-2</v>
      </c>
      <c r="R12" s="470"/>
    </row>
    <row r="13" spans="1:18" x14ac:dyDescent="0.2">
      <c r="A13" s="89"/>
      <c r="B13" s="89" t="s">
        <v>107</v>
      </c>
      <c r="C13" s="92">
        <f>'[1]FLUX 2030'!C13</f>
        <v>3</v>
      </c>
      <c r="E13" s="473"/>
      <c r="F13" s="133" t="s">
        <v>44</v>
      </c>
      <c r="G13" s="134">
        <f>'[1]FLUX 2030'!K15*'[1]FLUX 2030'!$T$7/'[1]FLUX 2030'!$N$7</f>
        <v>0.81224017147933136</v>
      </c>
      <c r="H13" s="470"/>
      <c r="K13" s="89"/>
      <c r="L13" s="89" t="s">
        <v>107</v>
      </c>
      <c r="M13" s="92">
        <f>'[1]FLUX 2050'!C13</f>
        <v>2.9995839860144065</v>
      </c>
      <c r="O13" s="473"/>
      <c r="P13" s="133" t="s">
        <v>44</v>
      </c>
      <c r="Q13" s="134">
        <f>'[1]FLUX 2050'!K15*'[1]FLUX 2050'!$T$7/'[1]FLUX 2050'!$L$7</f>
        <v>1.6696956951909989</v>
      </c>
      <c r="R13" s="470"/>
    </row>
    <row r="14" spans="1:18" x14ac:dyDescent="0.2">
      <c r="A14" s="89"/>
      <c r="B14" s="89" t="s">
        <v>66</v>
      </c>
      <c r="C14" s="92">
        <f>'[1]FLUX 2030'!C14</f>
        <v>1.8351839637785343</v>
      </c>
      <c r="E14" s="473"/>
      <c r="F14" s="133" t="s">
        <v>45</v>
      </c>
      <c r="G14" s="134">
        <f>'[1]FLUX 2030'!K16*'[1]FLUX 2030'!$T$7/'[1]FLUX 2030'!$N$7</f>
        <v>3.8330302508137279E-55</v>
      </c>
      <c r="H14" s="470"/>
      <c r="K14" s="89"/>
      <c r="L14" s="89" t="s">
        <v>66</v>
      </c>
      <c r="M14" s="92">
        <f>'[1]FLUX 2050'!C14</f>
        <v>2.3611427691146649</v>
      </c>
      <c r="O14" s="473"/>
      <c r="P14" s="133" t="s">
        <v>45</v>
      </c>
      <c r="Q14" s="134">
        <f>'[1]FLUX 2050'!K16*'[1]FLUX 2050'!$T$7/'[1]FLUX 2050'!$L$7</f>
        <v>0</v>
      </c>
      <c r="R14" s="470"/>
    </row>
    <row r="15" spans="1:18" x14ac:dyDescent="0.2">
      <c r="A15" s="89"/>
      <c r="B15" s="89" t="s">
        <v>50</v>
      </c>
      <c r="C15" s="92">
        <f>'[1]FLUX 2030'!C15</f>
        <v>0.9710985890996503</v>
      </c>
      <c r="E15" s="474"/>
      <c r="F15" s="133" t="s">
        <v>46</v>
      </c>
      <c r="G15" s="134">
        <f>'[1]FLUX 2030'!K19*'[1]FLUX 2030'!$T$7/'[1]FLUX 2030'!$N$7</f>
        <v>1.2032140010199464</v>
      </c>
      <c r="H15" s="471"/>
      <c r="K15" s="89"/>
      <c r="L15" s="89" t="s">
        <v>50</v>
      </c>
      <c r="M15" s="92">
        <f>'[1]FLUX 2050'!C15</f>
        <v>1.8119253317839281</v>
      </c>
      <c r="O15" s="474"/>
      <c r="P15" s="133" t="s">
        <v>46</v>
      </c>
      <c r="Q15" s="134">
        <f>'[1]FLUX 2050'!K19*'[1]FLUX 2050'!$T$7/'[1]FLUX 2050'!$L$7</f>
        <v>5.4462878768594774</v>
      </c>
      <c r="R15" s="471"/>
    </row>
    <row r="16" spans="1:18" x14ac:dyDescent="0.2">
      <c r="A16" s="89"/>
      <c r="B16" s="89" t="s">
        <v>57</v>
      </c>
      <c r="C16" s="92">
        <f>'[1]FLUX 2030'!C16</f>
        <v>1.4764726960921883</v>
      </c>
      <c r="E16" s="133"/>
      <c r="F16" s="133"/>
      <c r="G16" s="135"/>
      <c r="H16" s="135"/>
      <c r="K16" s="89"/>
      <c r="L16" s="89" t="s">
        <v>57</v>
      </c>
      <c r="M16" s="92">
        <f>'[1]FLUX 2050'!C16</f>
        <v>1.5992791903454238</v>
      </c>
      <c r="O16" s="133"/>
      <c r="P16" s="133"/>
      <c r="Q16" s="135"/>
      <c r="R16" s="135"/>
    </row>
    <row r="17" spans="1:18" x14ac:dyDescent="0.2">
      <c r="A17" s="89"/>
      <c r="B17" s="89" t="s">
        <v>67</v>
      </c>
      <c r="C17" s="92">
        <f>'[1]FLUX 2030'!C17</f>
        <v>0.97194045275411034</v>
      </c>
      <c r="E17" s="466" t="s">
        <v>26</v>
      </c>
      <c r="F17" s="133" t="s">
        <v>40</v>
      </c>
      <c r="G17" s="149">
        <f>'[1]FLUX 2030'!K21*'[1]FLUX 2030'!$T$21/'[1]FLUX 2030'!$N$21</f>
        <v>3.0482332330464668</v>
      </c>
      <c r="H17" s="475">
        <f>SUM(G17:G20)</f>
        <v>21.503648613169407</v>
      </c>
      <c r="K17" s="89"/>
      <c r="L17" s="89" t="s">
        <v>67</v>
      </c>
      <c r="M17" s="92">
        <f>'[1]FLUX 2050'!C19</f>
        <v>0</v>
      </c>
      <c r="O17" s="466" t="s">
        <v>26</v>
      </c>
      <c r="P17" s="133" t="s">
        <v>40</v>
      </c>
      <c r="Q17" s="134" t="e">
        <f>'[1]FLUX 2050'!K21*'[1]FLUX 2050'!$T$21/'[1]FLUX 2050'!$L$21</f>
        <v>#DIV/0!</v>
      </c>
      <c r="R17" s="469" t="e">
        <f>SUM(Q17:Q20)</f>
        <v>#DIV/0!</v>
      </c>
    </row>
    <row r="18" spans="1:18" x14ac:dyDescent="0.2">
      <c r="A18" s="89"/>
      <c r="B18" s="89"/>
      <c r="C18" s="89"/>
      <c r="E18" s="467"/>
      <c r="F18" s="133" t="s">
        <v>47</v>
      </c>
      <c r="G18" s="149">
        <f>'[1]FLUX 2030'!K22*'[1]FLUX 2030'!$T$21/'[1]FLUX 2030'!$N$21</f>
        <v>0</v>
      </c>
      <c r="H18" s="415"/>
      <c r="K18" s="89"/>
      <c r="L18" s="89"/>
      <c r="M18" s="89"/>
      <c r="O18" s="467"/>
      <c r="P18" s="133" t="s">
        <v>47</v>
      </c>
      <c r="Q18" s="134" t="e">
        <f>'[1]FLUX 2050'!K22*'[1]FLUX 2050'!$T$21/'[1]FLUX 2050'!$L$21</f>
        <v>#DIV/0!</v>
      </c>
      <c r="R18" s="470"/>
    </row>
    <row r="19" spans="1:18" x14ac:dyDescent="0.2">
      <c r="A19" s="89" t="s">
        <v>68</v>
      </c>
      <c r="B19" s="89" t="s">
        <v>39</v>
      </c>
      <c r="C19" s="92">
        <f>'[1]FLUX 2030'!C19</f>
        <v>56.880971161190033</v>
      </c>
      <c r="E19" s="467"/>
      <c r="F19" s="133" t="s">
        <v>48</v>
      </c>
      <c r="G19" s="149">
        <f>'[1]FLUX 2030'!K23*'[1]FLUX 2030'!$T$21/'[1]FLUX 2030'!$N$21</f>
        <v>1.2334489182968968</v>
      </c>
      <c r="H19" s="415"/>
      <c r="K19" s="89" t="s">
        <v>68</v>
      </c>
      <c r="L19" s="89" t="s">
        <v>39</v>
      </c>
      <c r="M19" s="92">
        <f>'[1]FLUX 2050'!C21</f>
        <v>5.9074343177858619</v>
      </c>
      <c r="O19" s="467"/>
      <c r="P19" s="133" t="s">
        <v>48</v>
      </c>
      <c r="Q19" s="134" t="e">
        <f>'[1]FLUX 2050'!K23*'[1]FLUX 2050'!$T$21/'[1]FLUX 2050'!$L$21</f>
        <v>#DIV/0!</v>
      </c>
      <c r="R19" s="470"/>
    </row>
    <row r="20" spans="1:18" x14ac:dyDescent="0.2">
      <c r="A20" s="89"/>
      <c r="B20" s="89" t="s">
        <v>49</v>
      </c>
      <c r="C20" s="92">
        <f>'[1]FLUX 2030'!C20</f>
        <v>21.764525227351164</v>
      </c>
      <c r="E20" s="468"/>
      <c r="F20" s="133" t="s">
        <v>49</v>
      </c>
      <c r="G20" s="149">
        <f>'[1]FLUX 2030'!K24*'[1]FLUX 2030'!$T$21/'[1]FLUX 2030'!$N$21</f>
        <v>17.221966461826042</v>
      </c>
      <c r="H20" s="476"/>
      <c r="K20" s="89"/>
      <c r="L20" s="89" t="s">
        <v>49</v>
      </c>
      <c r="M20" s="92">
        <f>'[1]FLUX 2050'!C22</f>
        <v>4.0201856086575631</v>
      </c>
      <c r="O20" s="468"/>
      <c r="P20" s="133" t="s">
        <v>49</v>
      </c>
      <c r="Q20" s="134" t="e">
        <f>'[1]FLUX 2050'!K24*'[1]FLUX 2050'!$T$21/'[1]FLUX 2050'!$L$21</f>
        <v>#DIV/0!</v>
      </c>
      <c r="R20" s="471"/>
    </row>
    <row r="21" spans="1:18" x14ac:dyDescent="0.2">
      <c r="A21" s="89"/>
      <c r="B21" s="89" t="s">
        <v>69</v>
      </c>
      <c r="C21" s="92">
        <f>'[1]FLUX 2030'!C21</f>
        <v>42.902964288492512</v>
      </c>
      <c r="E21" s="133"/>
      <c r="F21" s="133"/>
      <c r="G21" s="135"/>
      <c r="H21" s="135"/>
      <c r="K21" s="89"/>
      <c r="L21" s="89" t="s">
        <v>69</v>
      </c>
      <c r="M21" s="92">
        <f>'[1]FLUX 2050'!C23</f>
        <v>1.5992791903454238</v>
      </c>
      <c r="O21" s="133"/>
      <c r="P21" s="133"/>
      <c r="Q21" s="135"/>
      <c r="R21" s="135"/>
    </row>
    <row r="22" spans="1:18" x14ac:dyDescent="0.2">
      <c r="A22" s="89"/>
      <c r="B22" s="89" t="s">
        <v>58</v>
      </c>
      <c r="C22" s="92">
        <f>'[1]FLUX 2030'!C22</f>
        <v>7.718272646279785</v>
      </c>
      <c r="E22" s="481" t="s">
        <v>27</v>
      </c>
      <c r="F22" s="133" t="s">
        <v>40</v>
      </c>
      <c r="G22" s="134">
        <f>'[1]FLUX 2030'!G26*'[1]FLUX 2030'!$T$26/'[1]FLUX 2030'!$H$26</f>
        <v>0.28599137019409193</v>
      </c>
      <c r="H22" s="469">
        <f>SUM(G22:G28)</f>
        <v>6.3485925652398114</v>
      </c>
      <c r="K22" s="89"/>
      <c r="L22" s="89" t="s">
        <v>58</v>
      </c>
      <c r="M22" s="92">
        <f>'[1]FLUX 2050'!C24</f>
        <v>0</v>
      </c>
      <c r="O22" s="481" t="s">
        <v>27</v>
      </c>
      <c r="P22" s="133" t="s">
        <v>40</v>
      </c>
      <c r="Q22" s="134" t="e">
        <f>'[1]FLUX 2050'!G26*'[1]FLUX 2050'!$T$26/'[1]FLUX 2050'!$H$26</f>
        <v>#DIV/0!</v>
      </c>
      <c r="R22" s="469" t="e">
        <f>SUM(Q22:Q28)</f>
        <v>#DIV/0!</v>
      </c>
    </row>
    <row r="23" spans="1:18" x14ac:dyDescent="0.2">
      <c r="A23" s="89"/>
      <c r="B23" s="89" t="s">
        <v>57</v>
      </c>
      <c r="C23" s="92">
        <f>'[1]FLUX 2030'!C23</f>
        <v>1.4764726960921883</v>
      </c>
      <c r="E23" s="482"/>
      <c r="F23" s="133" t="s">
        <v>41</v>
      </c>
      <c r="G23" s="134">
        <f>'[1]FLUX 2030'!G27*'[1]FLUX 2030'!$T$26/'[1]FLUX 2030'!$H$26</f>
        <v>0.54745898039404051</v>
      </c>
      <c r="H23" s="470"/>
      <c r="K23" s="89"/>
      <c r="L23" s="89" t="s">
        <v>57</v>
      </c>
      <c r="M23" s="92">
        <f>'[1]FLUX 2050'!C25</f>
        <v>0</v>
      </c>
      <c r="O23" s="482"/>
      <c r="P23" s="133" t="s">
        <v>41</v>
      </c>
      <c r="Q23" s="134" t="e">
        <f>'[1]FLUX 2050'!G27*'[1]FLUX 2050'!$T$26/'[1]FLUX 2050'!$H$26</f>
        <v>#DIV/0!</v>
      </c>
      <c r="R23" s="470"/>
    </row>
    <row r="24" spans="1:18" x14ac:dyDescent="0.2">
      <c r="E24" s="482"/>
      <c r="F24" s="133" t="s">
        <v>45</v>
      </c>
      <c r="G24" s="134">
        <f>'[1]FLUX 2030'!G28*'[1]FLUX 2030'!$T$26/'[1]FLUX 2030'!$H$26</f>
        <v>0.28599137019409193</v>
      </c>
      <c r="H24" s="470"/>
      <c r="O24" s="482"/>
      <c r="P24" s="133" t="s">
        <v>45</v>
      </c>
      <c r="Q24" s="134" t="e">
        <f>'[1]FLUX 2050'!G28*'[1]FLUX 2050'!$T$26/'[1]FLUX 2050'!$H$26</f>
        <v>#DIV/0!</v>
      </c>
      <c r="R24" s="470"/>
    </row>
    <row r="25" spans="1:18" x14ac:dyDescent="0.2">
      <c r="E25" s="482"/>
      <c r="F25" s="133" t="s">
        <v>42</v>
      </c>
      <c r="G25" s="134">
        <f>'[1]FLUX 2030'!G29*'[1]FLUX 2030'!$T$26/'[1]FLUX 2030'!$H$26</f>
        <v>2.8327023608542667</v>
      </c>
      <c r="H25" s="470"/>
      <c r="O25" s="482"/>
      <c r="P25" s="133" t="s">
        <v>42</v>
      </c>
      <c r="Q25" s="134" t="e">
        <f>'[1]FLUX 2050'!G29*'[1]FLUX 2050'!$T$26/'[1]FLUX 2050'!$H$26</f>
        <v>#DIV/0!</v>
      </c>
      <c r="R25" s="470"/>
    </row>
    <row r="26" spans="1:18" x14ac:dyDescent="0.2">
      <c r="E26" s="482"/>
      <c r="F26" s="133" t="s">
        <v>43</v>
      </c>
      <c r="G26" s="134">
        <f>'[1]FLUX 2030'!G30*'[1]FLUX 2030'!$T$26/'[1]FLUX 2030'!$H$26</f>
        <v>0.71497842548522983</v>
      </c>
      <c r="H26" s="470"/>
      <c r="O26" s="482"/>
      <c r="P26" s="133" t="s">
        <v>43</v>
      </c>
      <c r="Q26" s="134" t="e">
        <f>'[1]FLUX 2050'!G30*'[1]FLUX 2050'!$T$26/'[1]FLUX 2050'!$H$26</f>
        <v>#DIV/0!</v>
      </c>
      <c r="R26" s="470"/>
    </row>
    <row r="27" spans="1:18" x14ac:dyDescent="0.2">
      <c r="E27" s="482"/>
      <c r="F27" s="133" t="s">
        <v>50</v>
      </c>
      <c r="G27" s="134">
        <f>'[1]FLUX 2030'!G31*'[1]FLUX 2030'!$T$26/'[1]FLUX 2030'!$H$26</f>
        <v>0.11082165595021062</v>
      </c>
      <c r="H27" s="470"/>
      <c r="O27" s="482"/>
      <c r="P27" s="133" t="s">
        <v>50</v>
      </c>
      <c r="Q27" s="134" t="e">
        <f>'[1]FLUX 2050'!G31*'[1]FLUX 2050'!$T$26/'[1]FLUX 2050'!$H$26</f>
        <v>#DIV/0!</v>
      </c>
      <c r="R27" s="470"/>
    </row>
    <row r="28" spans="1:18" x14ac:dyDescent="0.2">
      <c r="E28" s="483"/>
      <c r="F28" s="133" t="s">
        <v>46</v>
      </c>
      <c r="G28" s="134">
        <f>'[1]FLUX 2030'!G32*'[1]FLUX 2030'!$T$26/'[1]FLUX 2030'!$H$26</f>
        <v>1.5706484021678804</v>
      </c>
      <c r="H28" s="471"/>
      <c r="O28" s="483"/>
      <c r="P28" s="133" t="s">
        <v>46</v>
      </c>
      <c r="Q28" s="134" t="e">
        <f>'[1]FLUX 2050'!G32*'[1]FLUX 2050'!$T$26/'[1]FLUX 2050'!$H$26</f>
        <v>#DIV/0!</v>
      </c>
      <c r="R28" s="471"/>
    </row>
    <row r="29" spans="1:18" x14ac:dyDescent="0.2">
      <c r="E29" s="136"/>
      <c r="F29" s="133"/>
      <c r="G29" s="135"/>
      <c r="H29" s="135"/>
      <c r="O29" s="136"/>
      <c r="P29" s="133"/>
      <c r="Q29" s="135"/>
      <c r="R29" s="135"/>
    </row>
    <row r="30" spans="1:18" x14ac:dyDescent="0.2">
      <c r="E30" s="484" t="s">
        <v>51</v>
      </c>
      <c r="F30" s="133" t="s">
        <v>40</v>
      </c>
      <c r="G30" s="134">
        <f>'[1]FLUX 2030'!K34</f>
        <v>0.3</v>
      </c>
      <c r="H30" s="487"/>
      <c r="O30" s="484" t="s">
        <v>51</v>
      </c>
      <c r="P30" s="133" t="s">
        <v>40</v>
      </c>
      <c r="Q30" s="134">
        <f>'[1]FLUX 2050'!K34</f>
        <v>1.6119253317839282</v>
      </c>
      <c r="R30" s="487"/>
    </row>
    <row r="31" spans="1:18" x14ac:dyDescent="0.2">
      <c r="E31" s="485"/>
      <c r="F31" s="133" t="s">
        <v>42</v>
      </c>
      <c r="G31" s="134">
        <f>'[1]FLUX 2030'!K35</f>
        <v>10.125220416308462</v>
      </c>
      <c r="H31" s="488"/>
      <c r="O31" s="485"/>
      <c r="P31" s="133" t="s">
        <v>42</v>
      </c>
      <c r="Q31" s="134">
        <f>'[1]FLUX 2050'!K35</f>
        <v>1.8</v>
      </c>
      <c r="R31" s="488"/>
    </row>
    <row r="32" spans="1:18" x14ac:dyDescent="0.2">
      <c r="E32" s="485"/>
      <c r="F32" s="133" t="s">
        <v>50</v>
      </c>
      <c r="G32" s="134">
        <f>'[1]FLUX 2030'!K36</f>
        <v>0.81609858909965027</v>
      </c>
      <c r="H32" s="488"/>
      <c r="O32" s="485"/>
      <c r="P32" s="133" t="s">
        <v>50</v>
      </c>
      <c r="Q32" s="134">
        <f>'[1]FLUX 2050'!K36</f>
        <v>2.3611427691146649</v>
      </c>
      <c r="R32" s="488"/>
    </row>
    <row r="33" spans="5:18" x14ac:dyDescent="0.2">
      <c r="E33" s="485"/>
      <c r="F33" s="133" t="s">
        <v>52</v>
      </c>
      <c r="G33" s="134">
        <f>'[1]FLUX 2030'!K37</f>
        <v>1.5</v>
      </c>
      <c r="H33" s="488"/>
      <c r="O33" s="485"/>
      <c r="P33" s="133" t="s">
        <v>52</v>
      </c>
      <c r="Q33" s="134">
        <f>'[1]FLUX 2050'!K37</f>
        <v>2.9995839860144065</v>
      </c>
      <c r="R33" s="488"/>
    </row>
    <row r="34" spans="5:18" x14ac:dyDescent="0.2">
      <c r="E34" s="485"/>
      <c r="F34" s="133" t="s">
        <v>53</v>
      </c>
      <c r="G34" s="134">
        <f>'[1]FLUX 2030'!K38</f>
        <v>1.8351839637785343</v>
      </c>
      <c r="H34" s="488"/>
      <c r="O34" s="485"/>
      <c r="P34" s="133" t="s">
        <v>53</v>
      </c>
      <c r="Q34" s="134">
        <f>'[1]FLUX 2050'!K38</f>
        <v>0</v>
      </c>
      <c r="R34" s="488"/>
    </row>
    <row r="35" spans="5:18" x14ac:dyDescent="0.2">
      <c r="E35" s="485"/>
      <c r="F35" s="133" t="s">
        <v>114</v>
      </c>
      <c r="G35" s="134">
        <f>'[1]FLUX 2030'!K39</f>
        <v>3</v>
      </c>
      <c r="H35" s="488"/>
      <c r="O35" s="485"/>
      <c r="P35" s="133" t="s">
        <v>114</v>
      </c>
      <c r="Q35" s="134">
        <f>'[1]FLUX 2050'!K39</f>
        <v>5.4939139155408521</v>
      </c>
      <c r="R35" s="488"/>
    </row>
    <row r="36" spans="5:18" x14ac:dyDescent="0.2">
      <c r="E36" s="485"/>
      <c r="F36" s="133" t="s">
        <v>55</v>
      </c>
      <c r="G36" s="134">
        <f>'[1]FLUX 2030'!K40</f>
        <v>31.288317962314391</v>
      </c>
      <c r="H36" s="488"/>
      <c r="O36" s="485"/>
      <c r="P36" s="133" t="s">
        <v>55</v>
      </c>
      <c r="Q36" s="134">
        <f>'[1]FLUX 2050'!K40</f>
        <v>0.80155304735751465</v>
      </c>
      <c r="R36" s="488"/>
    </row>
    <row r="37" spans="5:18" x14ac:dyDescent="0.2">
      <c r="E37" s="485"/>
      <c r="F37" s="133" t="s">
        <v>56</v>
      </c>
      <c r="G37" s="134">
        <f>'[1]FLUX 2030'!K41</f>
        <v>7.9369031994480084</v>
      </c>
      <c r="H37" s="488"/>
      <c r="O37" s="485"/>
      <c r="P37" s="133" t="s">
        <v>56</v>
      </c>
      <c r="Q37" s="134">
        <f>'[1]FLUX 2050'!K41</f>
        <v>4.0201856086575631</v>
      </c>
      <c r="R37" s="488"/>
    </row>
    <row r="38" spans="5:18" x14ac:dyDescent="0.2">
      <c r="E38" s="485"/>
      <c r="F38" s="133" t="s">
        <v>57</v>
      </c>
      <c r="G38" s="134">
        <f>'[1]FLUX 2030'!K42</f>
        <v>0.86944701578796535</v>
      </c>
      <c r="H38" s="488"/>
      <c r="O38" s="485"/>
      <c r="P38" s="133" t="s">
        <v>57</v>
      </c>
      <c r="Q38" s="134">
        <f>'[1]FLUX 2050'!K42</f>
        <v>0</v>
      </c>
      <c r="R38" s="488"/>
    </row>
    <row r="39" spans="5:18" x14ac:dyDescent="0.2">
      <c r="E39" s="486"/>
      <c r="F39" s="133" t="s">
        <v>58</v>
      </c>
      <c r="G39" s="134">
        <f>'[1]FLUX 2030'!K43</f>
        <v>5.0588131868202808</v>
      </c>
      <c r="H39" s="489"/>
      <c r="O39" s="486"/>
      <c r="P39" s="133" t="s">
        <v>58</v>
      </c>
      <c r="Q39" s="134">
        <f>'[1]FLUX 2050'!K43</f>
        <v>0</v>
      </c>
      <c r="R39" s="489"/>
    </row>
  </sheetData>
  <mergeCells count="22">
    <mergeCell ref="O22:O28"/>
    <mergeCell ref="R22:R28"/>
    <mergeCell ref="O30:O39"/>
    <mergeCell ref="R30:R39"/>
    <mergeCell ref="E30:E39"/>
    <mergeCell ref="H30:H39"/>
    <mergeCell ref="E22:E28"/>
    <mergeCell ref="H22:H28"/>
    <mergeCell ref="A4:C4"/>
    <mergeCell ref="C2:E2"/>
    <mergeCell ref="O17:O20"/>
    <mergeCell ref="R17:R20"/>
    <mergeCell ref="E5:E15"/>
    <mergeCell ref="H5:H15"/>
    <mergeCell ref="E17:E20"/>
    <mergeCell ref="H17:H20"/>
    <mergeCell ref="E4:H4"/>
    <mergeCell ref="N2:P2"/>
    <mergeCell ref="K4:M4"/>
    <mergeCell ref="O4:R4"/>
    <mergeCell ref="O5:O15"/>
    <mergeCell ref="R5:R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Cibles THREEME</vt:lpstr>
      <vt:lpstr>Indicateurs</vt:lpstr>
      <vt:lpstr>BILAN ENR Energie finale </vt:lpstr>
      <vt:lpstr>FLUX 2030</vt:lpstr>
      <vt:lpstr>FLUX 2050</vt:lpstr>
      <vt:lpstr>Détail 2010</vt:lpstr>
      <vt:lpstr>Détail 2030</vt:lpstr>
      <vt:lpstr>Détail 2050</vt:lpstr>
      <vt:lpstr>Primaire et final</vt:lpstr>
      <vt:lpstr>Sankey 2030</vt:lpstr>
      <vt:lpstr>Sankey 2050</vt:lpstr>
    </vt:vector>
  </TitlesOfParts>
  <Company>ADEME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MEUNIER Laurent</dc:creator>
  <cp:lastModifiedBy>CALS Guilain</cp:lastModifiedBy>
  <cp:lastPrinted>2013-04-25T09:27:42Z</cp:lastPrinted>
  <dcterms:created xsi:type="dcterms:W3CDTF">2013-03-21T08:07:58Z</dcterms:created>
  <dcterms:modified xsi:type="dcterms:W3CDTF">2015-09-28T08:55:12Z</dcterms:modified>
</cp:coreProperties>
</file>