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D:\Aalborg\EIT6\Rocket Project\Test Results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8" i="1" l="1"/>
  <c r="BK9" i="1"/>
  <c r="BK10" i="1"/>
  <c r="BK11" i="1"/>
  <c r="BK12" i="1"/>
  <c r="BK13" i="1"/>
  <c r="BK14" i="1"/>
  <c r="BK15" i="1"/>
  <c r="BK16" i="1"/>
  <c r="BK17" i="1" l="1"/>
  <c r="BK18" i="1"/>
  <c r="BK19" i="1"/>
  <c r="BK20" i="1"/>
  <c r="BK21" i="1"/>
  <c r="CA16" i="1" l="1"/>
  <c r="CA15" i="1"/>
  <c r="CC6" i="1"/>
  <c r="CA7" i="1"/>
  <c r="CA8" i="1"/>
  <c r="CA9" i="1"/>
  <c r="CA10" i="1"/>
  <c r="CA11" i="1"/>
  <c r="CA12" i="1"/>
  <c r="CA13" i="1"/>
  <c r="CA14" i="1"/>
  <c r="CC5" i="1"/>
  <c r="BF86" i="1" l="1"/>
  <c r="BG86" i="1"/>
  <c r="BF87" i="1"/>
  <c r="BG87" i="1" s="1"/>
  <c r="BF88" i="1"/>
  <c r="BG88" i="1" s="1"/>
  <c r="BF89" i="1"/>
  <c r="BG89" i="1"/>
  <c r="BF90" i="1"/>
  <c r="BG90" i="1" s="1"/>
  <c r="BF91" i="1"/>
  <c r="BG91" i="1" s="1"/>
  <c r="BF92" i="1"/>
  <c r="BG92" i="1"/>
  <c r="BF100" i="1" l="1"/>
  <c r="BG100" i="1" s="1"/>
  <c r="BF99" i="1"/>
  <c r="BG99" i="1" s="1"/>
  <c r="BF98" i="1" l="1"/>
  <c r="BG98" i="1" s="1"/>
  <c r="BF97" i="1"/>
  <c r="BG97" i="1" s="1"/>
  <c r="BF96" i="1"/>
  <c r="BG96" i="1" s="1"/>
  <c r="BF95" i="1"/>
  <c r="BG95" i="1" s="1"/>
  <c r="BF94" i="1"/>
  <c r="BG94" i="1" s="1"/>
  <c r="BF93" i="1"/>
  <c r="BG93" i="1" s="1"/>
  <c r="BB59" i="1"/>
  <c r="BC59" i="1" s="1"/>
  <c r="BB60" i="1"/>
  <c r="BC60" i="1" s="1"/>
  <c r="BB61" i="1"/>
  <c r="BC61" i="1" s="1"/>
  <c r="BB62" i="1"/>
  <c r="BC62" i="1" s="1"/>
  <c r="BB63" i="1"/>
  <c r="BC63" i="1" s="1"/>
  <c r="BB64" i="1"/>
  <c r="BB65" i="1"/>
  <c r="BC65" i="1" s="1"/>
  <c r="BB66" i="1"/>
  <c r="BC66" i="1" s="1"/>
  <c r="BB67" i="1"/>
  <c r="BC67" i="1" s="1"/>
  <c r="BB68" i="1"/>
  <c r="BC68" i="1" s="1"/>
  <c r="BB69" i="1"/>
  <c r="BC69" i="1" s="1"/>
  <c r="BB70" i="1"/>
  <c r="BC70" i="1" s="1"/>
  <c r="BB71" i="1"/>
  <c r="BC71" i="1" s="1"/>
  <c r="BB72" i="1"/>
  <c r="BB73" i="1"/>
  <c r="BC73" i="1" s="1"/>
  <c r="BB74" i="1"/>
  <c r="BC74" i="1" s="1"/>
  <c r="BB75" i="1"/>
  <c r="BC75" i="1" s="1"/>
  <c r="BB76" i="1"/>
  <c r="BC76" i="1" s="1"/>
  <c r="BB77" i="1"/>
  <c r="BC77" i="1" s="1"/>
  <c r="BG77" i="1"/>
  <c r="BH77" i="1" s="1"/>
  <c r="BG76" i="1"/>
  <c r="BH76" i="1" s="1"/>
  <c r="BG75" i="1"/>
  <c r="BH75" i="1" s="1"/>
  <c r="BG74" i="1"/>
  <c r="BH74" i="1" s="1"/>
  <c r="BG73" i="1"/>
  <c r="BH73" i="1" s="1"/>
  <c r="BG72" i="1"/>
  <c r="BH72" i="1" s="1"/>
  <c r="BC72" i="1"/>
  <c r="BG71" i="1"/>
  <c r="BH71" i="1" s="1"/>
  <c r="BG70" i="1"/>
  <c r="BH70" i="1" s="1"/>
  <c r="BG69" i="1"/>
  <c r="BH69" i="1" s="1"/>
  <c r="BG68" i="1"/>
  <c r="BH68" i="1" s="1"/>
  <c r="BG67" i="1"/>
  <c r="BH67" i="1" s="1"/>
  <c r="BG66" i="1"/>
  <c r="BH66" i="1" s="1"/>
  <c r="BG65" i="1"/>
  <c r="BH65" i="1" s="1"/>
  <c r="BG64" i="1"/>
  <c r="BH64" i="1" s="1"/>
  <c r="BC64" i="1"/>
  <c r="BG63" i="1"/>
  <c r="BH63" i="1" s="1"/>
  <c r="BG62" i="1"/>
  <c r="BH62" i="1" s="1"/>
  <c r="BG61" i="1"/>
  <c r="BG60" i="1"/>
  <c r="BG59" i="1"/>
  <c r="BD49" i="1"/>
  <c r="BE49" i="1" s="1"/>
  <c r="BG49" i="1" s="1"/>
  <c r="BD48" i="1"/>
  <c r="BE48" i="1" s="1"/>
  <c r="BG48" i="1" s="1"/>
  <c r="BD47" i="1"/>
  <c r="BE47" i="1" s="1"/>
  <c r="BG47" i="1" s="1"/>
  <c r="BD46" i="1"/>
  <c r="BE46" i="1" s="1"/>
  <c r="BG46" i="1" s="1"/>
  <c r="BD45" i="1"/>
  <c r="BE45" i="1" s="1"/>
  <c r="BG45" i="1" s="1"/>
  <c r="BD44" i="1"/>
  <c r="BE44" i="1" s="1"/>
  <c r="BG44" i="1" s="1"/>
  <c r="BD43" i="1"/>
  <c r="BE43" i="1" s="1"/>
  <c r="BG43" i="1" s="1"/>
  <c r="BD42" i="1"/>
  <c r="BE42" i="1" s="1"/>
  <c r="BG42" i="1" s="1"/>
  <c r="BD41" i="1"/>
  <c r="BE41" i="1" s="1"/>
  <c r="BG41" i="1" s="1"/>
  <c r="BD40" i="1"/>
  <c r="BE40" i="1" s="1"/>
  <c r="BG40" i="1" s="1"/>
  <c r="BD39" i="1"/>
  <c r="BE39" i="1" s="1"/>
  <c r="BG39" i="1" s="1"/>
  <c r="BD38" i="1"/>
  <c r="BE38" i="1" s="1"/>
  <c r="BG38" i="1" s="1"/>
  <c r="BD37" i="1"/>
  <c r="BE37" i="1" s="1"/>
  <c r="BG37" i="1" s="1"/>
  <c r="BD36" i="1"/>
  <c r="BE36" i="1" s="1"/>
  <c r="BG36" i="1" s="1"/>
  <c r="BD35" i="1"/>
  <c r="BE35" i="1" s="1"/>
  <c r="BG35" i="1" s="1"/>
  <c r="BD34" i="1"/>
  <c r="BE34" i="1" s="1"/>
  <c r="BG34" i="1" s="1"/>
  <c r="BD33" i="1"/>
  <c r="BE33" i="1" s="1"/>
  <c r="BG33" i="1" s="1"/>
  <c r="BD32" i="1"/>
  <c r="BE32" i="1" s="1"/>
  <c r="BG32" i="1" s="1"/>
  <c r="BD31" i="1"/>
  <c r="BE31" i="1" s="1"/>
  <c r="BG31" i="1" s="1"/>
  <c r="BG50" i="1" l="1"/>
  <c r="AZ11" i="1" s="1"/>
  <c r="BC78" i="1"/>
  <c r="BA87" i="1" s="1"/>
  <c r="BJ66" i="1"/>
  <c r="BJ65" i="1"/>
  <c r="BJ63" i="1"/>
  <c r="BJ64" i="1"/>
  <c r="BJ62" i="1"/>
  <c r="BH78" i="1"/>
  <c r="BJ76" i="1"/>
  <c r="BJ69" i="1"/>
  <c r="BJ68" i="1"/>
  <c r="BJ74" i="1"/>
  <c r="BJ67" i="1"/>
  <c r="BJ72" i="1"/>
  <c r="BJ73" i="1"/>
  <c r="BJ75" i="1"/>
  <c r="BJ71" i="1"/>
  <c r="BJ70" i="1"/>
  <c r="BJ77" i="1"/>
  <c r="AR31" i="1"/>
  <c r="AU31" i="1" s="1"/>
  <c r="AR32" i="1"/>
  <c r="AU32" i="1" s="1"/>
  <c r="AR33" i="1"/>
  <c r="AU33" i="1" s="1"/>
  <c r="AR34" i="1"/>
  <c r="AU34" i="1" s="1"/>
  <c r="AR35" i="1"/>
  <c r="AU35" i="1" s="1"/>
  <c r="AR36" i="1"/>
  <c r="AU36" i="1" s="1"/>
  <c r="AR37" i="1"/>
  <c r="AU37" i="1" s="1"/>
  <c r="AR38" i="1"/>
  <c r="AU38" i="1" s="1"/>
  <c r="AR39" i="1"/>
  <c r="AU39" i="1" s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H89" i="1"/>
  <c r="H90" i="1"/>
  <c r="H91" i="1"/>
  <c r="H92" i="1"/>
  <c r="H93" i="1"/>
  <c r="H94" i="1"/>
  <c r="H95" i="1"/>
  <c r="H96" i="1"/>
  <c r="BI88" i="1" l="1"/>
  <c r="BJ88" i="1" s="1"/>
  <c r="BI92" i="1"/>
  <c r="BJ92" i="1" s="1"/>
  <c r="BI90" i="1"/>
  <c r="BJ90" i="1" s="1"/>
  <c r="BI87" i="1"/>
  <c r="BI89" i="1"/>
  <c r="BJ89" i="1" s="1"/>
  <c r="BI86" i="1"/>
  <c r="BI91" i="1"/>
  <c r="BJ91" i="1" s="1"/>
  <c r="AZ12" i="1"/>
  <c r="BJ78" i="1"/>
  <c r="AU40" i="1"/>
  <c r="AG35" i="1"/>
  <c r="AH35" i="1" s="1"/>
  <c r="AK35" i="1" s="1"/>
  <c r="AG36" i="1"/>
  <c r="AH36" i="1" s="1"/>
  <c r="AK36" i="1" s="1"/>
  <c r="AG37" i="1"/>
  <c r="AH37" i="1" s="1"/>
  <c r="AK37" i="1" s="1"/>
  <c r="AG38" i="1"/>
  <c r="AH38" i="1" s="1"/>
  <c r="AK38" i="1" s="1"/>
  <c r="AG33" i="1"/>
  <c r="AH33" i="1" s="1"/>
  <c r="AK33" i="1" s="1"/>
  <c r="AG34" i="1"/>
  <c r="AH34" i="1" s="1"/>
  <c r="AK34" i="1" s="1"/>
  <c r="AG32" i="1"/>
  <c r="AH32" i="1" s="1"/>
  <c r="AK32" i="1" s="1"/>
  <c r="AG51" i="1"/>
  <c r="AH51" i="1" s="1"/>
  <c r="AK51" i="1" s="1"/>
  <c r="AG50" i="1"/>
  <c r="AH50" i="1" s="1"/>
  <c r="AK50" i="1" s="1"/>
  <c r="AG49" i="1"/>
  <c r="AH49" i="1" s="1"/>
  <c r="AK49" i="1" s="1"/>
  <c r="AG48" i="1"/>
  <c r="AH48" i="1" s="1"/>
  <c r="AK48" i="1" s="1"/>
  <c r="AG47" i="1"/>
  <c r="AH47" i="1" s="1"/>
  <c r="AK47" i="1" s="1"/>
  <c r="AG46" i="1"/>
  <c r="AH46" i="1" s="1"/>
  <c r="AK46" i="1" s="1"/>
  <c r="AG45" i="1"/>
  <c r="AH45" i="1" s="1"/>
  <c r="AK45" i="1" s="1"/>
  <c r="AG44" i="1"/>
  <c r="AH44" i="1" s="1"/>
  <c r="AK44" i="1" s="1"/>
  <c r="AG43" i="1"/>
  <c r="AH43" i="1" s="1"/>
  <c r="AK43" i="1" s="1"/>
  <c r="AG42" i="1"/>
  <c r="AH42" i="1" s="1"/>
  <c r="AK42" i="1" s="1"/>
  <c r="AG41" i="1"/>
  <c r="AH41" i="1" s="1"/>
  <c r="AK41" i="1" s="1"/>
  <c r="AG40" i="1"/>
  <c r="AH40" i="1" s="1"/>
  <c r="AK40" i="1" s="1"/>
  <c r="AG39" i="1"/>
  <c r="AH39" i="1" s="1"/>
  <c r="AK39" i="1" s="1"/>
  <c r="J137" i="1"/>
  <c r="K137" i="1" s="1"/>
  <c r="M137" i="1" s="1"/>
  <c r="N137" i="1" s="1"/>
  <c r="J138" i="1"/>
  <c r="K138" i="1" s="1"/>
  <c r="M138" i="1" s="1"/>
  <c r="N138" i="1" s="1"/>
  <c r="J139" i="1"/>
  <c r="K139" i="1" s="1"/>
  <c r="M139" i="1" s="1"/>
  <c r="N139" i="1" s="1"/>
  <c r="J140" i="1"/>
  <c r="K140" i="1" s="1"/>
  <c r="M140" i="1" s="1"/>
  <c r="N140" i="1" s="1"/>
  <c r="J141" i="1"/>
  <c r="K141" i="1" s="1"/>
  <c r="M141" i="1" s="1"/>
  <c r="N141" i="1" s="1"/>
  <c r="J142" i="1"/>
  <c r="K142" i="1" s="1"/>
  <c r="M142" i="1" s="1"/>
  <c r="N142" i="1" s="1"/>
  <c r="J143" i="1"/>
  <c r="K143" i="1" s="1"/>
  <c r="M143" i="1" s="1"/>
  <c r="N143" i="1" s="1"/>
  <c r="J144" i="1"/>
  <c r="K144" i="1" s="1"/>
  <c r="M144" i="1" s="1"/>
  <c r="N144" i="1" s="1"/>
  <c r="J145" i="1"/>
  <c r="K145" i="1" s="1"/>
  <c r="M145" i="1" s="1"/>
  <c r="N145" i="1" s="1"/>
  <c r="J146" i="1"/>
  <c r="K146" i="1" s="1"/>
  <c r="M146" i="1" s="1"/>
  <c r="N146" i="1" s="1"/>
  <c r="J136" i="1"/>
  <c r="K136" i="1" s="1"/>
  <c r="M136" i="1" s="1"/>
  <c r="N136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N134" i="1" s="1"/>
  <c r="J135" i="1"/>
  <c r="K135" i="1" s="1"/>
  <c r="M135" i="1" s="1"/>
  <c r="N135" i="1" s="1"/>
  <c r="BI99" i="1" l="1"/>
  <c r="BJ99" i="1" s="1"/>
  <c r="BI100" i="1"/>
  <c r="BJ100" i="1" s="1"/>
  <c r="BI94" i="1"/>
  <c r="BJ94" i="1" s="1"/>
  <c r="BI95" i="1"/>
  <c r="BJ95" i="1" s="1"/>
  <c r="BI96" i="1"/>
  <c r="BJ96" i="1" s="1"/>
  <c r="BI97" i="1"/>
  <c r="BJ97" i="1" s="1"/>
  <c r="BI98" i="1"/>
  <c r="BJ98" i="1" s="1"/>
  <c r="BI93" i="1"/>
  <c r="BJ93" i="1" s="1"/>
  <c r="AK52" i="1"/>
  <c r="N133" i="1"/>
  <c r="N148" i="1" s="1"/>
  <c r="M148" i="1"/>
  <c r="L60" i="1"/>
  <c r="M60" i="1" s="1"/>
  <c r="G60" i="1"/>
  <c r="G88" i="1"/>
  <c r="D100" i="1"/>
  <c r="G110" i="1" s="1"/>
  <c r="I89" i="1"/>
  <c r="I90" i="1"/>
  <c r="I91" i="1"/>
  <c r="I92" i="1"/>
  <c r="I93" i="1"/>
  <c r="I94" i="1"/>
  <c r="I95" i="1"/>
  <c r="I96" i="1"/>
  <c r="BI102" i="1" l="1"/>
  <c r="AZ14" i="1" s="1"/>
  <c r="BJ102" i="1"/>
  <c r="H110" i="1"/>
  <c r="I110" i="1" s="1"/>
  <c r="H88" i="1"/>
  <c r="I88" i="1" s="1"/>
  <c r="I98" i="1" s="1"/>
  <c r="G103" i="1"/>
  <c r="G111" i="1"/>
  <c r="G104" i="1"/>
  <c r="G112" i="1"/>
  <c r="G105" i="1"/>
  <c r="G113" i="1"/>
  <c r="G106" i="1"/>
  <c r="G114" i="1"/>
  <c r="G107" i="1"/>
  <c r="G115" i="1"/>
  <c r="G108" i="1"/>
  <c r="G116" i="1"/>
  <c r="G109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J32" i="1" s="1"/>
  <c r="P32" i="1" s="1"/>
  <c r="P53" i="1"/>
  <c r="J53" i="1"/>
  <c r="E25" i="1"/>
  <c r="F25" i="1" s="1"/>
  <c r="E24" i="1"/>
  <c r="F24" i="1" s="1"/>
  <c r="E23" i="1"/>
  <c r="F23" i="1" s="1"/>
  <c r="E22" i="1"/>
  <c r="F22" i="1" s="1"/>
  <c r="E21" i="1"/>
  <c r="F21" i="1" s="1"/>
  <c r="H116" i="1" l="1"/>
  <c r="I116" i="1" s="1"/>
  <c r="H112" i="1"/>
  <c r="I112" i="1" s="1"/>
  <c r="H108" i="1"/>
  <c r="I108" i="1" s="1"/>
  <c r="H104" i="1"/>
  <c r="I104" i="1" s="1"/>
  <c r="H115" i="1"/>
  <c r="I115" i="1" s="1"/>
  <c r="H111" i="1"/>
  <c r="I111" i="1" s="1"/>
  <c r="H103" i="1"/>
  <c r="I103" i="1" s="1"/>
  <c r="H114" i="1"/>
  <c r="I114" i="1" s="1"/>
  <c r="H106" i="1"/>
  <c r="I106" i="1" s="1"/>
  <c r="H107" i="1"/>
  <c r="I107" i="1" s="1"/>
  <c r="H113" i="1"/>
  <c r="I113" i="1" s="1"/>
  <c r="H109" i="1"/>
  <c r="I109" i="1" s="1"/>
  <c r="H105" i="1"/>
  <c r="I105" i="1" s="1"/>
  <c r="J90" i="1"/>
  <c r="J89" i="1"/>
  <c r="J96" i="1"/>
  <c r="J88" i="1"/>
  <c r="J95" i="1"/>
  <c r="J94" i="1"/>
  <c r="J93" i="1"/>
  <c r="J92" i="1"/>
  <c r="J91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7" i="1"/>
  <c r="F7" i="1" s="1"/>
  <c r="P68" i="1"/>
  <c r="P67" i="1"/>
  <c r="I119" i="1" l="1"/>
  <c r="J33" i="1"/>
  <c r="P33" i="1" s="1"/>
  <c r="J34" i="1"/>
  <c r="P34" i="1" s="1"/>
  <c r="J35" i="1"/>
  <c r="P35" i="1" s="1"/>
  <c r="J36" i="1"/>
  <c r="P36" i="1" s="1"/>
  <c r="J37" i="1"/>
  <c r="P37" i="1" s="1"/>
  <c r="J43" i="1"/>
  <c r="P43" i="1" s="1"/>
  <c r="J48" i="1"/>
  <c r="P48" i="1" s="1"/>
  <c r="J50" i="1"/>
  <c r="P50" i="1" s="1"/>
  <c r="J51" i="1"/>
  <c r="P51" i="1" s="1"/>
  <c r="P70" i="1"/>
  <c r="P71" i="1"/>
  <c r="P72" i="1"/>
  <c r="P73" i="1"/>
  <c r="P74" i="1"/>
  <c r="P75" i="1"/>
  <c r="P76" i="1"/>
  <c r="P77" i="1"/>
  <c r="P78" i="1"/>
  <c r="P79" i="1"/>
  <c r="P80" i="1"/>
  <c r="P69" i="1"/>
  <c r="L80" i="1"/>
  <c r="M8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G76" i="1"/>
  <c r="H76" i="1" s="1"/>
  <c r="G77" i="1"/>
  <c r="H77" i="1" s="1"/>
  <c r="G78" i="1"/>
  <c r="H78" i="1" s="1"/>
  <c r="G79" i="1"/>
  <c r="H79" i="1" s="1"/>
  <c r="G80" i="1"/>
  <c r="H80" i="1" s="1"/>
  <c r="O80" i="1" s="1"/>
  <c r="G73" i="1"/>
  <c r="H73" i="1" s="1"/>
  <c r="G74" i="1"/>
  <c r="H74" i="1" s="1"/>
  <c r="G75" i="1"/>
  <c r="H75" i="1" s="1"/>
  <c r="G70" i="1"/>
  <c r="H70" i="1" s="1"/>
  <c r="G71" i="1"/>
  <c r="H71" i="1" s="1"/>
  <c r="G72" i="1"/>
  <c r="H72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H60" i="1"/>
  <c r="J39" i="1"/>
  <c r="P39" i="1" s="1"/>
  <c r="M46" i="1"/>
  <c r="N46" i="1" s="1"/>
  <c r="Q46" i="1" s="1"/>
  <c r="J46" i="1"/>
  <c r="P46" i="1" s="1"/>
  <c r="M33" i="1"/>
  <c r="N33" i="1" s="1"/>
  <c r="Q33" i="1" s="1"/>
  <c r="M34" i="1"/>
  <c r="N34" i="1" s="1"/>
  <c r="Q34" i="1" s="1"/>
  <c r="M35" i="1"/>
  <c r="N35" i="1" s="1"/>
  <c r="Q35" i="1" s="1"/>
  <c r="M36" i="1"/>
  <c r="N36" i="1" s="1"/>
  <c r="Q36" i="1" s="1"/>
  <c r="M37" i="1"/>
  <c r="N37" i="1" s="1"/>
  <c r="Q37" i="1" s="1"/>
  <c r="M38" i="1"/>
  <c r="N38" i="1" s="1"/>
  <c r="Q38" i="1" s="1"/>
  <c r="M39" i="1"/>
  <c r="N39" i="1" s="1"/>
  <c r="Q39" i="1" s="1"/>
  <c r="M40" i="1"/>
  <c r="N40" i="1" s="1"/>
  <c r="Q40" i="1" s="1"/>
  <c r="M41" i="1"/>
  <c r="N41" i="1" s="1"/>
  <c r="Q41" i="1" s="1"/>
  <c r="M42" i="1"/>
  <c r="N42" i="1" s="1"/>
  <c r="Q42" i="1" s="1"/>
  <c r="M43" i="1"/>
  <c r="N43" i="1" s="1"/>
  <c r="Q43" i="1" s="1"/>
  <c r="M44" i="1"/>
  <c r="N44" i="1" s="1"/>
  <c r="Q44" i="1" s="1"/>
  <c r="M45" i="1"/>
  <c r="N45" i="1" s="1"/>
  <c r="Q45" i="1" s="1"/>
  <c r="M47" i="1"/>
  <c r="N47" i="1" s="1"/>
  <c r="Q47" i="1" s="1"/>
  <c r="M48" i="1"/>
  <c r="N48" i="1" s="1"/>
  <c r="Q48" i="1" s="1"/>
  <c r="M49" i="1"/>
  <c r="N49" i="1" s="1"/>
  <c r="Q49" i="1" s="1"/>
  <c r="M50" i="1"/>
  <c r="N50" i="1" s="1"/>
  <c r="Q50" i="1" s="1"/>
  <c r="M51" i="1"/>
  <c r="N51" i="1" s="1"/>
  <c r="Q51" i="1" s="1"/>
  <c r="J38" i="1"/>
  <c r="P38" i="1" s="1"/>
  <c r="J40" i="1"/>
  <c r="P40" i="1" s="1"/>
  <c r="J41" i="1"/>
  <c r="P41" i="1" s="1"/>
  <c r="J42" i="1"/>
  <c r="P42" i="1" s="1"/>
  <c r="J44" i="1"/>
  <c r="P44" i="1" s="1"/>
  <c r="J45" i="1"/>
  <c r="P45" i="1" s="1"/>
  <c r="J47" i="1"/>
  <c r="P47" i="1" s="1"/>
  <c r="J49" i="1"/>
  <c r="P49" i="1" s="1"/>
  <c r="M32" i="1"/>
  <c r="N32" i="1" s="1"/>
  <c r="O76" i="1" l="1"/>
  <c r="O73" i="1"/>
  <c r="O77" i="1"/>
  <c r="O68" i="1"/>
  <c r="O72" i="1"/>
  <c r="O71" i="1"/>
  <c r="Q32" i="1"/>
  <c r="Q52" i="1" s="1"/>
  <c r="O74" i="1"/>
  <c r="J113" i="1"/>
  <c r="J103" i="1"/>
  <c r="J110" i="1"/>
  <c r="J107" i="1"/>
  <c r="J108" i="1"/>
  <c r="J115" i="1"/>
  <c r="J109" i="1"/>
  <c r="J114" i="1"/>
  <c r="J106" i="1"/>
  <c r="J112" i="1"/>
  <c r="J116" i="1"/>
  <c r="J105" i="1"/>
  <c r="J104" i="1"/>
  <c r="J111" i="1"/>
  <c r="O75" i="1"/>
  <c r="O69" i="1"/>
  <c r="O67" i="1"/>
  <c r="O78" i="1"/>
  <c r="O70" i="1"/>
  <c r="O79" i="1"/>
  <c r="P52" i="1"/>
  <c r="O81" i="1" l="1"/>
</calcChain>
</file>

<file path=xl/sharedStrings.xml><?xml version="1.0" encoding="utf-8"?>
<sst xmlns="http://schemas.openxmlformats.org/spreadsheetml/2006/main" count="140" uniqueCount="73">
  <si>
    <t>I2 [A]</t>
  </si>
  <si>
    <t>U (V)</t>
  </si>
  <si>
    <t>I(A)</t>
  </si>
  <si>
    <t>rpm</t>
  </si>
  <si>
    <t>Internal</t>
  </si>
  <si>
    <t>External</t>
  </si>
  <si>
    <t>Vtex(mV)</t>
  </si>
  <si>
    <t>Vtin(V)</t>
  </si>
  <si>
    <t>omega(int)</t>
  </si>
  <si>
    <t>omega(ext)</t>
  </si>
  <si>
    <t>Test of angular velocity to get Ke</t>
  </si>
  <si>
    <t>I (A)</t>
  </si>
  <si>
    <t>τ = Kt*I</t>
  </si>
  <si>
    <t>Vtorque(mV)</t>
  </si>
  <si>
    <t>Kt(up)</t>
  </si>
  <si>
    <t>Kt(down)</t>
  </si>
  <si>
    <t>Kt(avg)</t>
  </si>
  <si>
    <t>Theoretical Torque</t>
  </si>
  <si>
    <t>τ down (N.m)</t>
  </si>
  <si>
    <t>τ up (N.m)</t>
  </si>
  <si>
    <t>U1</t>
  </si>
  <si>
    <t>U2</t>
  </si>
  <si>
    <t>Uavg</t>
  </si>
  <si>
    <t>Rm [ohm]</t>
  </si>
  <si>
    <t>Ke = (U + Rm*I)/omega</t>
  </si>
  <si>
    <t>Ke(int)</t>
  </si>
  <si>
    <t>Ke(ext)</t>
  </si>
  <si>
    <t>Test of the torque to get Kt (with Newton meter)</t>
  </si>
  <si>
    <t>F</t>
  </si>
  <si>
    <t>Tau_f</t>
  </si>
  <si>
    <t>K_t</t>
  </si>
  <si>
    <t>Kt*I</t>
  </si>
  <si>
    <t>Coulomb Friction (N)</t>
  </si>
  <si>
    <t xml:space="preserve">avg: </t>
  </si>
  <si>
    <t>avg:</t>
  </si>
  <si>
    <t>Measures with 50N Newtonmeter</t>
  </si>
  <si>
    <t>Test of the torque to get Kt (torquemeter) might be wrong</t>
  </si>
  <si>
    <t xml:space="preserve">Test of friction </t>
  </si>
  <si>
    <t xml:space="preserve">Equation: </t>
  </si>
  <si>
    <r>
      <t>b = Kt/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[(U-Keω)/R]</t>
    </r>
  </si>
  <si>
    <t xml:space="preserve">with: </t>
  </si>
  <si>
    <t xml:space="preserve"> </t>
  </si>
  <si>
    <t>Ke =</t>
  </si>
  <si>
    <t>Kt =</t>
  </si>
  <si>
    <t>Rm =</t>
  </si>
  <si>
    <t>avg =</t>
  </si>
  <si>
    <t xml:space="preserve">Ke </t>
  </si>
  <si>
    <t>ω (rad/s)</t>
  </si>
  <si>
    <t>b</t>
  </si>
  <si>
    <t>range 1</t>
  </si>
  <si>
    <t>Utach (mV)</t>
  </si>
  <si>
    <t>range 2</t>
  </si>
  <si>
    <t>Test of angular velocity to get Ke (try 2)</t>
  </si>
  <si>
    <t>Ke</t>
  </si>
  <si>
    <t>friction Torque</t>
  </si>
  <si>
    <t>Test of angular velocity to get Ke (try 3, with gear)</t>
  </si>
  <si>
    <t>Uoutput(V)</t>
  </si>
  <si>
    <t>PWM</t>
  </si>
  <si>
    <t>Test of angular velocity to get Ke (try 3 Motor only)</t>
  </si>
  <si>
    <t>Motor Parameters</t>
  </si>
  <si>
    <t>Lm =</t>
  </si>
  <si>
    <t>Jm =</t>
  </si>
  <si>
    <t>Bm =</t>
  </si>
  <si>
    <r>
      <t>b = Kt*I/</t>
    </r>
    <r>
      <rPr>
        <b/>
        <sz val="11"/>
        <color theme="1"/>
        <rFont val="Calibri"/>
        <family val="2"/>
      </rPr>
      <t>ω</t>
    </r>
    <r>
      <rPr>
        <b/>
        <sz val="11"/>
        <color theme="1"/>
        <rFont val="Calibri"/>
        <family val="2"/>
        <scheme val="minor"/>
      </rPr>
      <t xml:space="preserve"> </t>
    </r>
  </si>
  <si>
    <t>Test of the torque to get Kt (torquemeter) NEW</t>
  </si>
  <si>
    <t>The Kt we keep:</t>
  </si>
  <si>
    <t>New, real shit, not fake news, legit tests results</t>
  </si>
  <si>
    <t>in data sheet</t>
  </si>
  <si>
    <t>Shuntresistor</t>
  </si>
  <si>
    <t>U</t>
  </si>
  <si>
    <t>I</t>
  </si>
  <si>
    <t>R</t>
  </si>
  <si>
    <t>I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</si>
</sst>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0000"/>
    <numFmt numFmtId="166" formatCode="0.000000"/>
    <numFmt numFmtId="167" formatCode="0.000"/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1" xfId="0" applyNumberFormat="1" applyBorder="1"/>
    <xf numFmtId="0" fontId="3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/>
    <xf numFmtId="0" fontId="0" fillId="0" borderId="1" xfId="0" applyBorder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" fontId="0" fillId="0" borderId="0" xfId="0" applyNumberFormat="1"/>
    <xf numFmtId="0" fontId="0" fillId="0" borderId="7" xfId="0" applyFont="1" applyBorder="1"/>
    <xf numFmtId="11" fontId="0" fillId="0" borderId="0" xfId="0" applyNumberFormat="1"/>
    <xf numFmtId="0" fontId="2" fillId="0" borderId="0" xfId="0" applyFont="1" applyAlignment="1">
      <alignment horizontal="center"/>
    </xf>
    <xf numFmtId="168" fontId="0" fillId="0" borderId="0" xfId="0" applyNumberForma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omega(int)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229905394371785E-2"/>
                  <c:y val="-3.203298455117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Sheet1!$J$32:$J$51</c:f>
              <c:numCache>
                <c:formatCode>0.00</c:formatCode>
                <c:ptCount val="20"/>
                <c:pt idx="0">
                  <c:v>7.2986495992490132</c:v>
                </c:pt>
                <c:pt idx="1">
                  <c:v>8.885312555607495</c:v>
                </c:pt>
                <c:pt idx="2">
                  <c:v>10.154642920694281</c:v>
                </c:pt>
                <c:pt idx="3">
                  <c:v>11.741305877052762</c:v>
                </c:pt>
                <c:pt idx="4">
                  <c:v>13.010636242139546</c:v>
                </c:pt>
                <c:pt idx="5">
                  <c:v>14.914631789769725</c:v>
                </c:pt>
                <c:pt idx="6">
                  <c:v>15.866629563584812</c:v>
                </c:pt>
                <c:pt idx="7">
                  <c:v>17.135959928671596</c:v>
                </c:pt>
                <c:pt idx="8">
                  <c:v>18.56395658939423</c:v>
                </c:pt>
                <c:pt idx="9">
                  <c:v>19.991953250116865</c:v>
                </c:pt>
                <c:pt idx="10">
                  <c:v>21.578616206475342</c:v>
                </c:pt>
                <c:pt idx="11">
                  <c:v>23.165279162833826</c:v>
                </c:pt>
                <c:pt idx="12">
                  <c:v>24.43460952792061</c:v>
                </c:pt>
                <c:pt idx="13">
                  <c:v>26.338605075550792</c:v>
                </c:pt>
                <c:pt idx="14">
                  <c:v>27.925268031909276</c:v>
                </c:pt>
                <c:pt idx="15">
                  <c:v>28.87726580572436</c:v>
                </c:pt>
                <c:pt idx="16">
                  <c:v>31.098593944626238</c:v>
                </c:pt>
                <c:pt idx="17">
                  <c:v>32.367924309713018</c:v>
                </c:pt>
                <c:pt idx="18">
                  <c:v>33.637254674799799</c:v>
                </c:pt>
                <c:pt idx="19">
                  <c:v>35.223917631158287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0-44A7-8C20-ACF06D991E32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omega(ext)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658545882017067E-2"/>
                  <c:y val="-1.5636938059766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Sheet1!$E$32:$E$51</c:f>
              <c:numCache>
                <c:formatCode>General</c:formatCode>
                <c:ptCount val="20"/>
                <c:pt idx="0">
                  <c:v>4.5</c:v>
                </c:pt>
                <c:pt idx="1">
                  <c:v>5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7.5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9.5</c:v>
                </c:pt>
                <c:pt idx="11">
                  <c:v>10</c:v>
                </c:pt>
                <c:pt idx="12">
                  <c:v>10.5</c:v>
                </c:pt>
                <c:pt idx="13">
                  <c:v>11</c:v>
                </c:pt>
                <c:pt idx="14">
                  <c:v>11.5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14</c:v>
                </c:pt>
              </c:numCache>
            </c:numRef>
          </c:xVal>
          <c:yVal>
            <c:numRef>
              <c:f>Sheet1!$N$32:$N$51</c:f>
              <c:numCache>
                <c:formatCode>0.00</c:formatCode>
                <c:ptCount val="20"/>
                <c:pt idx="0">
                  <c:v>11.519173063162576</c:v>
                </c:pt>
                <c:pt idx="1">
                  <c:v>21.991148575128552</c:v>
                </c:pt>
                <c:pt idx="2">
                  <c:v>25.132741228718341</c:v>
                </c:pt>
                <c:pt idx="3">
                  <c:v>28.274333882308138</c:v>
                </c:pt>
                <c:pt idx="4">
                  <c:v>31.415926535897931</c:v>
                </c:pt>
                <c:pt idx="5">
                  <c:v>34.557519189487721</c:v>
                </c:pt>
                <c:pt idx="6">
                  <c:v>37.175513067479216</c:v>
                </c:pt>
                <c:pt idx="7">
                  <c:v>40.317105721069012</c:v>
                </c:pt>
                <c:pt idx="8">
                  <c:v>42.935099599060507</c:v>
                </c:pt>
                <c:pt idx="9">
                  <c:v>45.553093477052002</c:v>
                </c:pt>
                <c:pt idx="10">
                  <c:v>49.218284906240093</c:v>
                </c:pt>
                <c:pt idx="11">
                  <c:v>51.312680008633286</c:v>
                </c:pt>
                <c:pt idx="12">
                  <c:v>54.454272662223076</c:v>
                </c:pt>
                <c:pt idx="13">
                  <c:v>58.643062867009469</c:v>
                </c:pt>
                <c:pt idx="14">
                  <c:v>61.784655520599266</c:v>
                </c:pt>
                <c:pt idx="15">
                  <c:v>64.402649398590754</c:v>
                </c:pt>
                <c:pt idx="16">
                  <c:v>69.115038378975441</c:v>
                </c:pt>
                <c:pt idx="17">
                  <c:v>71.209433481368649</c:v>
                </c:pt>
                <c:pt idx="18">
                  <c:v>75.398223686155035</c:v>
                </c:pt>
                <c:pt idx="19">
                  <c:v>78.539816339744831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0-44A7-8C20-ACF06D99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78936"/>
        <c:axId val="483087136"/>
      </c:scatterChart>
      <c:valAx>
        <c:axId val="483078936"/>
        <c:scaling>
          <c:orientation val="minMax"/>
          <c:min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87136"/>
        <c:crosses val="autoZero"/>
        <c:crossBetween val="midCat"/>
      </c:valAx>
      <c:valAx>
        <c:axId val="483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 Velocity (rad/sec)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Sheet1!$BI$85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Sheet1!$BD$86:$BD$100</c:f>
              <c:numCache>
                <c:formatCode>0.00</c:formatCode>
                <c:ptCount val="15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0.94</c:v>
                </c:pt>
                <c:pt idx="11">
                  <c:v>0.96</c:v>
                </c:pt>
                <c:pt idx="12">
                  <c:v>0.98</c:v>
                </c:pt>
                <c:pt idx="13">
                  <c:v>1</c:v>
                </c:pt>
                <c:pt idx="14">
                  <c:v>1.03</c:v>
                </c:pt>
              </c:numCache>
            </c:numRef>
          </c:xVal>
          <c:yVal>
            <c:numRef>
              <c:f>Sheet1!$BI$86:$BI$100</c:f>
              <c:numCache>
                <c:formatCode>General</c:formatCode>
                <c:ptCount val="15"/>
                <c:pt idx="0">
                  <c:v>2.4347395447611096E-4</c:v>
                </c:pt>
                <c:pt idx="1">
                  <c:v>2.297796560870236E-4</c:v>
                </c:pt>
                <c:pt idx="2">
                  <c:v>2.1386225731009746E-4</c:v>
                </c:pt>
                <c:pt idx="3">
                  <c:v>2.0156110183072246E-4</c:v>
                </c:pt>
                <c:pt idx="4">
                  <c:v>1.864440191934183E-4</c:v>
                </c:pt>
                <c:pt idx="5">
                  <c:v>1.7023149578529492E-4</c:v>
                </c:pt>
                <c:pt idx="6">
                  <c:v>1.6702276719410389E-4</c:v>
                </c:pt>
                <c:pt idx="7">
                  <c:v>1.5576335780715959E-4</c:v>
                </c:pt>
                <c:pt idx="8">
                  <c:v>1.4301103744949697E-4</c:v>
                </c:pt>
                <c:pt idx="9">
                  <c:v>1.319449981984191E-4</c:v>
                </c:pt>
                <c:pt idx="10">
                  <c:v>1.2699810003029941E-4</c:v>
                </c:pt>
                <c:pt idx="11">
                  <c:v>1.2093666109843348E-4</c:v>
                </c:pt>
                <c:pt idx="12">
                  <c:v>1.137231154416286E-4</c:v>
                </c:pt>
                <c:pt idx="13">
                  <c:v>1.0132827130077079E-4</c:v>
                </c:pt>
                <c:pt idx="14">
                  <c:v>9.3829319105482502E-5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2-4355-BF31-393F793D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00512"/>
        <c:axId val="373300840"/>
      </c:scatterChart>
      <c:valAx>
        <c:axId val="373300512"/>
        <c:scaling>
          <c:orientation val="minMax"/>
          <c:min val="0.72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840"/>
        <c:crosses val="autoZero"/>
        <c:crossBetween val="midCat"/>
      </c:valAx>
      <c:valAx>
        <c:axId val="373300840"/>
        <c:scaling>
          <c:orientation val="minMax"/>
          <c:max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Sheet1!$BG$30</c:f>
              <c:strCache>
                <c:ptCount val="1"/>
                <c:pt idx="0">
                  <c:v>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Sheet1!$AZ$31:$AZ$49</c:f>
              <c:numCache>
                <c:formatCode>0.0</c:formatCode>
                <c:ptCount val="1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  <c:pt idx="15">
                  <c:v>10.5</c:v>
                </c:pt>
                <c:pt idx="16">
                  <c:v>11</c:v>
                </c:pt>
                <c:pt idx="17">
                  <c:v>11.5</c:v>
                </c:pt>
                <c:pt idx="18">
                  <c:v>12</c:v>
                </c:pt>
              </c:numCache>
            </c:numRef>
          </c:xVal>
          <c:yVal>
            <c:numRef>
              <c:f>Sheet1!$BG$31:$BG$49</c:f>
              <c:numCache>
                <c:formatCode>0.000</c:formatCode>
                <c:ptCount val="19"/>
                <c:pt idx="0">
                  <c:v>4.6098274336908933E-2</c:v>
                </c:pt>
                <c:pt idx="1">
                  <c:v>4.2773446147608821E-2</c:v>
                </c:pt>
                <c:pt idx="2">
                  <c:v>4.0513552239246242E-2</c:v>
                </c:pt>
                <c:pt idx="3">
                  <c:v>3.9009332244661674E-2</c:v>
                </c:pt>
                <c:pt idx="4">
                  <c:v>3.8191881177285149E-2</c:v>
                </c:pt>
                <c:pt idx="5">
                  <c:v>3.7905183058035037E-2</c:v>
                </c:pt>
                <c:pt idx="6">
                  <c:v>3.7447999329105225E-2</c:v>
                </c:pt>
                <c:pt idx="7">
                  <c:v>3.6928219413241654E-2</c:v>
                </c:pt>
                <c:pt idx="8">
                  <c:v>3.6608962828815789E-2</c:v>
                </c:pt>
                <c:pt idx="9">
                  <c:v>3.63045912899655E-2</c:v>
                </c:pt>
                <c:pt idx="10">
                  <c:v>3.629235297052346E-2</c:v>
                </c:pt>
                <c:pt idx="11">
                  <c:v>3.592771449012206E-2</c:v>
                </c:pt>
                <c:pt idx="12">
                  <c:v>3.5703904247261851E-2</c:v>
                </c:pt>
                <c:pt idx="13">
                  <c:v>3.5528458792224216E-2</c:v>
                </c:pt>
                <c:pt idx="14">
                  <c:v>3.5427503721058108E-2</c:v>
                </c:pt>
                <c:pt idx="15">
                  <c:v>3.5232051299873592E-2</c:v>
                </c:pt>
                <c:pt idx="16">
                  <c:v>3.5051454292942895E-2</c:v>
                </c:pt>
                <c:pt idx="17">
                  <c:v>3.4885450907656108E-2</c:v>
                </c:pt>
                <c:pt idx="18">
                  <c:v>3.4648082953106625E-2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8-4B7B-A121-34E1AEAD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34472"/>
        <c:axId val="410030536"/>
      </c:scatterChart>
      <c:valAx>
        <c:axId val="41003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0536"/>
        <c:crosses val="autoZero"/>
        <c:crossBetween val="midCat"/>
      </c:valAx>
      <c:valAx>
        <c:axId val="4100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Sheet1!$BK$7</c:f>
              <c:strCache>
                <c:ptCount val="1"/>
                <c:pt idx="0">
                  <c:v>Rm [ohm]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Sheet1!$BI$8:$BI$26</c:f>
              <c:numCache>
                <c:formatCode>General</c:formatCode>
                <c:ptCount val="19"/>
                <c:pt idx="0">
                  <c:v>0.33</c:v>
                </c:pt>
                <c:pt idx="1">
                  <c:v>0.71</c:v>
                </c:pt>
                <c:pt idx="2">
                  <c:v>1.1299999999999999</c:v>
                </c:pt>
                <c:pt idx="3">
                  <c:v>1.67</c:v>
                </c:pt>
                <c:pt idx="4">
                  <c:v>2.34</c:v>
                </c:pt>
                <c:pt idx="5">
                  <c:v>2.94</c:v>
                </c:pt>
                <c:pt idx="6">
                  <c:v>3.75</c:v>
                </c:pt>
                <c:pt idx="7">
                  <c:v>4.68</c:v>
                </c:pt>
                <c:pt idx="8">
                  <c:v>5.54</c:v>
                </c:pt>
                <c:pt idx="9">
                  <c:v>6.11</c:v>
                </c:pt>
                <c:pt idx="10">
                  <c:v>6.46</c:v>
                </c:pt>
                <c:pt idx="11">
                  <c:v>7.4</c:v>
                </c:pt>
                <c:pt idx="12">
                  <c:v>8.26</c:v>
                </c:pt>
                <c:pt idx="13">
                  <c:v>9.14</c:v>
                </c:pt>
              </c:numCache>
            </c:numRef>
          </c:xVal>
          <c:yVal>
            <c:numRef>
              <c:f>Sheet1!$BH$8:$BH$26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2.4900000000000002</c:v>
                </c:pt>
                <c:pt idx="5">
                  <c:v>2.98</c:v>
                </c:pt>
                <c:pt idx="6">
                  <c:v>3.5</c:v>
                </c:pt>
                <c:pt idx="7">
                  <c:v>3.99</c:v>
                </c:pt>
                <c:pt idx="8">
                  <c:v>4.5</c:v>
                </c:pt>
                <c:pt idx="9">
                  <c:v>4.9800000000000004</c:v>
                </c:pt>
                <c:pt idx="10">
                  <c:v>5.54</c:v>
                </c:pt>
                <c:pt idx="11">
                  <c:v>6.02</c:v>
                </c:pt>
                <c:pt idx="12">
                  <c:v>6.51</c:v>
                </c:pt>
                <c:pt idx="13">
                  <c:v>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78A-9A6E-FF6343DA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391928"/>
        <c:axId val="285392256"/>
      </c:scatterChart>
      <c:valAx>
        <c:axId val="28539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92256"/>
        <c:crosses val="autoZero"/>
        <c:crossBetween val="midCat"/>
      </c:valAx>
      <c:valAx>
        <c:axId val="2853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39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Sheet1!$H$60:$H$80</c:f>
              <c:numCache>
                <c:formatCode>0.0000</c:formatCode>
                <c:ptCount val="21"/>
                <c:pt idx="0">
                  <c:v>1.6E-2</c:v>
                </c:pt>
                <c:pt idx="1">
                  <c:v>9.5999999999999992E-3</c:v>
                </c:pt>
                <c:pt idx="2">
                  <c:v>8.2352941176470594E-3</c:v>
                </c:pt>
                <c:pt idx="3">
                  <c:v>7.7000000000000002E-3</c:v>
                </c:pt>
                <c:pt idx="4">
                  <c:v>7.1999999999999998E-3</c:v>
                </c:pt>
                <c:pt idx="5">
                  <c:v>6.6000000000000008E-3</c:v>
                </c:pt>
                <c:pt idx="6">
                  <c:v>6.2857142857142851E-3</c:v>
                </c:pt>
                <c:pt idx="7">
                  <c:v>6.45E-3</c:v>
                </c:pt>
                <c:pt idx="8">
                  <c:v>6.7555555555555554E-3</c:v>
                </c:pt>
                <c:pt idx="9">
                  <c:v>6.5600000000000007E-3</c:v>
                </c:pt>
                <c:pt idx="10">
                  <c:v>6.1090909090909086E-3</c:v>
                </c:pt>
                <c:pt idx="11">
                  <c:v>6.0333333333333341E-3</c:v>
                </c:pt>
                <c:pt idx="12">
                  <c:v>6.3692307692307694E-3</c:v>
                </c:pt>
                <c:pt idx="13">
                  <c:v>6.1714285714285716E-3</c:v>
                </c:pt>
                <c:pt idx="14">
                  <c:v>5.9733333333333331E-3</c:v>
                </c:pt>
                <c:pt idx="15">
                  <c:v>6.0499999999999998E-3</c:v>
                </c:pt>
                <c:pt idx="16">
                  <c:v>6.1647058823529411E-3</c:v>
                </c:pt>
                <c:pt idx="17">
                  <c:v>6.1555555555555556E-3</c:v>
                </c:pt>
                <c:pt idx="18">
                  <c:v>5.9578947368421047E-3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BC4-8467-7F17131CD444}"/>
            </c:ext>
          </c:extLst>
        </c:ser>
        <c:ser>
          <c:idx val="1"/>
          <c:order val="1"/>
          <c:tx>
            <c:strRef>
              <c:f>Sheet1!$M$59</c:f>
              <c:strCache>
                <c:ptCount val="1"/>
                <c:pt idx="0">
                  <c:v>Kt(down)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Sheet1!$F$60:$F$80</c:f>
              <c:numCache>
                <c:formatCode>General</c:formatCode>
                <c:ptCount val="21"/>
                <c:pt idx="0">
                  <c:v>0.5</c:v>
                </c:pt>
                <c:pt idx="1">
                  <c:v>1</c:v>
                </c:pt>
                <c:pt idx="2">
                  <c:v>1.53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10.37</c:v>
                </c:pt>
              </c:numCache>
            </c:numRef>
          </c:xVal>
          <c:yVal>
            <c:numRef>
              <c:f>Sheet1!$M$60:$M$80</c:f>
              <c:numCache>
                <c:formatCode>0.0000</c:formatCode>
                <c:ptCount val="21"/>
                <c:pt idx="0">
                  <c:v>1.9199999999999998E-2</c:v>
                </c:pt>
                <c:pt idx="1">
                  <c:v>1.34E-2</c:v>
                </c:pt>
                <c:pt idx="2">
                  <c:v>1.0065359477124183E-2</c:v>
                </c:pt>
                <c:pt idx="3">
                  <c:v>9.4000000000000004E-3</c:v>
                </c:pt>
                <c:pt idx="4">
                  <c:v>8.6E-3</c:v>
                </c:pt>
                <c:pt idx="5">
                  <c:v>8.266666666666667E-3</c:v>
                </c:pt>
                <c:pt idx="6">
                  <c:v>7.9428571428571421E-3</c:v>
                </c:pt>
                <c:pt idx="7">
                  <c:v>7.4999999999999997E-3</c:v>
                </c:pt>
                <c:pt idx="8">
                  <c:v>7.244444444444444E-3</c:v>
                </c:pt>
                <c:pt idx="9">
                  <c:v>7.0800000000000004E-3</c:v>
                </c:pt>
                <c:pt idx="10">
                  <c:v>6.909090909090909E-3</c:v>
                </c:pt>
                <c:pt idx="11">
                  <c:v>6.8333333333333336E-3</c:v>
                </c:pt>
                <c:pt idx="12">
                  <c:v>6.7384615384615387E-3</c:v>
                </c:pt>
                <c:pt idx="13">
                  <c:v>6.6857142857142862E-3</c:v>
                </c:pt>
                <c:pt idx="14">
                  <c:v>6.613333333333333E-3</c:v>
                </c:pt>
                <c:pt idx="15">
                  <c:v>6.45E-3</c:v>
                </c:pt>
                <c:pt idx="16">
                  <c:v>6.3764705882352942E-3</c:v>
                </c:pt>
                <c:pt idx="17">
                  <c:v>6.3111111111111111E-3</c:v>
                </c:pt>
                <c:pt idx="18">
                  <c:v>6.1052631578947369E-3</c:v>
                </c:pt>
                <c:pt idx="19">
                  <c:v>6.1799999999999997E-3</c:v>
                </c:pt>
                <c:pt idx="20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4-4BC4-8467-7F17131CD444}"/>
            </c:ext>
          </c:extLst>
        </c:ser>
        <c:ser>
          <c:idx val="2"/>
          <c:order val="2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>
                <a:glow>
                  <a:schemeClr val="accent2">
                    <a:satMod val="175000"/>
                  </a:schemeClr>
                </a:glow>
                <a:softEdge rad="0"/>
              </a:effectLst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Sheet1!$O$67:$O$80</c:f>
              <c:numCache>
                <c:formatCode>0.0000</c:formatCode>
                <c:ptCount val="14"/>
                <c:pt idx="0">
                  <c:v>6.9750000000000003E-3</c:v>
                </c:pt>
                <c:pt idx="1">
                  <c:v>6.9999999999999993E-3</c:v>
                </c:pt>
                <c:pt idx="2">
                  <c:v>6.8200000000000005E-3</c:v>
                </c:pt>
                <c:pt idx="3">
                  <c:v>6.5090909090909088E-3</c:v>
                </c:pt>
                <c:pt idx="4">
                  <c:v>6.4333333333333343E-3</c:v>
                </c:pt>
                <c:pt idx="5">
                  <c:v>6.553846153846154E-3</c:v>
                </c:pt>
                <c:pt idx="6">
                  <c:v>6.4285714285714293E-3</c:v>
                </c:pt>
                <c:pt idx="7">
                  <c:v>6.2933333333333331E-3</c:v>
                </c:pt>
                <c:pt idx="8">
                  <c:v>6.2500000000000003E-3</c:v>
                </c:pt>
                <c:pt idx="9">
                  <c:v>6.2705882352941181E-3</c:v>
                </c:pt>
                <c:pt idx="10">
                  <c:v>6.2333333333333338E-3</c:v>
                </c:pt>
                <c:pt idx="11">
                  <c:v>6.0315789473684208E-3</c:v>
                </c:pt>
                <c:pt idx="12">
                  <c:v>6.1799999999999997E-3</c:v>
                </c:pt>
                <c:pt idx="13">
                  <c:v>6.0559305689488908E-3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B4-4BC4-8467-7F17131C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474000"/>
        <c:axId val="555473344"/>
      </c:scatterChart>
      <c:valAx>
        <c:axId val="5554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3344"/>
        <c:crosses val="autoZero"/>
        <c:crossBetween val="midCat"/>
      </c:valAx>
      <c:valAx>
        <c:axId val="5554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N.m/A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45510199971808"/>
          <c:y val="0.11511483550589698"/>
          <c:w val="0.58249579182719124"/>
          <c:h val="0.74707229333763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Sheet1!$P$66</c:f>
              <c:strCache>
                <c:ptCount val="1"/>
                <c:pt idx="0">
                  <c:v>Theoretical Torque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750146001570776E-2"/>
                  <c:y val="7.5032869494665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Sheet1!$P$67:$P$80</c:f>
              <c:numCache>
                <c:formatCode>0.0000</c:formatCode>
                <c:ptCount val="14"/>
                <c:pt idx="0">
                  <c:v>2.5600000000000001E-2</c:v>
                </c:pt>
                <c:pt idx="1">
                  <c:v>2.8800000000000003E-2</c:v>
                </c:pt>
                <c:pt idx="2">
                  <c:v>3.2000000000000001E-2</c:v>
                </c:pt>
                <c:pt idx="3">
                  <c:v>3.5200000000000002E-2</c:v>
                </c:pt>
                <c:pt idx="4">
                  <c:v>3.8400000000000004E-2</c:v>
                </c:pt>
                <c:pt idx="5">
                  <c:v>4.1600000000000005E-2</c:v>
                </c:pt>
                <c:pt idx="6">
                  <c:v>4.48E-2</c:v>
                </c:pt>
                <c:pt idx="7">
                  <c:v>4.8000000000000001E-2</c:v>
                </c:pt>
                <c:pt idx="8">
                  <c:v>5.1200000000000002E-2</c:v>
                </c:pt>
                <c:pt idx="9">
                  <c:v>5.4400000000000004E-2</c:v>
                </c:pt>
                <c:pt idx="10">
                  <c:v>5.7600000000000005E-2</c:v>
                </c:pt>
                <c:pt idx="11">
                  <c:v>6.08E-2</c:v>
                </c:pt>
                <c:pt idx="12">
                  <c:v>6.4000000000000001E-2</c:v>
                </c:pt>
                <c:pt idx="13">
                  <c:v>6.6367999999999996E-2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D-43D6-80C2-F1AEF4AF40E6}"/>
            </c:ext>
          </c:extLst>
        </c:ser>
        <c:ser>
          <c:idx val="1"/>
          <c:order val="1"/>
          <c:tx>
            <c:strRef>
              <c:f>Sheet1!$G$59</c:f>
              <c:strCache>
                <c:ptCount val="1"/>
                <c:pt idx="0">
                  <c:v>τ up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Sheet1!$G$67:$G$80</c:f>
              <c:numCache>
                <c:formatCode>General</c:formatCode>
                <c:ptCount val="14"/>
                <c:pt idx="0">
                  <c:v>2.58E-2</c:v>
                </c:pt>
                <c:pt idx="1">
                  <c:v>3.04E-2</c:v>
                </c:pt>
                <c:pt idx="2">
                  <c:v>3.2800000000000003E-2</c:v>
                </c:pt>
                <c:pt idx="3">
                  <c:v>3.3599999999999998E-2</c:v>
                </c:pt>
                <c:pt idx="4">
                  <c:v>3.6200000000000003E-2</c:v>
                </c:pt>
                <c:pt idx="5">
                  <c:v>4.1399999999999999E-2</c:v>
                </c:pt>
                <c:pt idx="6">
                  <c:v>4.3200000000000002E-2</c:v>
                </c:pt>
                <c:pt idx="7">
                  <c:v>4.48E-2</c:v>
                </c:pt>
                <c:pt idx="8">
                  <c:v>4.8399999999999999E-2</c:v>
                </c:pt>
                <c:pt idx="9">
                  <c:v>5.2400000000000002E-2</c:v>
                </c:pt>
                <c:pt idx="10">
                  <c:v>5.5399999999999998E-2</c:v>
                </c:pt>
                <c:pt idx="11">
                  <c:v>5.6599999999999998E-2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D-43D6-80C2-F1AEF4AF40E6}"/>
            </c:ext>
          </c:extLst>
        </c:ser>
        <c:ser>
          <c:idx val="2"/>
          <c:order val="2"/>
          <c:tx>
            <c:strRef>
              <c:f>Sheet1!$L$59</c:f>
              <c:strCache>
                <c:ptCount val="1"/>
                <c:pt idx="0">
                  <c:v>τ down (N.m)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Sheet1!$K$67:$K$80</c:f>
              <c:numCache>
                <c:formatCode>General</c:formatCode>
                <c:ptCount val="14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5.5</c:v>
                </c:pt>
                <c:pt idx="4">
                  <c:v>6</c:v>
                </c:pt>
                <c:pt idx="5">
                  <c:v>6.5</c:v>
                </c:pt>
                <c:pt idx="6">
                  <c:v>7</c:v>
                </c:pt>
                <c:pt idx="7">
                  <c:v>7.5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10.37</c:v>
                </c:pt>
              </c:numCache>
            </c:numRef>
          </c:xVal>
          <c:yVal>
            <c:numRef>
              <c:f>Sheet1!$L$67:$L$80</c:f>
              <c:numCache>
                <c:formatCode>General</c:formatCode>
                <c:ptCount val="14"/>
                <c:pt idx="0">
                  <c:v>0.03</c:v>
                </c:pt>
                <c:pt idx="1">
                  <c:v>3.2599999999999997E-2</c:v>
                </c:pt>
                <c:pt idx="2">
                  <c:v>3.5400000000000001E-2</c:v>
                </c:pt>
                <c:pt idx="3">
                  <c:v>3.7999999999999999E-2</c:v>
                </c:pt>
                <c:pt idx="4">
                  <c:v>4.1000000000000002E-2</c:v>
                </c:pt>
                <c:pt idx="5">
                  <c:v>4.3799999999999999E-2</c:v>
                </c:pt>
                <c:pt idx="6">
                  <c:v>4.6800000000000001E-2</c:v>
                </c:pt>
                <c:pt idx="7">
                  <c:v>4.9599999999999998E-2</c:v>
                </c:pt>
                <c:pt idx="8">
                  <c:v>5.16E-2</c:v>
                </c:pt>
                <c:pt idx="9">
                  <c:v>5.4199999999999998E-2</c:v>
                </c:pt>
                <c:pt idx="10">
                  <c:v>5.6800000000000003E-2</c:v>
                </c:pt>
                <c:pt idx="11">
                  <c:v>5.8000000000000003E-2</c:v>
                </c:pt>
                <c:pt idx="12">
                  <c:v>6.1800000000000001E-2</c:v>
                </c:pt>
                <c:pt idx="13">
                  <c:v>6.2799999999999995E-2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D-43D6-80C2-F1AEF4AF4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73624"/>
        <c:axId val="551974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Sheet1!$H$87</c15:sqref>
                        </c15:formulaRef>
                      </c:ext>
                    </c:extLst>
                    <c:strCache>
                      <c:ptCount val="1"/>
                      <c:pt idx="0">
                        <c:v>Tau_f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Sheet1!$F$68:$F$70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</c:v>
                      </c:pt>
                      <c:pt idx="1">
                        <c:v>5</c:v>
                      </c:pt>
                      <c:pt idx="2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Sheet1!$H$93:$H$95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5.0490000000000004</c:v>
                      </c:pt>
                      <c:pt idx="1">
                        <c:v>5.4119999999999999</c:v>
                      </c:pt>
                      <c:pt idx="2">
                        <c:v>6.2040000000000006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4AB-4729-9AAA-D5B78B4323C7}"/>
                  </c:ext>
                </c:extLst>
              </c15:ser>
            </c15:filteredScatterSeries>
          </c:ext>
        </c:extLst>
      </c:scatterChart>
      <c:valAx>
        <c:axId val="551973624"/>
        <c:scaling>
          <c:orientation val="minMax"/>
          <c:max val="10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4936"/>
        <c:crosses val="autoZero"/>
        <c:crossBetween val="midCat"/>
      </c:valAx>
      <c:valAx>
        <c:axId val="551974936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73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Rm [ohm]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Sheet1!$F$7:$F$25</c:f>
              <c:numCache>
                <c:formatCode>General</c:formatCode>
                <c:ptCount val="19"/>
                <c:pt idx="0">
                  <c:v>1.44</c:v>
                </c:pt>
                <c:pt idx="1">
                  <c:v>1.46</c:v>
                </c:pt>
                <c:pt idx="2">
                  <c:v>1.45</c:v>
                </c:pt>
                <c:pt idx="3">
                  <c:v>1.3725000000000001</c:v>
                </c:pt>
                <c:pt idx="4">
                  <c:v>1.232</c:v>
                </c:pt>
                <c:pt idx="5">
                  <c:v>1.0383333333333333</c:v>
                </c:pt>
                <c:pt idx="6">
                  <c:v>0.95000000000000007</c:v>
                </c:pt>
                <c:pt idx="7">
                  <c:v>0.91874999999999996</c:v>
                </c:pt>
                <c:pt idx="8">
                  <c:v>0.85444444444444434</c:v>
                </c:pt>
                <c:pt idx="9">
                  <c:v>0.86799999999999999</c:v>
                </c:pt>
                <c:pt idx="10">
                  <c:v>0.83636363636363631</c:v>
                </c:pt>
                <c:pt idx="11">
                  <c:v>0.79083333333333339</c:v>
                </c:pt>
                <c:pt idx="12">
                  <c:v>0.7846153846153846</c:v>
                </c:pt>
                <c:pt idx="13">
                  <c:v>0.78928571428571437</c:v>
                </c:pt>
                <c:pt idx="14">
                  <c:v>0.77399999999999991</c:v>
                </c:pt>
                <c:pt idx="15">
                  <c:v>0.73499999999999999</c:v>
                </c:pt>
                <c:pt idx="16">
                  <c:v>0.71882352941176475</c:v>
                </c:pt>
                <c:pt idx="17">
                  <c:v>0.71111111111111114</c:v>
                </c:pt>
                <c:pt idx="18">
                  <c:v>0.69789473684210523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B-4483-B73A-8C550146F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687008"/>
        <c:axId val="417691928"/>
      </c:scatterChart>
      <c:valAx>
        <c:axId val="4176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1928"/>
        <c:crosses val="autoZero"/>
        <c:crossBetween val="midCat"/>
      </c:valAx>
      <c:valAx>
        <c:axId val="4176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 [ohm]</a:t>
            </a:r>
          </a:p>
        </c:rich>
      </c:tx>
      <c:layout>
        <c:manualLayout>
          <c:xMode val="edge"/>
          <c:yMode val="edge"/>
          <c:x val="0.43462489063867016"/>
          <c:y val="2.7624309392265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Uavg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2533245844269464E-2"/>
                  <c:y val="-1.63425925925925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Sheet1!$A$7:$A$25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Sheet1!$E$7:$E$25</c:f>
              <c:numCache>
                <c:formatCode>General</c:formatCode>
                <c:ptCount val="19"/>
                <c:pt idx="0">
                  <c:v>0.72</c:v>
                </c:pt>
                <c:pt idx="1">
                  <c:v>1.46</c:v>
                </c:pt>
                <c:pt idx="2">
                  <c:v>2.1749999999999998</c:v>
                </c:pt>
                <c:pt idx="3">
                  <c:v>2.7450000000000001</c:v>
                </c:pt>
                <c:pt idx="4">
                  <c:v>3.08</c:v>
                </c:pt>
                <c:pt idx="5">
                  <c:v>3.1150000000000002</c:v>
                </c:pt>
                <c:pt idx="6">
                  <c:v>3.3250000000000002</c:v>
                </c:pt>
                <c:pt idx="7">
                  <c:v>3.6749999999999998</c:v>
                </c:pt>
                <c:pt idx="8">
                  <c:v>3.8449999999999998</c:v>
                </c:pt>
                <c:pt idx="9">
                  <c:v>4.34</c:v>
                </c:pt>
                <c:pt idx="10">
                  <c:v>4.5999999999999996</c:v>
                </c:pt>
                <c:pt idx="11">
                  <c:v>4.7450000000000001</c:v>
                </c:pt>
                <c:pt idx="12">
                  <c:v>5.0999999999999996</c:v>
                </c:pt>
                <c:pt idx="13">
                  <c:v>5.5250000000000004</c:v>
                </c:pt>
                <c:pt idx="14">
                  <c:v>5.8049999999999997</c:v>
                </c:pt>
                <c:pt idx="15">
                  <c:v>5.88</c:v>
                </c:pt>
                <c:pt idx="16">
                  <c:v>6.11</c:v>
                </c:pt>
                <c:pt idx="17">
                  <c:v>6.4</c:v>
                </c:pt>
                <c:pt idx="18">
                  <c:v>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D-4CDD-A51E-8DC347D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10128"/>
        <c:axId val="433210784"/>
      </c:scatterChart>
      <c:valAx>
        <c:axId val="4332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784"/>
        <c:crosses val="autoZero"/>
        <c:crossBetween val="midCat"/>
      </c:valAx>
      <c:valAx>
        <c:axId val="433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1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17147856517934E-2"/>
          <c:y val="5.0925925925925923E-2"/>
          <c:w val="0.8825717410323709"/>
          <c:h val="0.79224482356372117"/>
        </c:manualLayout>
      </c:layout>
      <c:scatterChart>
        <c:scatterStyle val="lineMarker"/>
        <c:varyColors val="0"/>
        <c:ser>
          <c:idx val="1"/>
          <c:order val="1"/>
          <c:tx>
            <c:v>T theoric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Sheet1!$J$88:$J$96</c:f>
              <c:numCache>
                <c:formatCode>General</c:formatCode>
                <c:ptCount val="9"/>
                <c:pt idx="0">
                  <c:v>1.6611099206349209</c:v>
                </c:pt>
                <c:pt idx="1">
                  <c:v>2.2148132275132277</c:v>
                </c:pt>
                <c:pt idx="2">
                  <c:v>2.7685165343915346</c:v>
                </c:pt>
                <c:pt idx="3">
                  <c:v>3.3222198412698418</c:v>
                </c:pt>
                <c:pt idx="4">
                  <c:v>3.8759231481481486</c:v>
                </c:pt>
                <c:pt idx="5">
                  <c:v>4.4296264550264555</c:v>
                </c:pt>
                <c:pt idx="6">
                  <c:v>4.9833297619047627</c:v>
                </c:pt>
                <c:pt idx="7">
                  <c:v>5.5370330687830691</c:v>
                </c:pt>
                <c:pt idx="8">
                  <c:v>6.0907363756613764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8F0-97F8-BCA917378495}"/>
            </c:ext>
          </c:extLst>
        </c:ser>
        <c:ser>
          <c:idx val="2"/>
          <c:order val="2"/>
          <c:tx>
            <c:strRef>
              <c:f>Sheet1!$H$87</c:f>
              <c:strCache>
                <c:ptCount val="1"/>
                <c:pt idx="0">
                  <c:v>Tau_f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8.5132983377077864E-2"/>
                  <c:y val="5.25845727617381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Sheet1!$F$88:$F$96</c:f>
              <c:numCache>
                <c:formatCode>General</c:formatCode>
                <c:ptCount val="9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</c:numCache>
            </c:numRef>
          </c:xVal>
          <c:yVal>
            <c:numRef>
              <c:f>Sheet1!$H$88:$H$96</c:f>
              <c:numCache>
                <c:formatCode>General</c:formatCode>
                <c:ptCount val="9"/>
                <c:pt idx="0">
                  <c:v>1.518</c:v>
                </c:pt>
                <c:pt idx="1">
                  <c:v>1.98</c:v>
                </c:pt>
                <c:pt idx="2">
                  <c:v>2.4420000000000002</c:v>
                </c:pt>
                <c:pt idx="3">
                  <c:v>2.9370000000000003</c:v>
                </c:pt>
                <c:pt idx="4">
                  <c:v>3.3990000000000005</c:v>
                </c:pt>
                <c:pt idx="5">
                  <c:v>5.0490000000000004</c:v>
                </c:pt>
                <c:pt idx="6">
                  <c:v>5.4119999999999999</c:v>
                </c:pt>
                <c:pt idx="7">
                  <c:v>6.2040000000000006</c:v>
                </c:pt>
                <c:pt idx="8">
                  <c:v>7.3260000000000005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5-48F0-97F8-BCA91737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628280"/>
        <c:axId val="408631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Sheet1!$G$87</c15:sqref>
                        </c15:formulaRef>
                      </c:ext>
                    </c:extLst>
                    <c:strCache>
                      <c:ptCount val="1"/>
                      <c:pt idx="0">
                        <c:v>F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Sheet1!$F$88:$F$96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1.5</c:v>
                      </c:pt>
                      <c:pt idx="1">
                        <c:v>2</c:v>
                      </c:pt>
                      <c:pt idx="2">
                        <c:v>2.5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4</c:v>
                      </c:pt>
                      <c:pt idx="6">
                        <c:v>4.5</c:v>
                      </c:pt>
                      <c:pt idx="7">
                        <c:v>5</c:v>
                      </c:pt>
                      <c:pt idx="8">
                        <c:v>5.5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Sheet1!$G$88:$G$96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4.5999999999999996</c:v>
                      </c:pt>
                      <c:pt idx="1">
                        <c:v>6</c:v>
                      </c:pt>
                      <c:pt idx="2">
                        <c:v>7.4</c:v>
                      </c:pt>
                      <c:pt idx="3">
                        <c:v>8.9</c:v>
                      </c:pt>
                      <c:pt idx="4">
                        <c:v>10.3</c:v>
                      </c:pt>
                      <c:pt idx="5">
                        <c:v>15.3</c:v>
                      </c:pt>
                      <c:pt idx="6">
                        <c:v>16.399999999999999</c:v>
                      </c:pt>
                      <c:pt idx="7">
                        <c:v>18.8</c:v>
                      </c:pt>
                      <c:pt idx="8">
                        <c:v>22.2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015-48F0-97F8-BCA917378495}"/>
                  </c:ext>
                </c:extLst>
              </c15:ser>
            </c15:filteredScatterSeries>
          </c:ext>
        </c:extLst>
      </c:scatterChart>
      <c:valAx>
        <c:axId val="40862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31560"/>
        <c:crosses val="autoZero"/>
        <c:crossBetween val="midCat"/>
      </c:valAx>
      <c:valAx>
        <c:axId val="4086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2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9211389073126"/>
          <c:y val="4.3668122270742356E-2"/>
          <c:w val="0.79553843566530424"/>
          <c:h val="0.715144013111898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Sheet1!$H$102</c:f>
              <c:strCache>
                <c:ptCount val="1"/>
                <c:pt idx="0">
                  <c:v>Tau_f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1681415093091766E-3"/>
                  <c:y val="-9.8668752650460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Sheet1!$H$103:$H$116</c:f>
              <c:numCache>
                <c:formatCode>General</c:formatCode>
                <c:ptCount val="14"/>
                <c:pt idx="0">
                  <c:v>1.2952500000000002</c:v>
                </c:pt>
                <c:pt idx="1">
                  <c:v>1.7902500000000003</c:v>
                </c:pt>
                <c:pt idx="2">
                  <c:v>2.4502500000000005</c:v>
                </c:pt>
                <c:pt idx="3">
                  <c:v>2.9452500000000006</c:v>
                </c:pt>
                <c:pt idx="4">
                  <c:v>3.6052500000000003</c:v>
                </c:pt>
                <c:pt idx="5">
                  <c:v>4.1002500000000008</c:v>
                </c:pt>
                <c:pt idx="6">
                  <c:v>4.7602500000000001</c:v>
                </c:pt>
                <c:pt idx="7">
                  <c:v>5.2552500000000002</c:v>
                </c:pt>
                <c:pt idx="8">
                  <c:v>5.7502500000000003</c:v>
                </c:pt>
                <c:pt idx="9">
                  <c:v>6.2452500000000004</c:v>
                </c:pt>
                <c:pt idx="10">
                  <c:v>6.9052500000000006</c:v>
                </c:pt>
                <c:pt idx="11">
                  <c:v>7.4002500000000007</c:v>
                </c:pt>
                <c:pt idx="12">
                  <c:v>8.0602499999999999</c:v>
                </c:pt>
                <c:pt idx="13">
                  <c:v>9.0502500000000001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3B8-91BE-FA0960B54A4C}"/>
            </c:ext>
          </c:extLst>
        </c:ser>
        <c:ser>
          <c:idx val="1"/>
          <c:order val="1"/>
          <c:tx>
            <c:v>Theoretical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0526767307434304E-2"/>
                  <c:y val="0.12879803779986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Sheet1!$F$103:$F$116</c:f>
              <c:numCache>
                <c:formatCode>General</c:formatCode>
                <c:ptCount val="1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  <c:pt idx="12">
                  <c:v>7.5</c:v>
                </c:pt>
                <c:pt idx="13">
                  <c:v>8</c:v>
                </c:pt>
              </c:numCache>
            </c:numRef>
          </c:xVal>
          <c:yVal>
            <c:numRef>
              <c:f>Sheet1!$J$103:$J$116</c:f>
              <c:numCache>
                <c:formatCode>General</c:formatCode>
                <c:ptCount val="14"/>
                <c:pt idx="0">
                  <c:v>1.5045291021478522</c:v>
                </c:pt>
                <c:pt idx="1">
                  <c:v>2.0060388028638028</c:v>
                </c:pt>
                <c:pt idx="2">
                  <c:v>2.5075485035797533</c:v>
                </c:pt>
                <c:pt idx="3">
                  <c:v>3.0090582042957044</c:v>
                </c:pt>
                <c:pt idx="4">
                  <c:v>3.5105679050116549</c:v>
                </c:pt>
                <c:pt idx="5">
                  <c:v>4.0120776057276055</c:v>
                </c:pt>
                <c:pt idx="6">
                  <c:v>4.5135873064435561</c:v>
                </c:pt>
                <c:pt idx="7">
                  <c:v>5.0150970071595067</c:v>
                </c:pt>
                <c:pt idx="8">
                  <c:v>5.5166067078754573</c:v>
                </c:pt>
                <c:pt idx="9">
                  <c:v>6.0181164085914087</c:v>
                </c:pt>
                <c:pt idx="10">
                  <c:v>6.5196261093073593</c:v>
                </c:pt>
                <c:pt idx="11">
                  <c:v>7.0211358100233099</c:v>
                </c:pt>
                <c:pt idx="12">
                  <c:v>7.5226455107392605</c:v>
                </c:pt>
                <c:pt idx="13">
                  <c:v>8.024155211455211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8-43B8-91BE-FA0960B5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08008"/>
        <c:axId val="406914240"/>
      </c:scatterChart>
      <c:valAx>
        <c:axId val="40690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14240"/>
        <c:crosses val="autoZero"/>
        <c:crossBetween val="midCat"/>
      </c:valAx>
      <c:valAx>
        <c:axId val="4069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0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Sheet1!$M$128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Sheet1!$H$129:$H$146</c:f>
              <c:numCache>
                <c:formatCode>General</c:formatCode>
                <c:ptCount val="18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</c:numCache>
            </c:numRef>
          </c:xVal>
          <c:yVal>
            <c:numRef>
              <c:f>Sheet1!$M$129:$M$146</c:f>
              <c:numCache>
                <c:formatCode>General</c:formatCode>
                <c:ptCount val="18"/>
                <c:pt idx="0">
                  <c:v>2.2090130465148679E-2</c:v>
                </c:pt>
                <c:pt idx="1">
                  <c:v>1.6125579522699003E-2</c:v>
                </c:pt>
                <c:pt idx="2">
                  <c:v>1.3732466580216781E-2</c:v>
                </c:pt>
                <c:pt idx="3">
                  <c:v>1.117133763121049E-2</c:v>
                </c:pt>
                <c:pt idx="4">
                  <c:v>9.8784238976240869E-3</c:v>
                </c:pt>
                <c:pt idx="5">
                  <c:v>8.8350165554967938E-3</c:v>
                </c:pt>
                <c:pt idx="6">
                  <c:v>8.1378884925822244E-3</c:v>
                </c:pt>
                <c:pt idx="7">
                  <c:v>6.2230432089794658E-3</c:v>
                </c:pt>
                <c:pt idx="8">
                  <c:v>5.7737945699575322E-3</c:v>
                </c:pt>
                <c:pt idx="9">
                  <c:v>5.4938368311935838E-3</c:v>
                </c:pt>
                <c:pt idx="10">
                  <c:v>5.1947028994778228E-3</c:v>
                </c:pt>
                <c:pt idx="11">
                  <c:v>5.1922205275326842E-3</c:v>
                </c:pt>
                <c:pt idx="12">
                  <c:v>5.1109520889308594E-3</c:v>
                </c:pt>
                <c:pt idx="13">
                  <c:v>4.8614444658430312E-3</c:v>
                </c:pt>
                <c:pt idx="14">
                  <c:v>4.6496402169106952E-3</c:v>
                </c:pt>
                <c:pt idx="15">
                  <c:v>4.524483160723407E-3</c:v>
                </c:pt>
                <c:pt idx="16">
                  <c:v>4.4675935897291854E-3</c:v>
                </c:pt>
                <c:pt idx="17">
                  <c:v>4.3407023533108477E-3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6-4159-9E32-4BBFBBC8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4360"/>
        <c:axId val="203555016"/>
      </c:scatterChart>
      <c:valAx>
        <c:axId val="2035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5016"/>
        <c:crosses val="autoZero"/>
        <c:crossBetween val="midCat"/>
      </c:valAx>
      <c:valAx>
        <c:axId val="2035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4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18700784229224"/>
          <c:y val="0.12051015915354843"/>
          <c:w val="0.6876696597841081"/>
          <c:h val="0.73521781054308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Sheet1!$BC$58</c:f>
              <c:strCache>
                <c:ptCount val="1"/>
                <c:pt idx="0">
                  <c:v>Kt(up)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Sheet1!$BA$59:$BA$77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 formatCode="0.0">
                  <c:v>4</c:v>
                </c:pt>
                <c:pt idx="7" formatCode="0.0">
                  <c:v>4.5</c:v>
                </c:pt>
                <c:pt idx="8" formatCode="0.0">
                  <c:v>5</c:v>
                </c:pt>
                <c:pt idx="9" formatCode="0.0">
                  <c:v>5.5</c:v>
                </c:pt>
                <c:pt idx="10" formatCode="0.0">
                  <c:v>6</c:v>
                </c:pt>
                <c:pt idx="11" formatCode="0.0">
                  <c:v>6.5</c:v>
                </c:pt>
                <c:pt idx="12" formatCode="0.0">
                  <c:v>7</c:v>
                </c:pt>
                <c:pt idx="13" formatCode="0.0">
                  <c:v>7.5</c:v>
                </c:pt>
                <c:pt idx="14" formatCode="0.0">
                  <c:v>8</c:v>
                </c:pt>
                <c:pt idx="15" formatCode="0.0">
                  <c:v>8.5</c:v>
                </c:pt>
                <c:pt idx="16" formatCode="0.0">
                  <c:v>9</c:v>
                </c:pt>
                <c:pt idx="17" formatCode="0.0">
                  <c:v>9.5</c:v>
                </c:pt>
                <c:pt idx="18" formatCode="0.0">
                  <c:v>10</c:v>
                </c:pt>
              </c:numCache>
            </c:numRef>
          </c:xVal>
          <c:yVal>
            <c:numRef>
              <c:f>Sheet1!$BC$59:$BC$77</c:f>
              <c:numCache>
                <c:formatCode>0.0000</c:formatCode>
                <c:ptCount val="19"/>
                <c:pt idx="0">
                  <c:v>3.2199999999999999E-2</c:v>
                </c:pt>
                <c:pt idx="1">
                  <c:v>3.0533333333333332E-2</c:v>
                </c:pt>
                <c:pt idx="2">
                  <c:v>2.9000000000000001E-2</c:v>
                </c:pt>
                <c:pt idx="3">
                  <c:v>2.8720000000000002E-2</c:v>
                </c:pt>
                <c:pt idx="4">
                  <c:v>2.8866666666666665E-2</c:v>
                </c:pt>
                <c:pt idx="5">
                  <c:v>2.9028571428571428E-2</c:v>
                </c:pt>
                <c:pt idx="6">
                  <c:v>2.9100000000000001E-2</c:v>
                </c:pt>
                <c:pt idx="7">
                  <c:v>2.9199999999999997E-2</c:v>
                </c:pt>
                <c:pt idx="8">
                  <c:v>2.9959999999999997E-2</c:v>
                </c:pt>
                <c:pt idx="9">
                  <c:v>2.92E-2</c:v>
                </c:pt>
                <c:pt idx="10">
                  <c:v>3.04E-2</c:v>
                </c:pt>
                <c:pt idx="11">
                  <c:v>2.9169230769230767E-2</c:v>
                </c:pt>
                <c:pt idx="12">
                  <c:v>2.9285714285714283E-2</c:v>
                </c:pt>
                <c:pt idx="13">
                  <c:v>2.9226666666666668E-2</c:v>
                </c:pt>
                <c:pt idx="14">
                  <c:v>2.9149999999999999E-2</c:v>
                </c:pt>
                <c:pt idx="15">
                  <c:v>2.9152941176470586E-2</c:v>
                </c:pt>
                <c:pt idx="16">
                  <c:v>2.8933333333333335E-2</c:v>
                </c:pt>
                <c:pt idx="17">
                  <c:v>2.8947368421052635E-2</c:v>
                </c:pt>
                <c:pt idx="18">
                  <c:v>2.8999999999999998E-2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D-4AE7-B416-1C982549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06856"/>
        <c:axId val="366107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Sheet1!$BH$58</c15:sqref>
                        </c15:formulaRef>
                      </c:ext>
                    </c:extLst>
                    <c:strCache>
                      <c:ptCount val="1"/>
                      <c:pt idx="0">
                        <c:v>Kt(down)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Sheet1!$BA$59:$BA$77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 formatCode="0.0">
                        <c:v>4</c:v>
                      </c:pt>
                      <c:pt idx="7" formatCode="0.0">
                        <c:v>4.5</c:v>
                      </c:pt>
                      <c:pt idx="8" formatCode="0.0">
                        <c:v>5</c:v>
                      </c:pt>
                      <c:pt idx="9" formatCode="0.0">
                        <c:v>5.5</c:v>
                      </c:pt>
                      <c:pt idx="10" formatCode="0.0">
                        <c:v>6</c:v>
                      </c:pt>
                      <c:pt idx="11" formatCode="0.0">
                        <c:v>6.5</c:v>
                      </c:pt>
                      <c:pt idx="12" formatCode="0.0">
                        <c:v>7</c:v>
                      </c:pt>
                      <c:pt idx="13" formatCode="0.0">
                        <c:v>7.5</c:v>
                      </c:pt>
                      <c:pt idx="14" formatCode="0.0">
                        <c:v>8</c:v>
                      </c:pt>
                      <c:pt idx="15" formatCode="0.0">
                        <c:v>8.5</c:v>
                      </c:pt>
                      <c:pt idx="16" formatCode="0.0">
                        <c:v>9</c:v>
                      </c:pt>
                      <c:pt idx="17" formatCode="0.0">
                        <c:v>9.5</c:v>
                      </c:pt>
                      <c:pt idx="18" formatCode="0.0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Sheet1!$BH$59:$BH$77</c15:sqref>
                        </c15:formulaRef>
                      </c:ext>
                    </c:extLst>
                    <c:numCache>
                      <c:formatCode>0.0000</c:formatCode>
                      <c:ptCount val="19"/>
                      <c:pt idx="3">
                        <c:v>3.7359999999999997E-2</c:v>
                      </c:pt>
                      <c:pt idx="4">
                        <c:v>3.78E-2</c:v>
                      </c:pt>
                      <c:pt idx="5">
                        <c:v>3.674285714285714E-2</c:v>
                      </c:pt>
                      <c:pt idx="6">
                        <c:v>3.6249999999999998E-2</c:v>
                      </c:pt>
                      <c:pt idx="7">
                        <c:v>3.5466666666666667E-2</c:v>
                      </c:pt>
                      <c:pt idx="8">
                        <c:v>3.4880000000000001E-2</c:v>
                      </c:pt>
                      <c:pt idx="9">
                        <c:v>3.3636363636363638E-2</c:v>
                      </c:pt>
                      <c:pt idx="10">
                        <c:v>3.266666666666667E-2</c:v>
                      </c:pt>
                      <c:pt idx="11">
                        <c:v>3.3046153846153843E-2</c:v>
                      </c:pt>
                      <c:pt idx="12">
                        <c:v>3.2057142857142853E-2</c:v>
                      </c:pt>
                      <c:pt idx="13">
                        <c:v>3.1733333333333329E-2</c:v>
                      </c:pt>
                      <c:pt idx="14">
                        <c:v>3.1574999999999999E-2</c:v>
                      </c:pt>
                      <c:pt idx="15">
                        <c:v>3.1270588235294113E-2</c:v>
                      </c:pt>
                      <c:pt idx="16">
                        <c:v>3.1133333333333332E-2</c:v>
                      </c:pt>
                      <c:pt idx="17">
                        <c:v>3.0673684210526315E-2</c:v>
                      </c:pt>
                      <c:pt idx="18">
                        <c:v>2.962E-2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80D-4AE7-B416-1C982549122F}"/>
                  </c:ext>
                </c:extLst>
              </c15:ser>
            </c15:filteredScatterSeries>
          </c:ext>
        </c:extLst>
      </c:scatterChart>
      <c:valAx>
        <c:axId val="366106856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I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7184"/>
        <c:crosses val="autoZero"/>
        <c:crossBetween val="midCat"/>
      </c:valAx>
      <c:valAx>
        <c:axId val="366107184"/>
        <c:scaling>
          <c:orientation val="minMax"/>
          <c:max val="5.000000000000001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0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2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4102</xdr:colOff>
      <xdr:row>30</xdr:row>
      <xdr:rowOff>181122</xdr:rowOff>
    </xdr:from>
    <xdr:to>
      <xdr:col>26</xdr:col>
      <xdr:colOff>444305</xdr:colOff>
      <xdr:row>49</xdr:row>
      <xdr:rowOff>156502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A24B7-EA59-4CAE-8081-32C27EAEB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34834</xdr:colOff>
      <xdr:row>56</xdr:row>
      <xdr:rowOff>240574</xdr:rowOff>
    </xdr:from>
    <xdr:to>
      <xdr:col>40</xdr:col>
      <xdr:colOff>449580</xdr:colOff>
      <xdr:row>79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0FD3B0-1A8C-48F9-8657-5D4692E9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</xdr:colOff>
      <xdr:row>56</xdr:row>
      <xdr:rowOff>91440</xdr:rowOff>
    </xdr:from>
    <xdr:to>
      <xdr:col>29</xdr:col>
      <xdr:colOff>541020</xdr:colOff>
      <xdr:row>78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7E1861-172D-482A-9F9E-0796E5D7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5</xdr:row>
      <xdr:rowOff>0</xdr:rowOff>
    </xdr:from>
    <xdr:to>
      <xdr:col>14</xdr:col>
      <xdr:colOff>548640</xdr:colOff>
      <xdr:row>20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D0F411-51E9-4027-A0DD-ED3C6525A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137160</xdr:colOff>
      <xdr:row>4</xdr:row>
      <xdr:rowOff>129540</xdr:rowOff>
    </xdr:from>
    <xdr:to>
      <xdr:col>21</xdr:col>
      <xdr:colOff>464820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FA424-652E-4839-899D-B015088B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86</xdr:row>
      <xdr:rowOff>0</xdr:rowOff>
    </xdr:from>
    <xdr:to>
      <xdr:col>17</xdr:col>
      <xdr:colOff>327660</xdr:colOff>
      <xdr:row>101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407F1F-E1BB-45A2-9A5A-240CC7977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</xdr:colOff>
      <xdr:row>101</xdr:row>
      <xdr:rowOff>175260</xdr:rowOff>
    </xdr:from>
    <xdr:to>
      <xdr:col>17</xdr:col>
      <xdr:colOff>518160</xdr:colOff>
      <xdr:row>121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79583A-3BF5-4E93-8956-39AE26A34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533400</xdr:colOff>
      <xdr:row>128</xdr:row>
      <xdr:rowOff>7620</xdr:rowOff>
    </xdr:from>
    <xdr:to>
      <xdr:col>24</xdr:col>
      <xdr:colOff>266700</xdr:colOff>
      <xdr:row>143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0339F-3C1E-4B1E-89B7-D5EB9EDC1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58</xdr:col>
      <xdr:colOff>608059</xdr:colOff>
      <xdr:row>27</xdr:row>
      <xdr:rowOff>0</xdr:rowOff>
    </xdr:from>
    <xdr:to>
      <xdr:col>61</xdr:col>
      <xdr:colOff>364603</xdr:colOff>
      <xdr:row>28</xdr:row>
      <xdr:rowOff>84665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B34C85-5D30-46AC-9229-BA1CF1B3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545817" y="1108364"/>
          <a:ext cx="1665393" cy="354060"/>
        </a:xfrm>
        <a:prstGeom prst="rect">
          <a:avLst/>
        </a:prstGeom>
      </xdr:spPr>
    </xdr:pic>
    <xdr:clientData/>
  </xdr:twoCellAnchor>
  <xdr:twoCellAnchor>
    <xdr:from>
      <xdr:col>62</xdr:col>
      <xdr:colOff>277090</xdr:colOff>
      <xdr:row>56</xdr:row>
      <xdr:rowOff>252460</xdr:rowOff>
    </xdr:from>
    <xdr:to>
      <xdr:col>72</xdr:col>
      <xdr:colOff>200121</xdr:colOff>
      <xdr:row>77</xdr:row>
      <xdr:rowOff>177030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9FB966-FB62-40A1-B9E7-D4F65F18F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62</xdr:col>
      <xdr:colOff>228600</xdr:colOff>
      <xdr:row>85</xdr:row>
      <xdr:rowOff>129540</xdr:rowOff>
    </xdr:from>
    <xdr:to>
      <xdr:col>71</xdr:col>
      <xdr:colOff>350520</xdr:colOff>
      <xdr:row>104</xdr:row>
      <xdr:rowOff>121920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7DAD21D-D8D0-42D0-B60A-46A2E508F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59</xdr:col>
      <xdr:colOff>594360</xdr:colOff>
      <xdr:row>29</xdr:row>
      <xdr:rowOff>22860</xdr:rowOff>
    </xdr:from>
    <xdr:to>
      <xdr:col>68</xdr:col>
      <xdr:colOff>365760</xdr:colOff>
      <xdr:row>51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1D7ACD-EB06-4E4B-AFEB-0452693C2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63</xdr:col>
      <xdr:colOff>304800</xdr:colOff>
      <xdr:row>6</xdr:row>
      <xdr:rowOff>0</xdr:rowOff>
    </xdr:from>
    <xdr:to>
      <xdr:col>72</xdr:col>
      <xdr:colOff>259080</xdr:colOff>
      <xdr:row>26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9279B9-A8F8-433A-8014-5B4EB4E48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5B9BD5"/>
      </a:accent2>
      <a:accent3>
        <a:srgbClr val="FFC000"/>
      </a:accent3>
      <a:accent4>
        <a:srgbClr val="70AD47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72"/>
  <sheetViews>
    <sheetView tabSelected="1" topLeftCell="AX1" zoomScaleNormal="100" workbookViewId="0">
      <selection activeCell="BA9" sqref="BA9"/>
    </sheetView>
  </sheetViews>
  <sheetFormatPr defaultRowHeight="14.4" x14ac:dyDescent="0.3"/>
  <cols>
    <col min="5" max="5" width="13.33203125" customWidth="1"/>
    <col min="7" max="7" width="9.33203125" customWidth="1"/>
    <col min="9" max="9" width="10.44140625" customWidth="1"/>
    <col min="10" max="10" width="12" customWidth="1"/>
    <col min="16" max="16" width="17.44140625" customWidth="1"/>
    <col min="48" max="48" width="10.6640625" customWidth="1"/>
    <col min="49" max="49" width="10.5546875" bestFit="1" customWidth="1"/>
    <col min="52" max="52" width="12.33203125" customWidth="1"/>
    <col min="53" max="53" width="11.5546875" customWidth="1"/>
    <col min="54" max="54" width="10.44140625" customWidth="1"/>
    <col min="59" max="59" width="10.109375" customWidth="1"/>
    <col min="63" max="63" width="9.5546875" bestFit="1" customWidth="1"/>
  </cols>
  <sheetData>
    <row r="2" spans="1:81" ht="15" thickBot="1" x14ac:dyDescent="0.35"/>
    <row r="3" spans="1:81" x14ac:dyDescent="0.3">
      <c r="BA3" s="28" t="s">
        <v>66</v>
      </c>
      <c r="BB3" s="29"/>
      <c r="BC3" s="29"/>
      <c r="BD3" s="29"/>
      <c r="BE3" s="29"/>
      <c r="BF3" s="29"/>
      <c r="BG3" s="29"/>
      <c r="BH3" s="29"/>
      <c r="BI3" s="30"/>
      <c r="CA3" t="s">
        <v>68</v>
      </c>
    </row>
    <row r="4" spans="1:81" ht="15" thickBot="1" x14ac:dyDescent="0.35">
      <c r="BA4" s="31"/>
      <c r="BB4" s="32"/>
      <c r="BC4" s="32"/>
      <c r="BD4" s="32"/>
      <c r="BE4" s="32"/>
      <c r="BF4" s="32"/>
      <c r="BG4" s="32"/>
      <c r="BH4" s="32"/>
      <c r="BI4" s="33"/>
      <c r="CA4" t="s">
        <v>69</v>
      </c>
      <c r="CB4" t="s">
        <v>70</v>
      </c>
      <c r="CC4" t="s">
        <v>71</v>
      </c>
    </row>
    <row r="5" spans="1:81" x14ac:dyDescent="0.3">
      <c r="AW5" s="17"/>
      <c r="CA5">
        <v>5.7000000000000002E-2</v>
      </c>
      <c r="CB5">
        <v>0.73</v>
      </c>
      <c r="CC5">
        <f>CA5/CB5</f>
        <v>7.8082191780821916E-2</v>
      </c>
    </row>
    <row r="6" spans="1:81" x14ac:dyDescent="0.3">
      <c r="A6" t="s">
        <v>0</v>
      </c>
      <c r="B6" t="s">
        <v>20</v>
      </c>
      <c r="C6" t="s">
        <v>21</v>
      </c>
      <c r="E6" t="s">
        <v>22</v>
      </c>
      <c r="F6" t="s">
        <v>23</v>
      </c>
      <c r="AW6" s="17"/>
      <c r="BC6">
        <v>0.5</v>
      </c>
      <c r="BD6">
        <v>1</v>
      </c>
      <c r="BE6">
        <v>1.5</v>
      </c>
      <c r="BF6">
        <v>2</v>
      </c>
      <c r="BG6">
        <v>2.4900000000000002</v>
      </c>
      <c r="BH6">
        <v>2.98</v>
      </c>
      <c r="BI6">
        <v>3.5</v>
      </c>
      <c r="BJ6">
        <v>3.99</v>
      </c>
      <c r="BK6">
        <v>4.5</v>
      </c>
      <c r="BL6">
        <v>4.9800000000000004</v>
      </c>
      <c r="BM6">
        <v>5.54</v>
      </c>
      <c r="BN6">
        <v>6.02</v>
      </c>
      <c r="BO6">
        <v>6.51</v>
      </c>
      <c r="BP6">
        <v>7.01</v>
      </c>
      <c r="CA6">
        <v>6.5000000000000002E-2</v>
      </c>
      <c r="CB6">
        <v>0.82</v>
      </c>
      <c r="CC6">
        <f t="shared" ref="CA6:CC15" si="0">CA6/CB6</f>
        <v>7.926829268292683E-2</v>
      </c>
    </row>
    <row r="7" spans="1:81" x14ac:dyDescent="0.3">
      <c r="A7">
        <v>0.5</v>
      </c>
      <c r="B7">
        <v>0.72</v>
      </c>
      <c r="C7">
        <v>0.72</v>
      </c>
      <c r="E7">
        <f>AVERAGE(B7,C7)</f>
        <v>0.72</v>
      </c>
      <c r="F7">
        <f>E7/A7</f>
        <v>1.44</v>
      </c>
      <c r="AW7" s="24"/>
      <c r="BH7" t="s">
        <v>1</v>
      </c>
      <c r="BI7" t="s">
        <v>72</v>
      </c>
      <c r="BK7" t="s">
        <v>23</v>
      </c>
      <c r="BY7">
        <v>6.8000000000000005E-2</v>
      </c>
      <c r="BZ7">
        <v>0.87</v>
      </c>
      <c r="CA7">
        <f t="shared" si="0"/>
        <v>7.8160919540229898E-2</v>
      </c>
    </row>
    <row r="8" spans="1:81" x14ac:dyDescent="0.3">
      <c r="A8">
        <v>1</v>
      </c>
      <c r="B8">
        <v>1.46</v>
      </c>
      <c r="C8">
        <v>1.46</v>
      </c>
      <c r="E8">
        <f>AVERAGE(B8,C8)</f>
        <v>1.46</v>
      </c>
      <c r="F8">
        <f t="shared" ref="F8:F20" si="1">E8/A8</f>
        <v>1.46</v>
      </c>
      <c r="AW8" s="17"/>
      <c r="AY8" t="s">
        <v>59</v>
      </c>
      <c r="BH8">
        <v>0.5</v>
      </c>
      <c r="BI8">
        <v>0.33</v>
      </c>
      <c r="BK8" s="1">
        <f>BH8/BI8</f>
        <v>1.5151515151515151</v>
      </c>
      <c r="BY8">
        <v>7.0999999999999994E-2</v>
      </c>
      <c r="BZ8">
        <v>0.91</v>
      </c>
      <c r="CA8">
        <f t="shared" si="0"/>
        <v>7.8021978021978008E-2</v>
      </c>
    </row>
    <row r="9" spans="1:81" x14ac:dyDescent="0.3">
      <c r="A9">
        <v>1.5</v>
      </c>
      <c r="B9">
        <v>2.37</v>
      </c>
      <c r="C9">
        <v>1.98</v>
      </c>
      <c r="E9">
        <f t="shared" ref="E9:E20" si="2">AVERAGE(B9,C9)</f>
        <v>2.1749999999999998</v>
      </c>
      <c r="F9">
        <f>E9/A9</f>
        <v>1.45</v>
      </c>
      <c r="AW9" s="17"/>
      <c r="AY9" s="5" t="s">
        <v>44</v>
      </c>
      <c r="AZ9">
        <v>0.82</v>
      </c>
      <c r="BH9">
        <v>1</v>
      </c>
      <c r="BI9">
        <v>0.71</v>
      </c>
      <c r="BK9" s="1">
        <f t="shared" ref="BK9:BK21" si="3">BH9/BI9</f>
        <v>1.4084507042253522</v>
      </c>
      <c r="BY9">
        <v>7.2999999999999995E-2</v>
      </c>
      <c r="BZ9">
        <v>0.94</v>
      </c>
      <c r="CA9">
        <f t="shared" si="0"/>
        <v>7.7659574468085107E-2</v>
      </c>
    </row>
    <row r="10" spans="1:81" x14ac:dyDescent="0.3">
      <c r="A10">
        <v>2</v>
      </c>
      <c r="B10">
        <v>2.87</v>
      </c>
      <c r="C10">
        <v>2.62</v>
      </c>
      <c r="E10">
        <f t="shared" si="2"/>
        <v>2.7450000000000001</v>
      </c>
      <c r="F10">
        <f t="shared" si="1"/>
        <v>1.3725000000000001</v>
      </c>
      <c r="AW10" s="17"/>
      <c r="AY10" s="5" t="s">
        <v>60</v>
      </c>
      <c r="AZ10" s="25">
        <v>1.0200000000000001E-2</v>
      </c>
      <c r="BH10">
        <v>1.5</v>
      </c>
      <c r="BI10">
        <v>1.1299999999999999</v>
      </c>
      <c r="BK10" s="1">
        <f t="shared" si="3"/>
        <v>1.3274336283185841</v>
      </c>
      <c r="BY10">
        <v>7.4999999999999997E-2</v>
      </c>
      <c r="BZ10">
        <v>0.96</v>
      </c>
      <c r="CA10">
        <f t="shared" si="0"/>
        <v>7.8125E-2</v>
      </c>
    </row>
    <row r="11" spans="1:81" x14ac:dyDescent="0.3">
      <c r="A11">
        <v>2.5</v>
      </c>
      <c r="B11">
        <v>3.2</v>
      </c>
      <c r="C11">
        <v>2.96</v>
      </c>
      <c r="E11">
        <f t="shared" si="2"/>
        <v>3.08</v>
      </c>
      <c r="F11">
        <f t="shared" si="1"/>
        <v>1.232</v>
      </c>
      <c r="AW11" s="17"/>
      <c r="AY11" s="5" t="s">
        <v>42</v>
      </c>
      <c r="AZ11" s="4">
        <f>BG50</f>
        <v>3.656509972088972E-2</v>
      </c>
      <c r="BH11">
        <v>2</v>
      </c>
      <c r="BI11">
        <v>1.67</v>
      </c>
      <c r="BK11" s="1">
        <f t="shared" si="3"/>
        <v>1.1976047904191618</v>
      </c>
      <c r="BY11">
        <v>7.8E-2</v>
      </c>
      <c r="BZ11">
        <v>1</v>
      </c>
      <c r="CA11">
        <f t="shared" si="0"/>
        <v>7.8E-2</v>
      </c>
    </row>
    <row r="12" spans="1:81" x14ac:dyDescent="0.3">
      <c r="A12">
        <v>3</v>
      </c>
      <c r="B12">
        <v>3.15</v>
      </c>
      <c r="C12">
        <v>3.08</v>
      </c>
      <c r="E12">
        <f t="shared" si="2"/>
        <v>3.1150000000000002</v>
      </c>
      <c r="F12">
        <f t="shared" si="1"/>
        <v>1.0383333333333333</v>
      </c>
      <c r="AW12" s="17"/>
      <c r="AY12" s="5" t="s">
        <v>43</v>
      </c>
      <c r="AZ12" s="4">
        <f>BC78</f>
        <v>2.9286558050189863E-2</v>
      </c>
      <c r="BH12">
        <v>2.4900000000000002</v>
      </c>
      <c r="BI12">
        <v>2.34</v>
      </c>
      <c r="BK12" s="1">
        <f t="shared" si="3"/>
        <v>1.0641025641025643</v>
      </c>
      <c r="BY12">
        <v>0.08</v>
      </c>
      <c r="BZ12">
        <v>1.03</v>
      </c>
      <c r="CA12">
        <f t="shared" si="0"/>
        <v>7.7669902912621352E-2</v>
      </c>
    </row>
    <row r="13" spans="1:81" x14ac:dyDescent="0.3">
      <c r="A13">
        <v>3.5</v>
      </c>
      <c r="B13">
        <v>3.4</v>
      </c>
      <c r="C13">
        <v>3.25</v>
      </c>
      <c r="E13">
        <f t="shared" si="2"/>
        <v>3.3250000000000002</v>
      </c>
      <c r="F13">
        <f t="shared" si="1"/>
        <v>0.95000000000000007</v>
      </c>
      <c r="AW13" s="17"/>
      <c r="AY13" s="5" t="s">
        <v>61</v>
      </c>
      <c r="BA13" t="s">
        <v>67</v>
      </c>
      <c r="BH13">
        <v>2.98</v>
      </c>
      <c r="BI13">
        <v>2.94</v>
      </c>
      <c r="BK13" s="1">
        <f t="shared" si="3"/>
        <v>1.0136054421768708</v>
      </c>
      <c r="BY13">
        <v>8.3000000000000004E-2</v>
      </c>
      <c r="BZ13">
        <v>1.05</v>
      </c>
      <c r="CA13">
        <f t="shared" si="0"/>
        <v>7.9047619047619047E-2</v>
      </c>
    </row>
    <row r="14" spans="1:81" x14ac:dyDescent="0.3">
      <c r="A14">
        <v>4</v>
      </c>
      <c r="B14">
        <v>3.73</v>
      </c>
      <c r="C14">
        <v>3.62</v>
      </c>
      <c r="E14">
        <f t="shared" si="2"/>
        <v>3.6749999999999998</v>
      </c>
      <c r="F14">
        <f t="shared" si="1"/>
        <v>0.91874999999999996</v>
      </c>
      <c r="AW14" s="17"/>
      <c r="AY14" s="5" t="s">
        <v>62</v>
      </c>
      <c r="AZ14">
        <f>BI102</f>
        <v>1.5999400748723083E-4</v>
      </c>
      <c r="BH14">
        <v>3.5</v>
      </c>
      <c r="BI14">
        <v>3.75</v>
      </c>
      <c r="BK14" s="1">
        <f t="shared" si="3"/>
        <v>0.93333333333333335</v>
      </c>
      <c r="BY14">
        <v>8.4000000000000005E-2</v>
      </c>
      <c r="BZ14">
        <v>1.08</v>
      </c>
      <c r="CA14">
        <f t="shared" si="0"/>
        <v>7.7777777777777779E-2</v>
      </c>
    </row>
    <row r="15" spans="1:81" ht="15" thickBot="1" x14ac:dyDescent="0.35">
      <c r="A15">
        <v>4.5</v>
      </c>
      <c r="B15">
        <v>3.92</v>
      </c>
      <c r="C15">
        <v>3.77</v>
      </c>
      <c r="E15">
        <f t="shared" si="2"/>
        <v>3.8449999999999998</v>
      </c>
      <c r="F15">
        <f t="shared" si="1"/>
        <v>0.85444444444444434</v>
      </c>
      <c r="AW15" s="17"/>
      <c r="AY15" s="5"/>
      <c r="BH15">
        <v>3.99</v>
      </c>
      <c r="BI15">
        <v>4.68</v>
      </c>
      <c r="BK15" s="1">
        <f t="shared" si="3"/>
        <v>0.85256410256410264</v>
      </c>
      <c r="BY15">
        <v>8.5000000000000006E-2</v>
      </c>
      <c r="BZ15">
        <v>1.1000000000000001</v>
      </c>
      <c r="CA15">
        <f t="shared" si="0"/>
        <v>7.7272727272727271E-2</v>
      </c>
    </row>
    <row r="16" spans="1:81" ht="15" thickBot="1" x14ac:dyDescent="0.35">
      <c r="A16">
        <v>5</v>
      </c>
      <c r="B16">
        <v>4.41</v>
      </c>
      <c r="C16">
        <v>4.2699999999999996</v>
      </c>
      <c r="E16">
        <f t="shared" si="2"/>
        <v>4.34</v>
      </c>
      <c r="F16">
        <f t="shared" si="1"/>
        <v>0.86799999999999999</v>
      </c>
      <c r="AW16" s="17"/>
      <c r="AY16" s="5"/>
      <c r="BH16">
        <v>4.5</v>
      </c>
      <c r="BI16">
        <v>5.54</v>
      </c>
      <c r="BK16" s="1">
        <f t="shared" si="3"/>
        <v>0.81227436823104693</v>
      </c>
      <c r="CA16" s="13">
        <f>AVERAGE(CC5:CC15)</f>
        <v>7.8675242231874373E-2</v>
      </c>
    </row>
    <row r="17" spans="1:90" x14ac:dyDescent="0.3">
      <c r="A17">
        <v>5.5</v>
      </c>
      <c r="B17">
        <v>4.5599999999999996</v>
      </c>
      <c r="C17">
        <v>4.6399999999999997</v>
      </c>
      <c r="E17">
        <f t="shared" si="2"/>
        <v>4.5999999999999996</v>
      </c>
      <c r="F17">
        <f t="shared" si="1"/>
        <v>0.83636363636363631</v>
      </c>
      <c r="AW17" s="17"/>
      <c r="BH17">
        <v>4.9800000000000004</v>
      </c>
      <c r="BI17">
        <v>6.11</v>
      </c>
      <c r="BK17" s="1">
        <f t="shared" si="3"/>
        <v>0.81505728314238957</v>
      </c>
    </row>
    <row r="18" spans="1:90" x14ac:dyDescent="0.3">
      <c r="A18">
        <v>6</v>
      </c>
      <c r="B18">
        <v>4.75</v>
      </c>
      <c r="C18">
        <v>4.74</v>
      </c>
      <c r="E18">
        <f t="shared" si="2"/>
        <v>4.7450000000000001</v>
      </c>
      <c r="F18">
        <f t="shared" si="1"/>
        <v>0.79083333333333339</v>
      </c>
      <c r="AW18" s="17"/>
      <c r="BH18">
        <v>5.54</v>
      </c>
      <c r="BI18">
        <v>6.46</v>
      </c>
      <c r="BK18" s="1">
        <f t="shared" si="3"/>
        <v>0.85758513931888547</v>
      </c>
    </row>
    <row r="19" spans="1:90" x14ac:dyDescent="0.3">
      <c r="A19">
        <v>6.5</v>
      </c>
      <c r="B19">
        <v>5.0599999999999996</v>
      </c>
      <c r="C19">
        <v>5.14</v>
      </c>
      <c r="E19">
        <f t="shared" si="2"/>
        <v>5.0999999999999996</v>
      </c>
      <c r="F19">
        <f t="shared" si="1"/>
        <v>0.7846153846153846</v>
      </c>
      <c r="AW19" s="17"/>
      <c r="BH19">
        <v>6.02</v>
      </c>
      <c r="BI19">
        <v>7.4</v>
      </c>
      <c r="BK19" s="1">
        <f t="shared" si="3"/>
        <v>0.81351351351351342</v>
      </c>
    </row>
    <row r="20" spans="1:90" x14ac:dyDescent="0.3">
      <c r="A20">
        <v>7</v>
      </c>
      <c r="B20">
        <v>5.65</v>
      </c>
      <c r="C20">
        <v>5.4</v>
      </c>
      <c r="E20">
        <f t="shared" si="2"/>
        <v>5.5250000000000004</v>
      </c>
      <c r="F20">
        <f t="shared" si="1"/>
        <v>0.78928571428571437</v>
      </c>
      <c r="AW20" s="17"/>
      <c r="BH20">
        <v>6.51</v>
      </c>
      <c r="BI20">
        <v>8.26</v>
      </c>
      <c r="BK20" s="1">
        <f t="shared" si="3"/>
        <v>0.78813559322033899</v>
      </c>
    </row>
    <row r="21" spans="1:90" x14ac:dyDescent="0.3">
      <c r="A21">
        <v>7.5</v>
      </c>
      <c r="B21">
        <v>5.77</v>
      </c>
      <c r="C21">
        <v>5.84</v>
      </c>
      <c r="E21">
        <f>AVERAGE(B21,C21)</f>
        <v>5.8049999999999997</v>
      </c>
      <c r="F21">
        <f>E21/A21</f>
        <v>0.77399999999999991</v>
      </c>
      <c r="AW21" s="17"/>
      <c r="BH21">
        <v>7.01</v>
      </c>
      <c r="BI21">
        <v>9.14</v>
      </c>
      <c r="BK21" s="1">
        <f t="shared" si="3"/>
        <v>0.76695842450765861</v>
      </c>
    </row>
    <row r="22" spans="1:90" x14ac:dyDescent="0.3">
      <c r="A22">
        <v>8</v>
      </c>
      <c r="B22">
        <v>5.99</v>
      </c>
      <c r="C22">
        <v>5.77</v>
      </c>
      <c r="E22">
        <f>AVERAGE(B22,C22)</f>
        <v>5.88</v>
      </c>
      <c r="F22">
        <f>E22/A22</f>
        <v>0.73499999999999999</v>
      </c>
      <c r="AW22" s="17"/>
    </row>
    <row r="23" spans="1:90" x14ac:dyDescent="0.3">
      <c r="A23">
        <v>8.5</v>
      </c>
      <c r="B23">
        <v>6.15</v>
      </c>
      <c r="C23">
        <v>6.07</v>
      </c>
      <c r="E23">
        <f>AVERAGE(B23,C23)</f>
        <v>6.11</v>
      </c>
      <c r="F23">
        <f>E23/A23</f>
        <v>0.71882352941176475</v>
      </c>
      <c r="AW23" s="17"/>
    </row>
    <row r="24" spans="1:90" x14ac:dyDescent="0.3">
      <c r="A24">
        <v>9</v>
      </c>
      <c r="B24">
        <v>6.41</v>
      </c>
      <c r="C24">
        <v>6.39</v>
      </c>
      <c r="E24">
        <f>AVERAGE(B24,C24)</f>
        <v>6.4</v>
      </c>
      <c r="F24">
        <f>E24/A24</f>
        <v>0.71111111111111114</v>
      </c>
      <c r="AW24" s="17"/>
    </row>
    <row r="25" spans="1:90" x14ac:dyDescent="0.3">
      <c r="A25">
        <v>9.5</v>
      </c>
      <c r="B25">
        <v>6.66</v>
      </c>
      <c r="C25">
        <v>6.6</v>
      </c>
      <c r="E25">
        <f>AVERAGE(B25,C25)</f>
        <v>6.63</v>
      </c>
      <c r="F25">
        <f>E25/A25</f>
        <v>0.69789473684210523</v>
      </c>
      <c r="AW25" s="17"/>
    </row>
    <row r="26" spans="1:90" ht="14.4" customHeight="1" x14ac:dyDescent="0.4">
      <c r="AN26" s="34"/>
      <c r="AO26" s="34"/>
      <c r="AP26" s="34"/>
      <c r="AQ26" s="34"/>
      <c r="AR26" s="34"/>
      <c r="AS26" s="34"/>
      <c r="AT26" s="34"/>
      <c r="AU26" s="34"/>
      <c r="AW26" s="17"/>
    </row>
    <row r="27" spans="1:90" x14ac:dyDescent="0.3">
      <c r="AW27" s="17"/>
    </row>
    <row r="28" spans="1:90" ht="21" x14ac:dyDescent="0.4">
      <c r="K28" s="34" t="s">
        <v>10</v>
      </c>
      <c r="L28" s="34"/>
      <c r="M28" s="34"/>
      <c r="N28" s="34"/>
      <c r="O28" s="34"/>
      <c r="P28" s="34"/>
      <c r="Q28" s="34"/>
      <c r="R28" t="s">
        <v>24</v>
      </c>
      <c r="AE28" s="34" t="s">
        <v>52</v>
      </c>
      <c r="AF28" s="34"/>
      <c r="AG28" s="34"/>
      <c r="AH28" s="34"/>
      <c r="AI28" s="34"/>
      <c r="AJ28" s="34"/>
      <c r="AK28" s="34"/>
      <c r="AN28" s="34" t="s">
        <v>55</v>
      </c>
      <c r="AO28" s="34"/>
      <c r="AP28" s="34"/>
      <c r="AQ28" s="34"/>
      <c r="AR28" s="34"/>
      <c r="AS28" s="34"/>
      <c r="AT28" s="34"/>
      <c r="AU28" s="34"/>
      <c r="AW28" s="17"/>
      <c r="AY28" s="34" t="s">
        <v>58</v>
      </c>
      <c r="AZ28" s="34"/>
      <c r="BA28" s="34"/>
      <c r="BB28" s="34"/>
      <c r="BC28" s="34"/>
      <c r="BD28" s="34"/>
      <c r="BE28" s="34"/>
    </row>
    <row r="29" spans="1:90" ht="15" thickBot="1" x14ac:dyDescent="0.35">
      <c r="AW29" s="17"/>
    </row>
    <row r="30" spans="1:90" ht="15" thickBot="1" x14ac:dyDescent="0.35">
      <c r="H30" s="39" t="s">
        <v>4</v>
      </c>
      <c r="I30" s="40"/>
      <c r="J30" s="41"/>
      <c r="L30" s="42" t="s">
        <v>5</v>
      </c>
      <c r="M30" s="43"/>
      <c r="N30" s="44"/>
      <c r="AN30" s="2" t="s">
        <v>57</v>
      </c>
      <c r="AO30" s="2" t="s">
        <v>2</v>
      </c>
      <c r="AP30" s="2" t="s">
        <v>56</v>
      </c>
      <c r="AQ30" s="2" t="s">
        <v>3</v>
      </c>
      <c r="AR30" s="2" t="s">
        <v>8</v>
      </c>
      <c r="AU30" s="21" t="s">
        <v>53</v>
      </c>
      <c r="AW30" s="17"/>
      <c r="AY30" s="15"/>
      <c r="AZ30" s="2" t="s">
        <v>1</v>
      </c>
      <c r="BA30" s="2" t="s">
        <v>2</v>
      </c>
      <c r="BC30" s="2" t="s">
        <v>6</v>
      </c>
      <c r="BD30" s="2" t="s">
        <v>3</v>
      </c>
      <c r="BE30" s="2" t="s">
        <v>9</v>
      </c>
      <c r="BG30" s="20" t="s">
        <v>53</v>
      </c>
    </row>
    <row r="31" spans="1:90" ht="15.6" thickTop="1" thickBot="1" x14ac:dyDescent="0.35">
      <c r="E31" s="2" t="s">
        <v>1</v>
      </c>
      <c r="F31" s="2" t="s">
        <v>2</v>
      </c>
      <c r="H31" s="2" t="s">
        <v>7</v>
      </c>
      <c r="I31" s="2" t="s">
        <v>3</v>
      </c>
      <c r="J31" s="2" t="s">
        <v>8</v>
      </c>
      <c r="L31" s="2" t="s">
        <v>6</v>
      </c>
      <c r="M31" s="2" t="s">
        <v>3</v>
      </c>
      <c r="N31" s="2" t="s">
        <v>9</v>
      </c>
      <c r="P31" s="21" t="s">
        <v>25</v>
      </c>
      <c r="Q31" s="22" t="s">
        <v>26</v>
      </c>
      <c r="AB31" s="15"/>
      <c r="AC31" s="2" t="s">
        <v>1</v>
      </c>
      <c r="AD31" s="2" t="s">
        <v>2</v>
      </c>
      <c r="AF31" s="2" t="s">
        <v>6</v>
      </c>
      <c r="AG31" s="2" t="s">
        <v>3</v>
      </c>
      <c r="AH31" s="2" t="s">
        <v>9</v>
      </c>
      <c r="AK31" s="20" t="s">
        <v>53</v>
      </c>
      <c r="AN31">
        <v>155</v>
      </c>
      <c r="AO31">
        <v>2.72</v>
      </c>
      <c r="AP31">
        <v>6.8</v>
      </c>
      <c r="AQ31" s="23">
        <v>930</v>
      </c>
      <c r="AR31" s="1">
        <f t="shared" ref="AR31:AR39" si="4">(AQ31*2*PI())/60*(12/40)^3</f>
        <v>2.6295130510546567</v>
      </c>
      <c r="AU31" s="10">
        <f t="shared" ref="AU31:AU39" si="5">(AP31-6.39*AO31)/AR31</f>
        <v>-4.0238628957388922</v>
      </c>
      <c r="AW31" s="17"/>
      <c r="AY31" s="16" t="s">
        <v>49</v>
      </c>
      <c r="AZ31" s="27">
        <v>3</v>
      </c>
      <c r="BA31" s="1">
        <v>0.71499999999999997</v>
      </c>
      <c r="BC31">
        <v>500</v>
      </c>
      <c r="BD31">
        <f>BC31</f>
        <v>500</v>
      </c>
      <c r="BE31" s="1">
        <f>(BD31*2*PI())/60</f>
        <v>52.359877559829883</v>
      </c>
      <c r="BG31" s="10">
        <f>(AZ31-$AZ$9*BA31)/BE31</f>
        <v>4.6098274336908933E-2</v>
      </c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</row>
    <row r="32" spans="1:90" ht="15" thickTop="1" x14ac:dyDescent="0.3">
      <c r="E32">
        <v>4.5</v>
      </c>
      <c r="F32">
        <v>0.76500000000000001</v>
      </c>
      <c r="H32">
        <v>2.2999999999999998</v>
      </c>
      <c r="I32" s="10">
        <f>H32/0.033</f>
        <v>69.696969696969688</v>
      </c>
      <c r="J32" s="1">
        <f>(I32*2*PI())/60</f>
        <v>7.2986495992490132</v>
      </c>
      <c r="L32">
        <v>11</v>
      </c>
      <c r="M32">
        <f>L32/0.1</f>
        <v>110</v>
      </c>
      <c r="N32" s="1">
        <f>(M32*2*PI())/60</f>
        <v>11.519173063162576</v>
      </c>
      <c r="P32" s="10">
        <f>(E32+0.8*F32)/J32</f>
        <v>0.70040353773470554</v>
      </c>
      <c r="Q32" s="10">
        <f>(E32+6.39*F32)/N32</f>
        <v>0.81501944180552477</v>
      </c>
      <c r="AB32" s="16" t="s">
        <v>49</v>
      </c>
      <c r="AC32">
        <v>4</v>
      </c>
      <c r="AD32">
        <v>0.75</v>
      </c>
      <c r="AF32">
        <v>565</v>
      </c>
      <c r="AG32">
        <f>AF32</f>
        <v>565</v>
      </c>
      <c r="AH32" s="1">
        <f>(AG32*2*PI())/60</f>
        <v>59.166661642607771</v>
      </c>
      <c r="AK32" s="10">
        <f>(AC32-6.39*AD32)/AH32</f>
        <v>-1.3394367334547998E-2</v>
      </c>
      <c r="AN32">
        <v>156</v>
      </c>
      <c r="AO32">
        <v>2.81</v>
      </c>
      <c r="AP32">
        <v>7.5</v>
      </c>
      <c r="AQ32" s="23">
        <v>1210</v>
      </c>
      <c r="AR32" s="1">
        <f t="shared" si="4"/>
        <v>3.4211943997592846</v>
      </c>
      <c r="AU32" s="10">
        <f t="shared" si="5"/>
        <v>-3.0562133507337896</v>
      </c>
      <c r="AW32" s="17"/>
      <c r="AY32" s="17"/>
      <c r="AZ32" s="27">
        <v>3.5</v>
      </c>
      <c r="BA32" s="1">
        <v>0.745</v>
      </c>
      <c r="BC32">
        <v>645</v>
      </c>
      <c r="BD32">
        <f>BC32</f>
        <v>645</v>
      </c>
      <c r="BE32" s="1">
        <f t="shared" ref="BE32:BE49" si="6">(BD32*2*PI())/60</f>
        <v>67.54424205218055</v>
      </c>
      <c r="BG32" s="10">
        <f t="shared" ref="BG32:BG49" si="7">(AZ32-$AZ$9*BA32)/BE32</f>
        <v>4.2773446147608821E-2</v>
      </c>
      <c r="BS32" s="10"/>
    </row>
    <row r="33" spans="5:71" ht="15" thickBot="1" x14ac:dyDescent="0.35">
      <c r="E33">
        <v>5</v>
      </c>
      <c r="F33">
        <v>0.76</v>
      </c>
      <c r="H33">
        <v>2.8</v>
      </c>
      <c r="I33" s="10">
        <f t="shared" ref="I33:I51" si="8">H33/0.033</f>
        <v>84.848484848484844</v>
      </c>
      <c r="J33" s="1">
        <f t="shared" ref="J33:J51" si="9">(I33*2*PI())/60</f>
        <v>8.885312555607495</v>
      </c>
      <c r="L33">
        <v>21</v>
      </c>
      <c r="M33">
        <f t="shared" ref="M33:M51" si="10">L33/0.1</f>
        <v>210</v>
      </c>
      <c r="N33" s="1">
        <f t="shared" ref="N33:N51" si="11">(M33*2*PI())/60</f>
        <v>21.991148575128552</v>
      </c>
      <c r="P33" s="10">
        <f t="shared" ref="P33:P51" si="12">(E33+0.8*F33)/J33</f>
        <v>0.63115393689339694</v>
      </c>
      <c r="Q33" s="10">
        <f t="shared" ref="Q33:Q51" si="13">(E33+6.39*F33)/N33</f>
        <v>0.44819850888313068</v>
      </c>
      <c r="AB33" s="17"/>
      <c r="AC33">
        <v>4.5</v>
      </c>
      <c r="AD33">
        <v>0.76</v>
      </c>
      <c r="AF33">
        <v>722</v>
      </c>
      <c r="AG33">
        <f>AF33</f>
        <v>722</v>
      </c>
      <c r="AH33" s="1">
        <f t="shared" ref="AH33:AH51" si="14">(AG33*2*PI())/60</f>
        <v>75.607663196394341</v>
      </c>
      <c r="AK33" s="10">
        <f t="shared" ref="AK33:AK51" si="15">(AC33-6.39*AD33)/AH33</f>
        <v>-4.7138078989987378E-3</v>
      </c>
      <c r="AN33">
        <v>157</v>
      </c>
      <c r="AO33">
        <v>2.91</v>
      </c>
      <c r="AP33">
        <v>8.5</v>
      </c>
      <c r="AQ33" s="23">
        <v>1500</v>
      </c>
      <c r="AR33" s="1">
        <f t="shared" si="4"/>
        <v>4.2411500823462207</v>
      </c>
      <c r="AU33" s="10">
        <f t="shared" si="5"/>
        <v>-2.3802270148420357</v>
      </c>
      <c r="AW33" s="17"/>
      <c r="AY33" s="17"/>
      <c r="AZ33" s="27">
        <v>4</v>
      </c>
      <c r="BA33" s="1">
        <v>0.77</v>
      </c>
      <c r="BC33">
        <v>794</v>
      </c>
      <c r="BD33">
        <f>BC33</f>
        <v>794</v>
      </c>
      <c r="BE33" s="1">
        <f t="shared" si="6"/>
        <v>83.147485565009859</v>
      </c>
      <c r="BG33" s="10">
        <f t="shared" si="7"/>
        <v>4.0513552239246242E-2</v>
      </c>
      <c r="BS33" s="10"/>
    </row>
    <row r="34" spans="5:71" ht="15.6" thickTop="1" thickBot="1" x14ac:dyDescent="0.35">
      <c r="E34">
        <v>5.5</v>
      </c>
      <c r="F34">
        <v>0.78</v>
      </c>
      <c r="H34">
        <v>3.2</v>
      </c>
      <c r="I34" s="10">
        <f t="shared" si="8"/>
        <v>96.969696969696969</v>
      </c>
      <c r="J34" s="1">
        <f>(I34*2*PI())/60</f>
        <v>10.154642920694281</v>
      </c>
      <c r="L34">
        <v>24</v>
      </c>
      <c r="M34">
        <f t="shared" si="10"/>
        <v>240</v>
      </c>
      <c r="N34" s="1">
        <f t="shared" si="11"/>
        <v>25.132741228718341</v>
      </c>
      <c r="P34" s="10">
        <f t="shared" si="12"/>
        <v>0.60307388923738714</v>
      </c>
      <c r="Q34" s="10">
        <f t="shared" si="13"/>
        <v>0.41715306359101234</v>
      </c>
      <c r="AB34" s="17"/>
      <c r="AC34">
        <v>5</v>
      </c>
      <c r="AD34">
        <v>0.78</v>
      </c>
      <c r="AF34">
        <v>856</v>
      </c>
      <c r="AG34">
        <f>AF34</f>
        <v>856</v>
      </c>
      <c r="AH34" s="1">
        <f t="shared" si="14"/>
        <v>89.640110382428759</v>
      </c>
      <c r="AK34" s="10">
        <f t="shared" si="15"/>
        <v>1.7626038090084274E-4</v>
      </c>
      <c r="AN34">
        <v>158</v>
      </c>
      <c r="AO34">
        <v>3.01</v>
      </c>
      <c r="AP34">
        <v>9.5</v>
      </c>
      <c r="AQ34" s="23">
        <v>1770</v>
      </c>
      <c r="AR34" s="1">
        <f t="shared" si="4"/>
        <v>5.00455709716854</v>
      </c>
      <c r="AU34" s="10">
        <f t="shared" si="5"/>
        <v>-1.9450072825639673</v>
      </c>
      <c r="AW34" s="17"/>
      <c r="AY34" s="16" t="s">
        <v>51</v>
      </c>
      <c r="AZ34" s="27">
        <v>4.5</v>
      </c>
      <c r="BA34" s="1">
        <v>0.79</v>
      </c>
      <c r="BC34">
        <v>94.3</v>
      </c>
      <c r="BD34">
        <f t="shared" ref="BD34:BD49" si="16">BC34/0.1</f>
        <v>942.99999999999989</v>
      </c>
      <c r="BE34" s="1">
        <f t="shared" si="6"/>
        <v>98.750729077839154</v>
      </c>
      <c r="BG34" s="10">
        <f t="shared" si="7"/>
        <v>3.9009332244661674E-2</v>
      </c>
      <c r="BS34" s="10"/>
    </row>
    <row r="35" spans="5:71" ht="15" thickTop="1" x14ac:dyDescent="0.3">
      <c r="E35">
        <v>6</v>
      </c>
      <c r="F35">
        <v>0.79</v>
      </c>
      <c r="H35">
        <v>3.7</v>
      </c>
      <c r="I35" s="10">
        <f t="shared" si="8"/>
        <v>112.12121212121212</v>
      </c>
      <c r="J35" s="1">
        <f t="shared" si="9"/>
        <v>11.741305877052762</v>
      </c>
      <c r="L35">
        <v>27</v>
      </c>
      <c r="M35">
        <f t="shared" si="10"/>
        <v>270</v>
      </c>
      <c r="N35" s="1">
        <f t="shared" si="11"/>
        <v>28.274333882308138</v>
      </c>
      <c r="P35" s="10">
        <f t="shared" si="12"/>
        <v>0.56484347392410561</v>
      </c>
      <c r="Q35" s="10">
        <f t="shared" si="13"/>
        <v>0.39074660594968197</v>
      </c>
      <c r="AB35" s="16" t="s">
        <v>51</v>
      </c>
      <c r="AC35">
        <v>5.5</v>
      </c>
      <c r="AD35">
        <v>0.79</v>
      </c>
      <c r="AF35">
        <v>112</v>
      </c>
      <c r="AG35">
        <f t="shared" ref="AG35:AG51" si="17">AF35/0.1</f>
        <v>1120</v>
      </c>
      <c r="AH35" s="1">
        <f t="shared" si="14"/>
        <v>117.28612573401894</v>
      </c>
      <c r="AK35" s="10">
        <f t="shared" si="15"/>
        <v>3.8529706491014751E-3</v>
      </c>
      <c r="AN35">
        <v>159</v>
      </c>
      <c r="AO35">
        <v>3.11</v>
      </c>
      <c r="AP35">
        <v>10.5</v>
      </c>
      <c r="AQ35" s="23">
        <v>2110</v>
      </c>
      <c r="AR35" s="1">
        <f t="shared" si="4"/>
        <v>5.9658844491670173</v>
      </c>
      <c r="AU35" s="10">
        <f t="shared" si="5"/>
        <v>-1.5710830606698529</v>
      </c>
      <c r="AW35" s="17"/>
      <c r="AY35" s="17"/>
      <c r="AZ35" s="27">
        <v>5</v>
      </c>
      <c r="BA35" s="1">
        <v>0.83</v>
      </c>
      <c r="BC35">
        <v>108</v>
      </c>
      <c r="BD35">
        <f t="shared" si="16"/>
        <v>1080</v>
      </c>
      <c r="BE35" s="1">
        <f t="shared" si="6"/>
        <v>113.09733552923255</v>
      </c>
      <c r="BG35" s="10">
        <f t="shared" si="7"/>
        <v>3.8191881177285149E-2</v>
      </c>
      <c r="BS35" s="10"/>
    </row>
    <row r="36" spans="5:71" x14ac:dyDescent="0.3">
      <c r="E36">
        <v>6.5</v>
      </c>
      <c r="F36">
        <v>0.81499999999999995</v>
      </c>
      <c r="H36">
        <v>4.0999999999999996</v>
      </c>
      <c r="I36" s="10">
        <f t="shared" si="8"/>
        <v>124.24242424242422</v>
      </c>
      <c r="J36" s="1">
        <f t="shared" si="9"/>
        <v>13.010636242139546</v>
      </c>
      <c r="L36">
        <v>30</v>
      </c>
      <c r="M36">
        <f t="shared" si="10"/>
        <v>300</v>
      </c>
      <c r="N36" s="1">
        <f t="shared" si="11"/>
        <v>31.415926535897931</v>
      </c>
      <c r="P36" s="10">
        <f t="shared" si="12"/>
        <v>0.54970409339673332</v>
      </c>
      <c r="Q36" s="10">
        <f t="shared" si="13"/>
        <v>0.37267244009568939</v>
      </c>
      <c r="AB36" s="17"/>
      <c r="AC36">
        <v>6</v>
      </c>
      <c r="AD36">
        <v>0.81</v>
      </c>
      <c r="AF36">
        <v>127</v>
      </c>
      <c r="AG36">
        <f t="shared" si="17"/>
        <v>1270</v>
      </c>
      <c r="AH36" s="1">
        <f t="shared" si="14"/>
        <v>132.99408900196789</v>
      </c>
      <c r="AK36" s="10">
        <f t="shared" si="15"/>
        <v>6.196515996946342E-3</v>
      </c>
      <c r="AN36">
        <v>160</v>
      </c>
      <c r="AO36">
        <v>3.21</v>
      </c>
      <c r="AP36">
        <v>11.7</v>
      </c>
      <c r="AQ36" s="23">
        <v>2550</v>
      </c>
      <c r="AR36" s="1">
        <f t="shared" si="4"/>
        <v>7.2099551399885753</v>
      </c>
      <c r="AU36" s="10">
        <f t="shared" si="5"/>
        <v>-1.2221851355394093</v>
      </c>
      <c r="AW36" s="17"/>
      <c r="AY36" s="17"/>
      <c r="AZ36" s="27">
        <v>5.5</v>
      </c>
      <c r="BA36" s="1">
        <v>0.85</v>
      </c>
      <c r="BC36">
        <v>121</v>
      </c>
      <c r="BD36">
        <f t="shared" si="16"/>
        <v>1210</v>
      </c>
      <c r="BE36" s="1">
        <f t="shared" si="6"/>
        <v>126.71090369478833</v>
      </c>
      <c r="BG36" s="10">
        <f t="shared" si="7"/>
        <v>3.7905183058035037E-2</v>
      </c>
      <c r="BS36" s="10"/>
    </row>
    <row r="37" spans="5:71" x14ac:dyDescent="0.3">
      <c r="E37">
        <v>7</v>
      </c>
      <c r="F37">
        <v>0.83</v>
      </c>
      <c r="H37">
        <v>4.7</v>
      </c>
      <c r="I37" s="10">
        <f t="shared" si="8"/>
        <v>142.42424242424244</v>
      </c>
      <c r="J37" s="1">
        <f t="shared" si="9"/>
        <v>14.914631789769725</v>
      </c>
      <c r="L37">
        <v>33</v>
      </c>
      <c r="M37">
        <f t="shared" si="10"/>
        <v>330</v>
      </c>
      <c r="N37" s="1">
        <f t="shared" si="11"/>
        <v>34.557519189487721</v>
      </c>
      <c r="P37" s="10">
        <f t="shared" si="12"/>
        <v>0.51385780809264803</v>
      </c>
      <c r="Q37" s="10">
        <f t="shared" si="13"/>
        <v>0.35603539514904597</v>
      </c>
      <c r="AB37" s="17"/>
      <c r="AC37">
        <v>6.5</v>
      </c>
      <c r="AD37">
        <v>0.83</v>
      </c>
      <c r="AF37">
        <v>140</v>
      </c>
      <c r="AG37">
        <f t="shared" si="17"/>
        <v>1400</v>
      </c>
      <c r="AH37" s="1">
        <f t="shared" si="14"/>
        <v>146.60765716752366</v>
      </c>
      <c r="AK37" s="10">
        <f t="shared" si="15"/>
        <v>8.1598739323214802E-3</v>
      </c>
      <c r="AN37">
        <v>161</v>
      </c>
      <c r="AO37">
        <v>3.3</v>
      </c>
      <c r="AP37">
        <v>12.8</v>
      </c>
      <c r="AQ37" s="23">
        <v>3024</v>
      </c>
      <c r="AR37" s="1">
        <f t="shared" si="4"/>
        <v>8.5501585660099817</v>
      </c>
      <c r="AU37" s="10">
        <f t="shared" si="5"/>
        <v>-0.96922179115412688</v>
      </c>
      <c r="AW37" s="17"/>
      <c r="AY37" s="17"/>
      <c r="AZ37" s="27">
        <v>6</v>
      </c>
      <c r="BA37" s="1">
        <v>0.88</v>
      </c>
      <c r="BC37">
        <v>134.6</v>
      </c>
      <c r="BD37">
        <f t="shared" si="16"/>
        <v>1345.9999999999998</v>
      </c>
      <c r="BE37" s="1">
        <f t="shared" si="6"/>
        <v>140.95279039106202</v>
      </c>
      <c r="BG37" s="10">
        <f t="shared" si="7"/>
        <v>3.7447999329105225E-2</v>
      </c>
      <c r="BS37" s="10"/>
    </row>
    <row r="38" spans="5:71" x14ac:dyDescent="0.3">
      <c r="E38">
        <v>7.5</v>
      </c>
      <c r="F38">
        <v>0.85</v>
      </c>
      <c r="H38">
        <v>5</v>
      </c>
      <c r="I38" s="10">
        <f t="shared" si="8"/>
        <v>151.5151515151515</v>
      </c>
      <c r="J38" s="1">
        <f t="shared" si="9"/>
        <v>15.866629563584812</v>
      </c>
      <c r="L38">
        <v>35.5</v>
      </c>
      <c r="M38">
        <f t="shared" si="10"/>
        <v>355</v>
      </c>
      <c r="N38" s="1">
        <f t="shared" si="11"/>
        <v>37.175513067479216</v>
      </c>
      <c r="P38" s="10">
        <f t="shared" si="12"/>
        <v>0.51554742405871479</v>
      </c>
      <c r="Q38" s="10">
        <f t="shared" si="13"/>
        <v>0.34784994026921318</v>
      </c>
      <c r="AB38" s="17"/>
      <c r="AC38">
        <v>7</v>
      </c>
      <c r="AD38">
        <v>0.85</v>
      </c>
      <c r="AF38">
        <v>154.5</v>
      </c>
      <c r="AG38">
        <f t="shared" si="17"/>
        <v>1545</v>
      </c>
      <c r="AH38" s="1">
        <f t="shared" si="14"/>
        <v>161.79202165987437</v>
      </c>
      <c r="AK38" s="10">
        <f t="shared" si="15"/>
        <v>9.6945447860053539E-3</v>
      </c>
      <c r="AN38">
        <v>162</v>
      </c>
      <c r="AO38">
        <v>3.33</v>
      </c>
      <c r="AP38">
        <v>13.75</v>
      </c>
      <c r="AQ38" s="23">
        <v>3230</v>
      </c>
      <c r="AR38" s="1">
        <f t="shared" si="4"/>
        <v>9.132609843985529</v>
      </c>
      <c r="AU38" s="10">
        <f t="shared" si="5"/>
        <v>-0.82437552119432578</v>
      </c>
      <c r="AW38" s="17"/>
      <c r="AY38" s="17"/>
      <c r="AZ38" s="27">
        <v>6.5</v>
      </c>
      <c r="BA38" s="1">
        <v>0.9</v>
      </c>
      <c r="BC38">
        <v>149</v>
      </c>
      <c r="BD38">
        <f t="shared" si="16"/>
        <v>1490</v>
      </c>
      <c r="BE38" s="1">
        <f t="shared" si="6"/>
        <v>156.03243512829306</v>
      </c>
      <c r="BG38" s="10">
        <f t="shared" si="7"/>
        <v>3.6928219413241654E-2</v>
      </c>
      <c r="BS38" s="10"/>
    </row>
    <row r="39" spans="5:71" x14ac:dyDescent="0.3">
      <c r="E39">
        <v>8</v>
      </c>
      <c r="F39">
        <v>0.87</v>
      </c>
      <c r="H39">
        <v>5.4</v>
      </c>
      <c r="I39" s="10">
        <f t="shared" si="8"/>
        <v>163.63636363636363</v>
      </c>
      <c r="J39" s="1">
        <f t="shared" ref="J39:J46" si="18">(I39*2*PI())/60</f>
        <v>17.135959928671596</v>
      </c>
      <c r="L39">
        <v>38.5</v>
      </c>
      <c r="M39">
        <f t="shared" si="10"/>
        <v>385</v>
      </c>
      <c r="N39" s="1">
        <f t="shared" si="11"/>
        <v>40.317105721069012</v>
      </c>
      <c r="P39" s="10">
        <f t="shared" si="12"/>
        <v>0.50747084121327812</v>
      </c>
      <c r="Q39" s="10">
        <f t="shared" si="13"/>
        <v>0.3363163043946914</v>
      </c>
      <c r="AB39" s="17"/>
      <c r="AC39">
        <v>7.5</v>
      </c>
      <c r="AD39">
        <v>0.86499999999999999</v>
      </c>
      <c r="AF39">
        <v>169.5</v>
      </c>
      <c r="AG39">
        <f t="shared" si="17"/>
        <v>1695</v>
      </c>
      <c r="AH39" s="1">
        <f t="shared" si="14"/>
        <v>177.49998492782331</v>
      </c>
      <c r="AK39" s="10">
        <f t="shared" si="15"/>
        <v>1.111352207045053E-2</v>
      </c>
      <c r="AN39">
        <v>163</v>
      </c>
      <c r="AO39">
        <v>3.34</v>
      </c>
      <c r="AP39">
        <v>13.75</v>
      </c>
      <c r="AQ39" s="23">
        <v>3280</v>
      </c>
      <c r="AR39" s="1">
        <f t="shared" si="4"/>
        <v>9.2739815133970698</v>
      </c>
      <c r="AU39" s="10">
        <f t="shared" si="5"/>
        <v>-0.81869906566363415</v>
      </c>
      <c r="AW39" s="17"/>
      <c r="AY39" s="17"/>
      <c r="AZ39" s="27">
        <v>7</v>
      </c>
      <c r="BA39" s="1">
        <v>0.93</v>
      </c>
      <c r="BC39">
        <v>162.69999999999999</v>
      </c>
      <c r="BD39">
        <f t="shared" si="16"/>
        <v>1626.9999999999998</v>
      </c>
      <c r="BE39" s="1">
        <f t="shared" si="6"/>
        <v>170.37904157968643</v>
      </c>
      <c r="BG39" s="10">
        <f t="shared" si="7"/>
        <v>3.6608962828815789E-2</v>
      </c>
      <c r="BS39" s="10"/>
    </row>
    <row r="40" spans="5:71" x14ac:dyDescent="0.3">
      <c r="E40">
        <v>8.5</v>
      </c>
      <c r="F40">
        <v>0.89</v>
      </c>
      <c r="H40">
        <v>5.85</v>
      </c>
      <c r="I40" s="10">
        <f t="shared" si="8"/>
        <v>177.27272727272725</v>
      </c>
      <c r="J40" s="1">
        <f t="shared" si="18"/>
        <v>18.56395658939423</v>
      </c>
      <c r="L40">
        <v>41</v>
      </c>
      <c r="M40">
        <f t="shared" ref="M40:M46" si="19">L40/0.1</f>
        <v>410</v>
      </c>
      <c r="N40" s="1">
        <f t="shared" ref="N40:N46" si="20">(M40*2*PI())/60</f>
        <v>42.935099599060507</v>
      </c>
      <c r="P40" s="10">
        <f t="shared" si="12"/>
        <v>0.49623042133501355</v>
      </c>
      <c r="Q40" s="10">
        <f t="shared" si="13"/>
        <v>0.33043128192278465</v>
      </c>
      <c r="AB40" s="17"/>
      <c r="AC40">
        <v>8</v>
      </c>
      <c r="AD40">
        <v>0.88</v>
      </c>
      <c r="AF40">
        <v>180</v>
      </c>
      <c r="AG40">
        <f t="shared" si="17"/>
        <v>1800</v>
      </c>
      <c r="AH40" s="1">
        <f t="shared" si="14"/>
        <v>188.49555921538757</v>
      </c>
      <c r="AK40" s="10">
        <f t="shared" si="15"/>
        <v>1.2609315624693897E-2</v>
      </c>
      <c r="AT40" t="s">
        <v>34</v>
      </c>
      <c r="AU40" s="10">
        <f>AVERAGE(AU31:AU39)</f>
        <v>-1.8678750131222257</v>
      </c>
      <c r="AW40" s="17"/>
      <c r="AY40" s="17"/>
      <c r="AZ40" s="27">
        <v>7.5</v>
      </c>
      <c r="BA40" s="1">
        <v>0.94</v>
      </c>
      <c r="BC40">
        <v>177</v>
      </c>
      <c r="BD40">
        <f t="shared" si="16"/>
        <v>1770</v>
      </c>
      <c r="BE40" s="1">
        <f t="shared" si="6"/>
        <v>185.35396656179779</v>
      </c>
      <c r="BG40" s="10">
        <f t="shared" si="7"/>
        <v>3.63045912899655E-2</v>
      </c>
      <c r="BS40" s="10"/>
    </row>
    <row r="41" spans="5:71" x14ac:dyDescent="0.3">
      <c r="E41">
        <v>9</v>
      </c>
      <c r="F41">
        <v>0.9</v>
      </c>
      <c r="H41">
        <v>6.3</v>
      </c>
      <c r="I41" s="10">
        <f t="shared" si="8"/>
        <v>190.90909090909091</v>
      </c>
      <c r="J41" s="1">
        <f t="shared" si="18"/>
        <v>19.991953250116865</v>
      </c>
      <c r="L41">
        <v>43.5</v>
      </c>
      <c r="M41">
        <f t="shared" si="19"/>
        <v>435</v>
      </c>
      <c r="N41" s="1">
        <f t="shared" si="20"/>
        <v>45.553093477052002</v>
      </c>
      <c r="P41" s="10">
        <f t="shared" si="12"/>
        <v>0.4861956147252986</v>
      </c>
      <c r="Q41" s="10">
        <f t="shared" si="13"/>
        <v>0.32381994007566178</v>
      </c>
      <c r="AB41" s="17"/>
      <c r="AC41">
        <v>8.5</v>
      </c>
      <c r="AD41">
        <v>0.9</v>
      </c>
      <c r="AF41">
        <v>193</v>
      </c>
      <c r="AG41">
        <f t="shared" si="17"/>
        <v>1930</v>
      </c>
      <c r="AH41" s="1">
        <f t="shared" si="14"/>
        <v>202.10912738094336</v>
      </c>
      <c r="AK41" s="10">
        <f t="shared" si="15"/>
        <v>1.3601562856775763E-2</v>
      </c>
      <c r="AW41" s="17"/>
      <c r="AY41" s="17"/>
      <c r="AZ41" s="27">
        <v>8</v>
      </c>
      <c r="BA41" s="1">
        <v>0.95</v>
      </c>
      <c r="BC41">
        <v>190</v>
      </c>
      <c r="BD41">
        <f t="shared" si="16"/>
        <v>1900</v>
      </c>
      <c r="BE41" s="1">
        <f t="shared" si="6"/>
        <v>198.96753472735358</v>
      </c>
      <c r="BG41" s="10">
        <f t="shared" si="7"/>
        <v>3.629235297052346E-2</v>
      </c>
      <c r="BS41" s="10"/>
    </row>
    <row r="42" spans="5:71" x14ac:dyDescent="0.3">
      <c r="E42">
        <v>9.5</v>
      </c>
      <c r="F42">
        <v>0.92</v>
      </c>
      <c r="H42">
        <v>6.8</v>
      </c>
      <c r="I42" s="10">
        <f t="shared" si="8"/>
        <v>206.06060606060603</v>
      </c>
      <c r="J42" s="1">
        <f t="shared" si="18"/>
        <v>21.578616206475342</v>
      </c>
      <c r="L42">
        <v>47</v>
      </c>
      <c r="M42">
        <f t="shared" si="19"/>
        <v>470</v>
      </c>
      <c r="N42" s="1">
        <f t="shared" si="20"/>
        <v>49.218284906240093</v>
      </c>
      <c r="P42" s="10">
        <f t="shared" si="12"/>
        <v>0.4743584992687514</v>
      </c>
      <c r="Q42" s="10">
        <f t="shared" si="13"/>
        <v>0.31246111133893278</v>
      </c>
      <c r="AB42" s="17"/>
      <c r="AC42">
        <v>9</v>
      </c>
      <c r="AD42">
        <v>0.82</v>
      </c>
      <c r="AF42">
        <v>217</v>
      </c>
      <c r="AG42">
        <f t="shared" si="17"/>
        <v>2170</v>
      </c>
      <c r="AH42" s="1">
        <f t="shared" si="14"/>
        <v>227.24186860966171</v>
      </c>
      <c r="AK42" s="10">
        <f t="shared" si="15"/>
        <v>1.6547126737718292E-2</v>
      </c>
      <c r="AW42" s="17"/>
      <c r="AY42" s="17"/>
      <c r="AZ42" s="27">
        <v>8.5</v>
      </c>
      <c r="BA42" s="1">
        <v>0.96</v>
      </c>
      <c r="BC42">
        <v>205</v>
      </c>
      <c r="BD42">
        <f t="shared" si="16"/>
        <v>2050</v>
      </c>
      <c r="BE42" s="1">
        <f t="shared" si="6"/>
        <v>214.67549799530252</v>
      </c>
      <c r="BG42" s="10">
        <f t="shared" si="7"/>
        <v>3.592771449012206E-2</v>
      </c>
      <c r="BS42" s="10"/>
    </row>
    <row r="43" spans="5:71" x14ac:dyDescent="0.3">
      <c r="E43">
        <v>10</v>
      </c>
      <c r="F43">
        <v>0.93</v>
      </c>
      <c r="H43">
        <v>7.3</v>
      </c>
      <c r="I43" s="10">
        <f t="shared" si="8"/>
        <v>221.21212121212119</v>
      </c>
      <c r="J43" s="1">
        <f t="shared" si="18"/>
        <v>23.165279162833826</v>
      </c>
      <c r="L43">
        <v>49</v>
      </c>
      <c r="M43">
        <f t="shared" si="19"/>
        <v>490</v>
      </c>
      <c r="N43" s="1">
        <f t="shared" si="20"/>
        <v>51.312680008633286</v>
      </c>
      <c r="P43" s="10">
        <f t="shared" si="12"/>
        <v>0.46379756205302203</v>
      </c>
      <c r="Q43" s="10">
        <f t="shared" si="13"/>
        <v>0.31069708300789711</v>
      </c>
      <c r="AB43" s="17"/>
      <c r="AC43">
        <v>9.5</v>
      </c>
      <c r="AD43">
        <v>0.84</v>
      </c>
      <c r="AF43">
        <v>229</v>
      </c>
      <c r="AG43">
        <f t="shared" si="17"/>
        <v>2290</v>
      </c>
      <c r="AH43" s="1">
        <f t="shared" si="14"/>
        <v>239.80823922402087</v>
      </c>
      <c r="AK43" s="10">
        <f t="shared" si="15"/>
        <v>1.7232101838417863E-2</v>
      </c>
      <c r="AW43" s="17"/>
      <c r="AY43" s="17"/>
      <c r="AZ43" s="27">
        <v>9</v>
      </c>
      <c r="BA43" s="1">
        <v>0.99</v>
      </c>
      <c r="BC43">
        <v>219</v>
      </c>
      <c r="BD43">
        <f t="shared" si="16"/>
        <v>2190</v>
      </c>
      <c r="BE43" s="1">
        <f t="shared" si="6"/>
        <v>229.33626371205489</v>
      </c>
      <c r="BG43" s="10">
        <f t="shared" si="7"/>
        <v>3.5703904247261851E-2</v>
      </c>
      <c r="BS43" s="10"/>
    </row>
    <row r="44" spans="5:71" x14ac:dyDescent="0.3">
      <c r="E44">
        <v>10.5</v>
      </c>
      <c r="F44">
        <v>0.95</v>
      </c>
      <c r="H44">
        <v>7.7</v>
      </c>
      <c r="I44" s="10">
        <f t="shared" si="8"/>
        <v>233.33333333333331</v>
      </c>
      <c r="J44" s="1">
        <f t="shared" si="18"/>
        <v>24.43460952792061</v>
      </c>
      <c r="L44">
        <v>52</v>
      </c>
      <c r="M44">
        <f t="shared" si="19"/>
        <v>520</v>
      </c>
      <c r="N44" s="1">
        <f t="shared" si="20"/>
        <v>54.454272662223076</v>
      </c>
      <c r="P44" s="10">
        <f t="shared" si="12"/>
        <v>0.46082176951236214</v>
      </c>
      <c r="Q44" s="10">
        <f t="shared" si="13"/>
        <v>0.30430119051972138</v>
      </c>
      <c r="AB44" s="17"/>
      <c r="AC44">
        <v>10</v>
      </c>
      <c r="AD44">
        <v>0.85499999999999998</v>
      </c>
      <c r="AF44">
        <v>246.5</v>
      </c>
      <c r="AG44">
        <f t="shared" si="17"/>
        <v>2465</v>
      </c>
      <c r="AH44" s="1">
        <f t="shared" si="14"/>
        <v>258.13419636996133</v>
      </c>
      <c r="AK44" s="10">
        <f t="shared" si="15"/>
        <v>1.7574385973635809E-2</v>
      </c>
      <c r="AW44" s="17"/>
      <c r="AY44" s="17"/>
      <c r="AZ44" s="27">
        <v>9.5</v>
      </c>
      <c r="BA44" s="1">
        <v>1</v>
      </c>
      <c r="BC44">
        <v>233.3</v>
      </c>
      <c r="BD44">
        <f t="shared" si="16"/>
        <v>2333</v>
      </c>
      <c r="BE44" s="1">
        <f t="shared" si="6"/>
        <v>244.31118869416622</v>
      </c>
      <c r="BG44" s="10">
        <f t="shared" si="7"/>
        <v>3.5528458792224216E-2</v>
      </c>
      <c r="BS44" s="10"/>
    </row>
    <row r="45" spans="5:71" x14ac:dyDescent="0.3">
      <c r="E45">
        <v>11</v>
      </c>
      <c r="F45">
        <v>0.97</v>
      </c>
      <c r="H45">
        <v>8.3000000000000007</v>
      </c>
      <c r="I45" s="10">
        <f t="shared" si="8"/>
        <v>251.51515151515153</v>
      </c>
      <c r="J45" s="1">
        <f t="shared" si="18"/>
        <v>26.338605075550792</v>
      </c>
      <c r="L45">
        <v>56</v>
      </c>
      <c r="M45">
        <f t="shared" si="19"/>
        <v>560</v>
      </c>
      <c r="N45" s="1">
        <f t="shared" si="20"/>
        <v>58.643062867009469</v>
      </c>
      <c r="P45" s="10">
        <f t="shared" si="12"/>
        <v>0.4471003671690742</v>
      </c>
      <c r="Q45" s="10">
        <f t="shared" si="13"/>
        <v>0.29327083476185828</v>
      </c>
      <c r="AB45" s="17"/>
      <c r="AC45">
        <v>10.5</v>
      </c>
      <c r="AD45">
        <v>0.88</v>
      </c>
      <c r="AF45">
        <v>255</v>
      </c>
      <c r="AG45">
        <f t="shared" si="17"/>
        <v>2550</v>
      </c>
      <c r="AH45" s="1">
        <f t="shared" si="14"/>
        <v>267.03537555513242</v>
      </c>
      <c r="AK45" s="10">
        <f t="shared" si="15"/>
        <v>1.8262748858130711E-2</v>
      </c>
      <c r="AW45" s="17"/>
      <c r="AY45" s="17"/>
      <c r="AZ45" s="27">
        <v>10</v>
      </c>
      <c r="BA45" s="1">
        <v>1.02</v>
      </c>
      <c r="BC45">
        <v>247</v>
      </c>
      <c r="BD45">
        <f t="shared" si="16"/>
        <v>2470</v>
      </c>
      <c r="BE45" s="1">
        <f t="shared" si="6"/>
        <v>258.65779514555965</v>
      </c>
      <c r="BG45" s="10">
        <f t="shared" si="7"/>
        <v>3.5427503721058108E-2</v>
      </c>
      <c r="BS45" s="10"/>
    </row>
    <row r="46" spans="5:71" x14ac:dyDescent="0.3">
      <c r="E46">
        <v>11.5</v>
      </c>
      <c r="F46">
        <v>0.99</v>
      </c>
      <c r="H46">
        <v>8.8000000000000007</v>
      </c>
      <c r="I46" s="10">
        <f t="shared" si="8"/>
        <v>266.66666666666669</v>
      </c>
      <c r="J46" s="1">
        <f t="shared" si="18"/>
        <v>27.925268031909276</v>
      </c>
      <c r="L46">
        <v>59</v>
      </c>
      <c r="M46">
        <f t="shared" si="19"/>
        <v>590</v>
      </c>
      <c r="N46" s="1">
        <f t="shared" si="20"/>
        <v>61.784655520599266</v>
      </c>
      <c r="P46" s="10">
        <f t="shared" si="12"/>
        <v>0.4401748261092549</v>
      </c>
      <c r="Q46" s="10">
        <f t="shared" si="13"/>
        <v>0.28851985739495956</v>
      </c>
      <c r="AB46" s="17"/>
      <c r="AC46">
        <v>11</v>
      </c>
      <c r="AD46">
        <v>0.89500000000000002</v>
      </c>
      <c r="AF46">
        <v>274</v>
      </c>
      <c r="AG46">
        <f t="shared" si="17"/>
        <v>2740</v>
      </c>
      <c r="AH46" s="1">
        <f t="shared" si="14"/>
        <v>286.93212902786775</v>
      </c>
      <c r="AK46" s="10">
        <f t="shared" si="15"/>
        <v>1.8404875110682003E-2</v>
      </c>
      <c r="AW46" s="17"/>
      <c r="AY46" s="17"/>
      <c r="AZ46" s="27">
        <v>10.5</v>
      </c>
      <c r="BA46" s="1">
        <v>1.03</v>
      </c>
      <c r="BC46">
        <v>261.7</v>
      </c>
      <c r="BD46">
        <f t="shared" si="16"/>
        <v>2616.9999999999995</v>
      </c>
      <c r="BE46" s="1">
        <f t="shared" si="6"/>
        <v>274.05159914814959</v>
      </c>
      <c r="BG46" s="10">
        <f t="shared" si="7"/>
        <v>3.5232051299873592E-2</v>
      </c>
      <c r="BS46" s="10"/>
    </row>
    <row r="47" spans="5:71" x14ac:dyDescent="0.3">
      <c r="E47">
        <v>12</v>
      </c>
      <c r="F47">
        <v>1</v>
      </c>
      <c r="H47">
        <v>9.1</v>
      </c>
      <c r="I47" s="10">
        <f t="shared" si="8"/>
        <v>275.75757575757575</v>
      </c>
      <c r="J47" s="1">
        <f t="shared" si="9"/>
        <v>28.87726580572436</v>
      </c>
      <c r="L47">
        <v>61.5</v>
      </c>
      <c r="M47">
        <f t="shared" si="10"/>
        <v>615</v>
      </c>
      <c r="N47" s="1">
        <f t="shared" si="11"/>
        <v>64.402649398590754</v>
      </c>
      <c r="P47" s="10">
        <f t="shared" si="12"/>
        <v>0.44325526128802151</v>
      </c>
      <c r="Q47" s="10">
        <f t="shared" si="13"/>
        <v>0.28554725887414201</v>
      </c>
      <c r="AB47" s="17"/>
      <c r="AC47">
        <v>11.5</v>
      </c>
      <c r="AD47">
        <v>0.92</v>
      </c>
      <c r="AF47">
        <v>294</v>
      </c>
      <c r="AG47">
        <f t="shared" si="17"/>
        <v>2940</v>
      </c>
      <c r="AH47" s="1">
        <f t="shared" si="14"/>
        <v>307.8760800517997</v>
      </c>
      <c r="AK47" s="10">
        <f t="shared" si="15"/>
        <v>1.8257995226697188E-2</v>
      </c>
      <c r="AW47" s="17"/>
      <c r="AY47" s="17"/>
      <c r="AZ47" s="27">
        <v>11</v>
      </c>
      <c r="BA47" s="1">
        <v>1.06</v>
      </c>
      <c r="BC47">
        <v>276</v>
      </c>
      <c r="BD47">
        <f t="shared" si="16"/>
        <v>2760</v>
      </c>
      <c r="BE47" s="1">
        <f t="shared" si="6"/>
        <v>289.02652413026101</v>
      </c>
      <c r="BG47" s="10">
        <f t="shared" si="7"/>
        <v>3.5051454292942895E-2</v>
      </c>
      <c r="BS47" s="10"/>
    </row>
    <row r="48" spans="5:71" x14ac:dyDescent="0.3">
      <c r="E48">
        <v>12.5</v>
      </c>
      <c r="F48">
        <v>1.02</v>
      </c>
      <c r="H48">
        <v>9.8000000000000007</v>
      </c>
      <c r="I48" s="10">
        <f t="shared" si="8"/>
        <v>296.969696969697</v>
      </c>
      <c r="J48" s="1">
        <f t="shared" si="9"/>
        <v>31.098593944626238</v>
      </c>
      <c r="L48">
        <v>66</v>
      </c>
      <c r="M48">
        <f t="shared" si="10"/>
        <v>660</v>
      </c>
      <c r="N48" s="1">
        <f t="shared" si="11"/>
        <v>69.115038378975441</v>
      </c>
      <c r="P48" s="10">
        <f t="shared" si="12"/>
        <v>0.42818656122235949</v>
      </c>
      <c r="Q48" s="10">
        <f t="shared" si="13"/>
        <v>0.27516153424845891</v>
      </c>
      <c r="AB48" s="17"/>
      <c r="AC48">
        <v>12</v>
      </c>
      <c r="AD48">
        <v>0.93500000000000005</v>
      </c>
      <c r="AF48">
        <v>307</v>
      </c>
      <c r="AG48">
        <f t="shared" si="17"/>
        <v>3070</v>
      </c>
      <c r="AH48" s="1">
        <f t="shared" si="14"/>
        <v>321.48964821735547</v>
      </c>
      <c r="AK48" s="10">
        <f t="shared" si="15"/>
        <v>1.874197204609938E-2</v>
      </c>
      <c r="AW48" s="17"/>
      <c r="AY48" s="17"/>
      <c r="AZ48" s="27">
        <v>11.5</v>
      </c>
      <c r="BA48" s="1">
        <v>1.06</v>
      </c>
      <c r="BC48">
        <v>291</v>
      </c>
      <c r="BD48">
        <f t="shared" si="16"/>
        <v>2910</v>
      </c>
      <c r="BE48" s="1">
        <f t="shared" si="6"/>
        <v>304.73448739820992</v>
      </c>
      <c r="BG48" s="10">
        <f t="shared" si="7"/>
        <v>3.4885450907656108E-2</v>
      </c>
      <c r="BS48" s="10"/>
    </row>
    <row r="49" spans="4:71" ht="15" thickBot="1" x14ac:dyDescent="0.35">
      <c r="E49">
        <v>13</v>
      </c>
      <c r="F49">
        <v>1.03</v>
      </c>
      <c r="H49">
        <v>10.199999999999999</v>
      </c>
      <c r="I49" s="10">
        <f t="shared" si="8"/>
        <v>309.09090909090907</v>
      </c>
      <c r="J49" s="1">
        <f t="shared" si="9"/>
        <v>32.367924309713018</v>
      </c>
      <c r="L49">
        <v>68</v>
      </c>
      <c r="M49">
        <f t="shared" si="10"/>
        <v>680</v>
      </c>
      <c r="N49" s="1">
        <f t="shared" si="11"/>
        <v>71.209433481368649</v>
      </c>
      <c r="P49" s="10">
        <f t="shared" si="12"/>
        <v>0.42708948117045836</v>
      </c>
      <c r="Q49" s="10">
        <f t="shared" si="13"/>
        <v>0.27498744257140295</v>
      </c>
      <c r="AB49" s="17"/>
      <c r="AC49">
        <v>12.5</v>
      </c>
      <c r="AD49">
        <v>0.95</v>
      </c>
      <c r="AF49">
        <v>325</v>
      </c>
      <c r="AG49">
        <f t="shared" si="17"/>
        <v>3250</v>
      </c>
      <c r="AH49" s="1">
        <f t="shared" si="14"/>
        <v>340.33920413889427</v>
      </c>
      <c r="AK49" s="10">
        <f t="shared" si="15"/>
        <v>1.8891446891249376E-2</v>
      </c>
      <c r="AW49" s="17"/>
      <c r="AY49" s="17"/>
      <c r="AZ49" s="27">
        <v>12</v>
      </c>
      <c r="BA49" s="1">
        <v>1.05</v>
      </c>
      <c r="BC49">
        <v>307</v>
      </c>
      <c r="BD49">
        <f t="shared" si="16"/>
        <v>3070</v>
      </c>
      <c r="BE49" s="1">
        <f t="shared" si="6"/>
        <v>321.48964821735547</v>
      </c>
      <c r="BG49" s="10">
        <f t="shared" si="7"/>
        <v>3.4648082953106625E-2</v>
      </c>
      <c r="BS49" s="10"/>
    </row>
    <row r="50" spans="4:71" ht="15" thickBot="1" x14ac:dyDescent="0.35">
      <c r="E50">
        <v>13.5</v>
      </c>
      <c r="F50">
        <v>1.0449999999999999</v>
      </c>
      <c r="H50">
        <v>10.6</v>
      </c>
      <c r="I50" s="10">
        <f t="shared" si="8"/>
        <v>321.21212121212119</v>
      </c>
      <c r="J50" s="1">
        <f t="shared" si="9"/>
        <v>33.637254674799799</v>
      </c>
      <c r="L50">
        <v>72</v>
      </c>
      <c r="M50">
        <f t="shared" si="10"/>
        <v>720</v>
      </c>
      <c r="N50" s="1">
        <f t="shared" si="11"/>
        <v>75.398223686155035</v>
      </c>
      <c r="P50" s="10">
        <f t="shared" si="12"/>
        <v>0.42619411538184115</v>
      </c>
      <c r="Q50" s="10">
        <f t="shared" si="13"/>
        <v>0.26761306849865607</v>
      </c>
      <c r="AB50" s="17"/>
      <c r="AC50">
        <v>13</v>
      </c>
      <c r="AD50">
        <v>0.96</v>
      </c>
      <c r="AF50">
        <v>338.5</v>
      </c>
      <c r="AG50">
        <f t="shared" si="17"/>
        <v>3385</v>
      </c>
      <c r="AH50" s="1">
        <f t="shared" si="14"/>
        <v>354.4763710800483</v>
      </c>
      <c r="AK50" s="10">
        <f t="shared" si="15"/>
        <v>1.9368286746677402E-2</v>
      </c>
      <c r="AW50" s="17"/>
      <c r="BF50" t="s">
        <v>42</v>
      </c>
      <c r="BG50" s="6">
        <f>AVERAGE(BG33:BG49)</f>
        <v>3.656509972088972E-2</v>
      </c>
    </row>
    <row r="51" spans="4:71" ht="15" thickBot="1" x14ac:dyDescent="0.35">
      <c r="E51">
        <v>14</v>
      </c>
      <c r="F51">
        <v>1.06</v>
      </c>
      <c r="H51">
        <v>11.1</v>
      </c>
      <c r="I51" s="10">
        <f t="shared" si="8"/>
        <v>336.36363636363632</v>
      </c>
      <c r="J51" s="1">
        <f t="shared" si="9"/>
        <v>35.223917631158287</v>
      </c>
      <c r="L51">
        <v>75</v>
      </c>
      <c r="M51">
        <f t="shared" si="10"/>
        <v>750</v>
      </c>
      <c r="N51" s="1">
        <f t="shared" si="11"/>
        <v>78.539816339744831</v>
      </c>
      <c r="P51" s="10">
        <f t="shared" si="12"/>
        <v>0.42153176019426625</v>
      </c>
      <c r="Q51" s="10">
        <f t="shared" si="13"/>
        <v>0.26449514358601428</v>
      </c>
      <c r="AB51" s="17"/>
      <c r="AC51">
        <v>13.5</v>
      </c>
      <c r="AD51">
        <v>1</v>
      </c>
      <c r="AF51">
        <v>350.5</v>
      </c>
      <c r="AG51">
        <f t="shared" si="17"/>
        <v>3505</v>
      </c>
      <c r="AH51" s="1">
        <f t="shared" si="14"/>
        <v>367.04274169440748</v>
      </c>
      <c r="AK51" s="10">
        <f t="shared" si="15"/>
        <v>1.9371041005136251E-2</v>
      </c>
      <c r="AW51" s="17"/>
    </row>
    <row r="52" spans="4:71" ht="15" thickBot="1" x14ac:dyDescent="0.35">
      <c r="P52" s="12">
        <f>AVERAGE(P32:P51)</f>
        <v>0.50004956219903474</v>
      </c>
      <c r="Q52" s="11">
        <f>AVERAGE(Q32:Q51)</f>
        <v>0.35076487234692394</v>
      </c>
      <c r="R52" t="s">
        <v>46</v>
      </c>
      <c r="AJ52" t="s">
        <v>42</v>
      </c>
      <c r="AK52" s="11">
        <f>AVERAGE(AK35:AK51)</f>
        <v>1.4581193314749359E-2</v>
      </c>
      <c r="AW52" s="17"/>
    </row>
    <row r="53" spans="4:71" x14ac:dyDescent="0.3">
      <c r="J53" s="9">
        <f>4.6*2*PI()/60</f>
        <v>0.4817108735504349</v>
      </c>
      <c r="P53">
        <f>4.6/1000</f>
        <v>4.5999999999999999E-3</v>
      </c>
      <c r="AW53" s="17"/>
    </row>
    <row r="54" spans="4:71" x14ac:dyDescent="0.3">
      <c r="AW54" s="17"/>
    </row>
    <row r="55" spans="4:71" x14ac:dyDescent="0.3">
      <c r="AW55" s="17"/>
    </row>
    <row r="56" spans="4:71" ht="14.4" customHeight="1" x14ac:dyDescent="0.4">
      <c r="I56" s="3"/>
      <c r="J56" s="3"/>
      <c r="K56" s="3"/>
      <c r="L56" s="3"/>
      <c r="M56" s="3"/>
      <c r="N56" s="3"/>
      <c r="O56" s="3"/>
      <c r="AW56" s="17"/>
      <c r="AZ56" s="35" t="s">
        <v>64</v>
      </c>
      <c r="BA56" s="35"/>
      <c r="BB56" s="35"/>
      <c r="BC56" s="35"/>
      <c r="BD56" s="35"/>
      <c r="BE56" s="35"/>
      <c r="BF56" s="35"/>
      <c r="BG56" s="35"/>
    </row>
    <row r="57" spans="4:71" ht="21" x14ac:dyDescent="0.4">
      <c r="H57" s="34" t="s">
        <v>36</v>
      </c>
      <c r="I57" s="34"/>
      <c r="J57" s="34"/>
      <c r="K57" s="34"/>
      <c r="L57" s="34"/>
      <c r="M57" s="34"/>
      <c r="N57" s="34"/>
      <c r="O57" s="34"/>
      <c r="AW57" s="17"/>
    </row>
    <row r="58" spans="4:71" x14ac:dyDescent="0.3">
      <c r="AW58" s="17"/>
      <c r="AY58" t="s">
        <v>12</v>
      </c>
      <c r="AZ58" s="2" t="s">
        <v>13</v>
      </c>
      <c r="BA58" s="2" t="s">
        <v>11</v>
      </c>
      <c r="BB58" s="7" t="s">
        <v>19</v>
      </c>
      <c r="BC58" s="2" t="s">
        <v>14</v>
      </c>
      <c r="BE58" s="2" t="s">
        <v>13</v>
      </c>
      <c r="BF58" s="2" t="s">
        <v>11</v>
      </c>
      <c r="BG58" s="7" t="s">
        <v>18</v>
      </c>
      <c r="BH58" s="2" t="s">
        <v>15</v>
      </c>
      <c r="BJ58" t="s">
        <v>16</v>
      </c>
    </row>
    <row r="59" spans="4:71" x14ac:dyDescent="0.3">
      <c r="D59" t="s">
        <v>12</v>
      </c>
      <c r="E59" s="2" t="s">
        <v>13</v>
      </c>
      <c r="F59" s="2" t="s">
        <v>11</v>
      </c>
      <c r="G59" s="7" t="s">
        <v>19</v>
      </c>
      <c r="H59" s="2" t="s">
        <v>14</v>
      </c>
      <c r="J59" s="2" t="s">
        <v>13</v>
      </c>
      <c r="K59" s="2" t="s">
        <v>11</v>
      </c>
      <c r="L59" s="7" t="s">
        <v>18</v>
      </c>
      <c r="M59" s="2" t="s">
        <v>15</v>
      </c>
      <c r="AW59" s="17"/>
      <c r="AZ59">
        <v>161</v>
      </c>
      <c r="BA59">
        <v>1</v>
      </c>
      <c r="BB59">
        <f t="shared" ref="BB59:BB77" si="21">AZ59/(5*1000)</f>
        <v>3.2199999999999999E-2</v>
      </c>
      <c r="BC59" s="4">
        <f>BB59/BA59</f>
        <v>3.2199999999999999E-2</v>
      </c>
      <c r="BE59">
        <v>290</v>
      </c>
      <c r="BF59">
        <v>1</v>
      </c>
      <c r="BG59">
        <f t="shared" ref="BG59:BG77" si="22">BE59/(5*1000)</f>
        <v>5.8000000000000003E-2</v>
      </c>
      <c r="BH59" s="4"/>
      <c r="BJ59" s="4"/>
    </row>
    <row r="60" spans="4:71" x14ac:dyDescent="0.3">
      <c r="E60">
        <v>40</v>
      </c>
      <c r="F60">
        <v>0.5</v>
      </c>
      <c r="G60">
        <f>E60/(5*1000)</f>
        <v>8.0000000000000002E-3</v>
      </c>
      <c r="H60" s="4">
        <f>G60/F60</f>
        <v>1.6E-2</v>
      </c>
      <c r="J60">
        <v>48</v>
      </c>
      <c r="K60">
        <v>0.5</v>
      </c>
      <c r="L60">
        <f>J60/(5*1000)</f>
        <v>9.5999999999999992E-3</v>
      </c>
      <c r="M60" s="4">
        <f>L60/K60</f>
        <v>1.9199999999999998E-2</v>
      </c>
      <c r="AW60" s="17"/>
      <c r="AZ60">
        <v>229</v>
      </c>
      <c r="BA60">
        <v>1.5</v>
      </c>
      <c r="BB60">
        <f t="shared" si="21"/>
        <v>4.58E-2</v>
      </c>
      <c r="BC60" s="4">
        <f>BB60/BA60</f>
        <v>3.0533333333333332E-2</v>
      </c>
      <c r="BE60">
        <v>357</v>
      </c>
      <c r="BF60">
        <v>1.53</v>
      </c>
      <c r="BG60">
        <f t="shared" si="22"/>
        <v>7.1400000000000005E-2</v>
      </c>
      <c r="BH60" s="4"/>
      <c r="BJ60" s="4"/>
    </row>
    <row r="61" spans="4:71" x14ac:dyDescent="0.3">
      <c r="E61">
        <v>48</v>
      </c>
      <c r="F61">
        <v>1</v>
      </c>
      <c r="G61">
        <f t="shared" ref="G61:G69" si="23">E61/(5*1000)</f>
        <v>9.5999999999999992E-3</v>
      </c>
      <c r="H61" s="4">
        <f>G61/F61</f>
        <v>9.5999999999999992E-3</v>
      </c>
      <c r="J61">
        <v>67</v>
      </c>
      <c r="K61">
        <v>1</v>
      </c>
      <c r="L61">
        <f t="shared" ref="L61:L79" si="24">J61/(5*1000)</f>
        <v>1.34E-2</v>
      </c>
      <c r="M61" s="4">
        <f t="shared" ref="M61:M79" si="25">L61/K61</f>
        <v>1.34E-2</v>
      </c>
      <c r="AW61" s="17"/>
      <c r="AZ61">
        <v>290</v>
      </c>
      <c r="BA61">
        <v>2</v>
      </c>
      <c r="BB61">
        <f t="shared" si="21"/>
        <v>5.8000000000000003E-2</v>
      </c>
      <c r="BC61" s="4">
        <f t="shared" ref="BC61:BC77" si="26">BB61/BA61</f>
        <v>2.9000000000000001E-2</v>
      </c>
      <c r="BE61">
        <v>444</v>
      </c>
      <c r="BF61">
        <v>2</v>
      </c>
      <c r="BG61">
        <f t="shared" si="22"/>
        <v>8.8800000000000004E-2</v>
      </c>
      <c r="BH61" s="4"/>
      <c r="BJ61" s="4"/>
    </row>
    <row r="62" spans="4:71" x14ac:dyDescent="0.3">
      <c r="E62">
        <v>63</v>
      </c>
      <c r="F62">
        <v>1.53</v>
      </c>
      <c r="G62">
        <f t="shared" si="23"/>
        <v>1.26E-2</v>
      </c>
      <c r="H62" s="4">
        <f>G62/F62</f>
        <v>8.2352941176470594E-3</v>
      </c>
      <c r="J62">
        <v>77</v>
      </c>
      <c r="K62">
        <v>1.53</v>
      </c>
      <c r="L62">
        <f t="shared" si="24"/>
        <v>1.54E-2</v>
      </c>
      <c r="M62" s="4">
        <f t="shared" si="25"/>
        <v>1.0065359477124183E-2</v>
      </c>
      <c r="AW62" s="17"/>
      <c r="AZ62">
        <v>359</v>
      </c>
      <c r="BA62">
        <v>2.5</v>
      </c>
      <c r="BB62">
        <f t="shared" si="21"/>
        <v>7.1800000000000003E-2</v>
      </c>
      <c r="BC62" s="4">
        <f t="shared" si="26"/>
        <v>2.8720000000000002E-2</v>
      </c>
      <c r="BE62">
        <v>467</v>
      </c>
      <c r="BF62">
        <v>2.5</v>
      </c>
      <c r="BG62">
        <f t="shared" si="22"/>
        <v>9.3399999999999997E-2</v>
      </c>
      <c r="BH62" s="4">
        <f t="shared" ref="BH62:BH77" si="27">BG62/BF62</f>
        <v>3.7359999999999997E-2</v>
      </c>
      <c r="BJ62" s="4">
        <f t="shared" ref="BJ62:BJ64" si="28">AVERAGE(BC62,BH62)</f>
        <v>3.304E-2</v>
      </c>
    </row>
    <row r="63" spans="4:71" x14ac:dyDescent="0.3">
      <c r="E63">
        <v>77</v>
      </c>
      <c r="F63">
        <v>2</v>
      </c>
      <c r="G63">
        <f t="shared" si="23"/>
        <v>1.54E-2</v>
      </c>
      <c r="H63" s="4">
        <f t="shared" ref="H63:H69" si="29">G63/F63</f>
        <v>7.7000000000000002E-3</v>
      </c>
      <c r="J63">
        <v>94</v>
      </c>
      <c r="K63">
        <v>2</v>
      </c>
      <c r="L63">
        <f t="shared" si="24"/>
        <v>1.8800000000000001E-2</v>
      </c>
      <c r="M63" s="4">
        <f t="shared" si="25"/>
        <v>9.4000000000000004E-3</v>
      </c>
      <c r="AW63" s="17"/>
      <c r="AZ63">
        <v>433</v>
      </c>
      <c r="BA63">
        <v>3</v>
      </c>
      <c r="BB63">
        <f t="shared" si="21"/>
        <v>8.6599999999999996E-2</v>
      </c>
      <c r="BC63" s="4">
        <f t="shared" si="26"/>
        <v>2.8866666666666665E-2</v>
      </c>
      <c r="BE63">
        <v>567</v>
      </c>
      <c r="BF63">
        <v>3</v>
      </c>
      <c r="BG63">
        <f t="shared" si="22"/>
        <v>0.1134</v>
      </c>
      <c r="BH63" s="4">
        <f t="shared" si="27"/>
        <v>3.78E-2</v>
      </c>
      <c r="BJ63" s="4">
        <f t="shared" si="28"/>
        <v>3.3333333333333333E-2</v>
      </c>
    </row>
    <row r="64" spans="4:71" x14ac:dyDescent="0.3">
      <c r="E64">
        <v>90</v>
      </c>
      <c r="F64">
        <v>2.5</v>
      </c>
      <c r="G64">
        <f t="shared" si="23"/>
        <v>1.7999999999999999E-2</v>
      </c>
      <c r="H64" s="4">
        <f t="shared" si="29"/>
        <v>7.1999999999999998E-3</v>
      </c>
      <c r="J64">
        <v>107.5</v>
      </c>
      <c r="K64">
        <v>2.5</v>
      </c>
      <c r="L64">
        <f t="shared" si="24"/>
        <v>2.1499999999999998E-2</v>
      </c>
      <c r="M64" s="4">
        <f t="shared" si="25"/>
        <v>8.6E-3</v>
      </c>
      <c r="AW64" s="17"/>
      <c r="AZ64">
        <v>508</v>
      </c>
      <c r="BA64">
        <v>3.5</v>
      </c>
      <c r="BB64">
        <f t="shared" si="21"/>
        <v>0.1016</v>
      </c>
      <c r="BC64" s="4">
        <f t="shared" si="26"/>
        <v>2.9028571428571428E-2</v>
      </c>
      <c r="BE64">
        <v>643</v>
      </c>
      <c r="BF64">
        <v>3.5</v>
      </c>
      <c r="BG64">
        <f t="shared" si="22"/>
        <v>0.12859999999999999</v>
      </c>
      <c r="BH64" s="4">
        <f t="shared" si="27"/>
        <v>3.674285714285714E-2</v>
      </c>
      <c r="BJ64" s="4">
        <f t="shared" si="28"/>
        <v>3.2885714285714282E-2</v>
      </c>
    </row>
    <row r="65" spans="5:65" x14ac:dyDescent="0.3">
      <c r="E65">
        <v>99</v>
      </c>
      <c r="F65">
        <v>3</v>
      </c>
      <c r="G65">
        <f t="shared" si="23"/>
        <v>1.9800000000000002E-2</v>
      </c>
      <c r="H65" s="4">
        <f t="shared" si="29"/>
        <v>6.6000000000000008E-3</v>
      </c>
      <c r="J65">
        <v>124</v>
      </c>
      <c r="K65">
        <v>3</v>
      </c>
      <c r="L65">
        <f t="shared" si="24"/>
        <v>2.4799999999999999E-2</v>
      </c>
      <c r="M65" s="4">
        <f t="shared" si="25"/>
        <v>8.266666666666667E-3</v>
      </c>
      <c r="AW65" s="17"/>
      <c r="AZ65">
        <v>582</v>
      </c>
      <c r="BA65" s="27">
        <v>4</v>
      </c>
      <c r="BB65" s="4">
        <f t="shared" si="21"/>
        <v>0.1164</v>
      </c>
      <c r="BC65" s="4">
        <f t="shared" si="26"/>
        <v>2.9100000000000001E-2</v>
      </c>
      <c r="BE65">
        <v>725</v>
      </c>
      <c r="BF65">
        <v>4</v>
      </c>
      <c r="BG65">
        <f t="shared" si="22"/>
        <v>0.14499999999999999</v>
      </c>
      <c r="BH65" s="4">
        <f t="shared" si="27"/>
        <v>3.6249999999999998E-2</v>
      </c>
      <c r="BJ65" s="4">
        <f t="shared" ref="BJ65:BJ77" si="30">AVERAGE(BC65,BH65)</f>
        <v>3.2674999999999996E-2</v>
      </c>
    </row>
    <row r="66" spans="5:65" x14ac:dyDescent="0.3">
      <c r="E66">
        <v>110</v>
      </c>
      <c r="F66">
        <v>3.5</v>
      </c>
      <c r="G66">
        <f t="shared" si="23"/>
        <v>2.1999999999999999E-2</v>
      </c>
      <c r="H66" s="4">
        <f t="shared" si="29"/>
        <v>6.2857142857142851E-3</v>
      </c>
      <c r="J66">
        <v>139</v>
      </c>
      <c r="K66">
        <v>3.5</v>
      </c>
      <c r="L66">
        <f t="shared" si="24"/>
        <v>2.7799999999999998E-2</v>
      </c>
      <c r="M66" s="4">
        <f t="shared" si="25"/>
        <v>7.9428571428571421E-3</v>
      </c>
      <c r="O66" t="s">
        <v>16</v>
      </c>
      <c r="P66" t="s">
        <v>17</v>
      </c>
      <c r="AW66" s="17"/>
      <c r="AZ66">
        <v>657</v>
      </c>
      <c r="BA66" s="27">
        <v>4.5</v>
      </c>
      <c r="BB66" s="4">
        <f t="shared" si="21"/>
        <v>0.13139999999999999</v>
      </c>
      <c r="BC66" s="4">
        <f t="shared" si="26"/>
        <v>2.9199999999999997E-2</v>
      </c>
      <c r="BE66">
        <v>798</v>
      </c>
      <c r="BF66">
        <v>4.5</v>
      </c>
      <c r="BG66">
        <f t="shared" si="22"/>
        <v>0.15959999999999999</v>
      </c>
      <c r="BH66" s="4">
        <f t="shared" si="27"/>
        <v>3.5466666666666667E-2</v>
      </c>
      <c r="BJ66" s="4">
        <f t="shared" si="30"/>
        <v>3.2333333333333332E-2</v>
      </c>
    </row>
    <row r="67" spans="5:65" x14ac:dyDescent="0.3">
      <c r="E67">
        <v>129</v>
      </c>
      <c r="F67">
        <v>4</v>
      </c>
      <c r="G67">
        <f t="shared" si="23"/>
        <v>2.58E-2</v>
      </c>
      <c r="H67" s="4">
        <f t="shared" si="29"/>
        <v>6.45E-3</v>
      </c>
      <c r="J67">
        <v>150</v>
      </c>
      <c r="K67">
        <v>4</v>
      </c>
      <c r="L67">
        <f t="shared" si="24"/>
        <v>0.03</v>
      </c>
      <c r="M67" s="4">
        <f t="shared" si="25"/>
        <v>7.4999999999999997E-3</v>
      </c>
      <c r="O67" s="4">
        <f>AVERAGE(H67,M67)</f>
        <v>6.9750000000000003E-3</v>
      </c>
      <c r="P67" s="4">
        <f>0.0064*F67</f>
        <v>2.5600000000000001E-2</v>
      </c>
      <c r="Q67" s="4"/>
      <c r="AW67" s="17"/>
      <c r="AZ67">
        <v>749</v>
      </c>
      <c r="BA67" s="27">
        <v>5</v>
      </c>
      <c r="BB67" s="4">
        <f t="shared" si="21"/>
        <v>0.14979999999999999</v>
      </c>
      <c r="BC67" s="4">
        <f t="shared" si="26"/>
        <v>2.9959999999999997E-2</v>
      </c>
      <c r="BE67">
        <v>872</v>
      </c>
      <c r="BF67">
        <v>5</v>
      </c>
      <c r="BG67">
        <f t="shared" si="22"/>
        <v>0.1744</v>
      </c>
      <c r="BH67" s="4">
        <f t="shared" si="27"/>
        <v>3.4880000000000001E-2</v>
      </c>
      <c r="BJ67" s="4">
        <f t="shared" si="30"/>
        <v>3.2419999999999997E-2</v>
      </c>
      <c r="BK67" s="4"/>
    </row>
    <row r="68" spans="5:65" x14ac:dyDescent="0.3">
      <c r="E68">
        <v>152</v>
      </c>
      <c r="F68">
        <v>4.5</v>
      </c>
      <c r="G68">
        <f t="shared" si="23"/>
        <v>3.04E-2</v>
      </c>
      <c r="H68" s="4">
        <f t="shared" si="29"/>
        <v>6.7555555555555554E-3</v>
      </c>
      <c r="J68">
        <v>163</v>
      </c>
      <c r="K68">
        <v>4.5</v>
      </c>
      <c r="L68">
        <f t="shared" si="24"/>
        <v>3.2599999999999997E-2</v>
      </c>
      <c r="M68" s="4">
        <f t="shared" si="25"/>
        <v>7.244444444444444E-3</v>
      </c>
      <c r="O68" s="4">
        <f t="shared" ref="O68:O80" si="31">AVERAGE(H68,M68)</f>
        <v>6.9999999999999993E-3</v>
      </c>
      <c r="P68" s="4">
        <f>0.0064*F68</f>
        <v>2.8800000000000003E-2</v>
      </c>
      <c r="Q68" s="4"/>
      <c r="AW68" s="17"/>
      <c r="AZ68">
        <v>803</v>
      </c>
      <c r="BA68" s="27">
        <v>5.5</v>
      </c>
      <c r="BB68" s="4">
        <f t="shared" si="21"/>
        <v>0.16059999999999999</v>
      </c>
      <c r="BC68" s="4">
        <f t="shared" si="26"/>
        <v>2.92E-2</v>
      </c>
      <c r="BE68">
        <v>925</v>
      </c>
      <c r="BF68">
        <v>5.5</v>
      </c>
      <c r="BG68">
        <f t="shared" si="22"/>
        <v>0.185</v>
      </c>
      <c r="BH68" s="4">
        <f t="shared" si="27"/>
        <v>3.3636363636363638E-2</v>
      </c>
      <c r="BJ68" s="4">
        <f t="shared" si="30"/>
        <v>3.1418181818181817E-2</v>
      </c>
      <c r="BK68" s="4"/>
    </row>
    <row r="69" spans="5:65" x14ac:dyDescent="0.3">
      <c r="E69">
        <v>164</v>
      </c>
      <c r="F69">
        <v>5</v>
      </c>
      <c r="G69">
        <f t="shared" si="23"/>
        <v>3.2800000000000003E-2</v>
      </c>
      <c r="H69" s="4">
        <f t="shared" si="29"/>
        <v>6.5600000000000007E-3</v>
      </c>
      <c r="J69">
        <v>177</v>
      </c>
      <c r="K69">
        <v>5</v>
      </c>
      <c r="L69">
        <f t="shared" si="24"/>
        <v>3.5400000000000001E-2</v>
      </c>
      <c r="M69" s="4">
        <f t="shared" si="25"/>
        <v>7.0800000000000004E-3</v>
      </c>
      <c r="O69" s="4">
        <f t="shared" si="31"/>
        <v>6.8200000000000005E-3</v>
      </c>
      <c r="P69" s="4">
        <f>0.0064*F69</f>
        <v>3.2000000000000001E-2</v>
      </c>
      <c r="Q69" s="4"/>
      <c r="AW69" s="17"/>
      <c r="AZ69">
        <v>912</v>
      </c>
      <c r="BA69" s="27">
        <v>6</v>
      </c>
      <c r="BB69" s="4">
        <f t="shared" si="21"/>
        <v>0.18240000000000001</v>
      </c>
      <c r="BC69" s="4">
        <f t="shared" si="26"/>
        <v>3.04E-2</v>
      </c>
      <c r="BE69">
        <v>980</v>
      </c>
      <c r="BF69">
        <v>6</v>
      </c>
      <c r="BG69">
        <f t="shared" si="22"/>
        <v>0.19600000000000001</v>
      </c>
      <c r="BH69" s="4">
        <f t="shared" si="27"/>
        <v>3.266666666666667E-2</v>
      </c>
      <c r="BJ69" s="4">
        <f t="shared" si="30"/>
        <v>3.1533333333333337E-2</v>
      </c>
      <c r="BK69" s="4"/>
    </row>
    <row r="70" spans="5:65" x14ac:dyDescent="0.3">
      <c r="E70">
        <v>168</v>
      </c>
      <c r="F70">
        <v>5.5</v>
      </c>
      <c r="G70">
        <f t="shared" ref="G70:G80" si="32">E70/(5*1000)</f>
        <v>3.3599999999999998E-2</v>
      </c>
      <c r="H70" s="4">
        <f t="shared" ref="H70:H80" si="33">G70/F70</f>
        <v>6.1090909090909086E-3</v>
      </c>
      <c r="J70">
        <v>190</v>
      </c>
      <c r="K70">
        <v>5.5</v>
      </c>
      <c r="L70">
        <f t="shared" si="24"/>
        <v>3.7999999999999999E-2</v>
      </c>
      <c r="M70" s="4">
        <f t="shared" si="25"/>
        <v>6.909090909090909E-3</v>
      </c>
      <c r="O70" s="4">
        <f t="shared" si="31"/>
        <v>6.5090909090909088E-3</v>
      </c>
      <c r="P70" s="4">
        <f t="shared" ref="P70:P80" si="34">0.0064*F70</f>
        <v>3.5200000000000002E-2</v>
      </c>
      <c r="Q70" s="4"/>
      <c r="AW70" s="17"/>
      <c r="AZ70">
        <v>948</v>
      </c>
      <c r="BA70" s="27">
        <v>6.5</v>
      </c>
      <c r="BB70" s="4">
        <f t="shared" si="21"/>
        <v>0.18959999999999999</v>
      </c>
      <c r="BC70" s="4">
        <f t="shared" si="26"/>
        <v>2.9169230769230767E-2</v>
      </c>
      <c r="BE70">
        <v>1074</v>
      </c>
      <c r="BF70">
        <v>6.5</v>
      </c>
      <c r="BG70">
        <f t="shared" si="22"/>
        <v>0.21479999999999999</v>
      </c>
      <c r="BH70" s="4">
        <f t="shared" si="27"/>
        <v>3.3046153846153843E-2</v>
      </c>
      <c r="BJ70" s="4">
        <f t="shared" si="30"/>
        <v>3.1107692307692305E-2</v>
      </c>
      <c r="BK70" s="4"/>
    </row>
    <row r="71" spans="5:65" x14ac:dyDescent="0.3">
      <c r="E71">
        <v>181</v>
      </c>
      <c r="F71">
        <v>6</v>
      </c>
      <c r="G71">
        <f t="shared" si="32"/>
        <v>3.6200000000000003E-2</v>
      </c>
      <c r="H71" s="4">
        <f t="shared" si="33"/>
        <v>6.0333333333333341E-3</v>
      </c>
      <c r="J71">
        <v>205</v>
      </c>
      <c r="K71">
        <v>6</v>
      </c>
      <c r="L71">
        <f t="shared" si="24"/>
        <v>4.1000000000000002E-2</v>
      </c>
      <c r="M71" s="4">
        <f t="shared" si="25"/>
        <v>6.8333333333333336E-3</v>
      </c>
      <c r="O71" s="4">
        <f t="shared" si="31"/>
        <v>6.4333333333333343E-3</v>
      </c>
      <c r="P71" s="4">
        <f t="shared" si="34"/>
        <v>3.8400000000000004E-2</v>
      </c>
      <c r="Q71" s="4"/>
      <c r="AW71" s="17"/>
      <c r="AZ71">
        <v>1025</v>
      </c>
      <c r="BA71" s="27">
        <v>7</v>
      </c>
      <c r="BB71" s="4">
        <f t="shared" si="21"/>
        <v>0.20499999999999999</v>
      </c>
      <c r="BC71" s="4">
        <f t="shared" si="26"/>
        <v>2.9285714285714283E-2</v>
      </c>
      <c r="BE71">
        <v>1122</v>
      </c>
      <c r="BF71">
        <v>7</v>
      </c>
      <c r="BG71">
        <f t="shared" si="22"/>
        <v>0.22439999999999999</v>
      </c>
      <c r="BH71" s="4">
        <f t="shared" si="27"/>
        <v>3.2057142857142853E-2</v>
      </c>
      <c r="BJ71" s="4">
        <f t="shared" si="30"/>
        <v>3.0671428571428568E-2</v>
      </c>
      <c r="BK71" s="4"/>
    </row>
    <row r="72" spans="5:65" x14ac:dyDescent="0.3">
      <c r="E72">
        <v>207</v>
      </c>
      <c r="F72">
        <v>6.5</v>
      </c>
      <c r="G72">
        <f t="shared" si="32"/>
        <v>4.1399999999999999E-2</v>
      </c>
      <c r="H72" s="4">
        <f t="shared" si="33"/>
        <v>6.3692307692307694E-3</v>
      </c>
      <c r="J72">
        <v>219</v>
      </c>
      <c r="K72">
        <v>6.5</v>
      </c>
      <c r="L72">
        <f t="shared" si="24"/>
        <v>4.3799999999999999E-2</v>
      </c>
      <c r="M72" s="4">
        <f t="shared" si="25"/>
        <v>6.7384615384615387E-3</v>
      </c>
      <c r="O72" s="4">
        <f t="shared" si="31"/>
        <v>6.553846153846154E-3</v>
      </c>
      <c r="P72" s="4">
        <f t="shared" si="34"/>
        <v>4.1600000000000005E-2</v>
      </c>
      <c r="Q72" s="4"/>
      <c r="AW72" s="17"/>
      <c r="AZ72">
        <v>1096</v>
      </c>
      <c r="BA72" s="27">
        <v>7.5</v>
      </c>
      <c r="BB72" s="4">
        <f t="shared" si="21"/>
        <v>0.21920000000000001</v>
      </c>
      <c r="BC72" s="4">
        <f t="shared" si="26"/>
        <v>2.9226666666666668E-2</v>
      </c>
      <c r="BE72">
        <v>1190</v>
      </c>
      <c r="BF72">
        <v>7.5</v>
      </c>
      <c r="BG72">
        <f t="shared" si="22"/>
        <v>0.23799999999999999</v>
      </c>
      <c r="BH72" s="4">
        <f t="shared" si="27"/>
        <v>3.1733333333333329E-2</v>
      </c>
      <c r="BJ72" s="4">
        <f t="shared" si="30"/>
        <v>3.048E-2</v>
      </c>
      <c r="BK72" s="4"/>
    </row>
    <row r="73" spans="5:65" x14ac:dyDescent="0.3">
      <c r="E73">
        <v>216</v>
      </c>
      <c r="F73">
        <v>7</v>
      </c>
      <c r="G73">
        <f t="shared" si="32"/>
        <v>4.3200000000000002E-2</v>
      </c>
      <c r="H73" s="4">
        <f t="shared" si="33"/>
        <v>6.1714285714285716E-3</v>
      </c>
      <c r="J73">
        <v>234</v>
      </c>
      <c r="K73">
        <v>7</v>
      </c>
      <c r="L73">
        <f t="shared" si="24"/>
        <v>4.6800000000000001E-2</v>
      </c>
      <c r="M73" s="4">
        <f t="shared" si="25"/>
        <v>6.6857142857142862E-3</v>
      </c>
      <c r="O73" s="4">
        <f t="shared" si="31"/>
        <v>6.4285714285714293E-3</v>
      </c>
      <c r="P73" s="4">
        <f t="shared" si="34"/>
        <v>4.48E-2</v>
      </c>
      <c r="Q73" s="4"/>
      <c r="AW73" s="17"/>
      <c r="AZ73">
        <v>1166</v>
      </c>
      <c r="BA73" s="27">
        <v>8</v>
      </c>
      <c r="BB73" s="4">
        <f t="shared" si="21"/>
        <v>0.23319999999999999</v>
      </c>
      <c r="BC73" s="4">
        <f t="shared" si="26"/>
        <v>2.9149999999999999E-2</v>
      </c>
      <c r="BE73">
        <v>1263</v>
      </c>
      <c r="BF73">
        <v>8</v>
      </c>
      <c r="BG73">
        <f t="shared" si="22"/>
        <v>0.25259999999999999</v>
      </c>
      <c r="BH73" s="4">
        <f t="shared" si="27"/>
        <v>3.1574999999999999E-2</v>
      </c>
      <c r="BJ73" s="4">
        <f t="shared" si="30"/>
        <v>3.0362500000000001E-2</v>
      </c>
      <c r="BK73" s="4"/>
    </row>
    <row r="74" spans="5:65" x14ac:dyDescent="0.3">
      <c r="E74">
        <v>224</v>
      </c>
      <c r="F74">
        <v>7.5</v>
      </c>
      <c r="G74">
        <f t="shared" si="32"/>
        <v>4.48E-2</v>
      </c>
      <c r="H74" s="4">
        <f t="shared" si="33"/>
        <v>5.9733333333333331E-3</v>
      </c>
      <c r="J74">
        <v>248</v>
      </c>
      <c r="K74">
        <v>7.5</v>
      </c>
      <c r="L74">
        <f t="shared" si="24"/>
        <v>4.9599999999999998E-2</v>
      </c>
      <c r="M74" s="4">
        <f t="shared" si="25"/>
        <v>6.613333333333333E-3</v>
      </c>
      <c r="O74" s="4">
        <f t="shared" si="31"/>
        <v>6.2933333333333331E-3</v>
      </c>
      <c r="P74" s="4">
        <f t="shared" si="34"/>
        <v>4.8000000000000001E-2</v>
      </c>
      <c r="Q74" s="4"/>
      <c r="AW74" s="17"/>
      <c r="AZ74">
        <v>1239</v>
      </c>
      <c r="BA74" s="27">
        <v>8.5</v>
      </c>
      <c r="BB74" s="4">
        <f t="shared" si="21"/>
        <v>0.24779999999999999</v>
      </c>
      <c r="BC74" s="4">
        <f t="shared" si="26"/>
        <v>2.9152941176470586E-2</v>
      </c>
      <c r="BE74">
        <v>1329</v>
      </c>
      <c r="BF74">
        <v>8.5</v>
      </c>
      <c r="BG74">
        <f t="shared" si="22"/>
        <v>0.26579999999999998</v>
      </c>
      <c r="BH74" s="4">
        <f t="shared" si="27"/>
        <v>3.1270588235294113E-2</v>
      </c>
      <c r="BJ74" s="4">
        <f t="shared" si="30"/>
        <v>3.0211764705882348E-2</v>
      </c>
      <c r="BK74" s="4"/>
    </row>
    <row r="75" spans="5:65" x14ac:dyDescent="0.3">
      <c r="E75">
        <v>242</v>
      </c>
      <c r="F75">
        <v>8</v>
      </c>
      <c r="G75">
        <f t="shared" si="32"/>
        <v>4.8399999999999999E-2</v>
      </c>
      <c r="H75" s="4">
        <f t="shared" si="33"/>
        <v>6.0499999999999998E-3</v>
      </c>
      <c r="J75">
        <v>258</v>
      </c>
      <c r="K75">
        <v>8</v>
      </c>
      <c r="L75">
        <f t="shared" si="24"/>
        <v>5.16E-2</v>
      </c>
      <c r="M75" s="4">
        <f t="shared" si="25"/>
        <v>6.45E-3</v>
      </c>
      <c r="O75" s="4">
        <f t="shared" si="31"/>
        <v>6.2500000000000003E-3</v>
      </c>
      <c r="P75" s="4">
        <f t="shared" si="34"/>
        <v>5.1200000000000002E-2</v>
      </c>
      <c r="Q75" s="4"/>
      <c r="AW75" s="17"/>
      <c r="AZ75">
        <v>1302</v>
      </c>
      <c r="BA75" s="27">
        <v>9</v>
      </c>
      <c r="BB75" s="4">
        <f t="shared" si="21"/>
        <v>0.26040000000000002</v>
      </c>
      <c r="BC75" s="4">
        <f t="shared" si="26"/>
        <v>2.8933333333333335E-2</v>
      </c>
      <c r="BE75">
        <v>1401</v>
      </c>
      <c r="BF75">
        <v>9</v>
      </c>
      <c r="BG75">
        <f t="shared" si="22"/>
        <v>0.2802</v>
      </c>
      <c r="BH75" s="4">
        <f t="shared" si="27"/>
        <v>3.1133333333333332E-2</v>
      </c>
      <c r="BJ75" s="4">
        <f t="shared" si="30"/>
        <v>3.0033333333333335E-2</v>
      </c>
      <c r="BK75" s="4"/>
    </row>
    <row r="76" spans="5:65" x14ac:dyDescent="0.3">
      <c r="E76">
        <v>262</v>
      </c>
      <c r="F76">
        <v>8.5</v>
      </c>
      <c r="G76">
        <f t="shared" si="32"/>
        <v>5.2400000000000002E-2</v>
      </c>
      <c r="H76" s="4">
        <f t="shared" si="33"/>
        <v>6.1647058823529411E-3</v>
      </c>
      <c r="J76">
        <v>271</v>
      </c>
      <c r="K76">
        <v>8.5</v>
      </c>
      <c r="L76">
        <f t="shared" si="24"/>
        <v>5.4199999999999998E-2</v>
      </c>
      <c r="M76" s="4">
        <f t="shared" si="25"/>
        <v>6.3764705882352942E-3</v>
      </c>
      <c r="O76" s="4">
        <f t="shared" si="31"/>
        <v>6.2705882352941181E-3</v>
      </c>
      <c r="P76" s="4">
        <f t="shared" si="34"/>
        <v>5.4400000000000004E-2</v>
      </c>
      <c r="Q76" s="4"/>
      <c r="AW76" s="17"/>
      <c r="AZ76">
        <v>1375</v>
      </c>
      <c r="BA76" s="27">
        <v>9.5</v>
      </c>
      <c r="BB76" s="4">
        <f t="shared" si="21"/>
        <v>0.27500000000000002</v>
      </c>
      <c r="BC76" s="4">
        <f t="shared" si="26"/>
        <v>2.8947368421052635E-2</v>
      </c>
      <c r="BE76">
        <v>1457</v>
      </c>
      <c r="BF76">
        <v>9.5</v>
      </c>
      <c r="BG76">
        <f t="shared" si="22"/>
        <v>0.29139999999999999</v>
      </c>
      <c r="BH76" s="4">
        <f t="shared" si="27"/>
        <v>3.0673684210526315E-2</v>
      </c>
      <c r="BJ76" s="4">
        <f t="shared" si="30"/>
        <v>2.9810526315789475E-2</v>
      </c>
      <c r="BK76" s="4"/>
    </row>
    <row r="77" spans="5:65" ht="15" thickBot="1" x14ac:dyDescent="0.35">
      <c r="E77">
        <v>277</v>
      </c>
      <c r="F77">
        <v>9</v>
      </c>
      <c r="G77">
        <f t="shared" si="32"/>
        <v>5.5399999999999998E-2</v>
      </c>
      <c r="H77" s="4">
        <f t="shared" si="33"/>
        <v>6.1555555555555556E-3</v>
      </c>
      <c r="J77">
        <v>284</v>
      </c>
      <c r="K77">
        <v>9</v>
      </c>
      <c r="L77">
        <f t="shared" si="24"/>
        <v>5.6800000000000003E-2</v>
      </c>
      <c r="M77" s="4">
        <f t="shared" si="25"/>
        <v>6.3111111111111111E-3</v>
      </c>
      <c r="O77" s="4">
        <f t="shared" si="31"/>
        <v>6.2333333333333338E-3</v>
      </c>
      <c r="P77" s="4">
        <f t="shared" si="34"/>
        <v>5.7600000000000005E-2</v>
      </c>
      <c r="Q77" s="4"/>
      <c r="AW77" s="17"/>
      <c r="AZ77">
        <v>1450</v>
      </c>
      <c r="BA77" s="27">
        <v>10</v>
      </c>
      <c r="BB77" s="4">
        <f t="shared" si="21"/>
        <v>0.28999999999999998</v>
      </c>
      <c r="BC77" s="4">
        <f t="shared" si="26"/>
        <v>2.8999999999999998E-2</v>
      </c>
      <c r="BE77">
        <v>1481</v>
      </c>
      <c r="BF77">
        <v>10</v>
      </c>
      <c r="BG77">
        <f t="shared" si="22"/>
        <v>0.29620000000000002</v>
      </c>
      <c r="BH77" s="4">
        <f t="shared" si="27"/>
        <v>2.962E-2</v>
      </c>
      <c r="BJ77" s="4">
        <f t="shared" si="30"/>
        <v>2.9309999999999999E-2</v>
      </c>
      <c r="BK77" s="4"/>
    </row>
    <row r="78" spans="5:65" ht="15" thickBot="1" x14ac:dyDescent="0.35">
      <c r="E78">
        <v>283</v>
      </c>
      <c r="F78">
        <v>9.5</v>
      </c>
      <c r="G78">
        <f t="shared" si="32"/>
        <v>5.6599999999999998E-2</v>
      </c>
      <c r="H78" s="4">
        <f t="shared" si="33"/>
        <v>5.9578947368421047E-3</v>
      </c>
      <c r="J78">
        <v>290</v>
      </c>
      <c r="K78">
        <v>9.5</v>
      </c>
      <c r="L78">
        <f t="shared" si="24"/>
        <v>5.8000000000000003E-2</v>
      </c>
      <c r="M78" s="4">
        <f t="shared" si="25"/>
        <v>6.1052631578947369E-3</v>
      </c>
      <c r="O78" s="4">
        <f t="shared" si="31"/>
        <v>6.0315789473684208E-3</v>
      </c>
      <c r="P78" s="4">
        <f t="shared" si="34"/>
        <v>6.08E-2</v>
      </c>
      <c r="Q78" s="4"/>
      <c r="AW78" s="17"/>
      <c r="BA78" s="36" t="s">
        <v>65</v>
      </c>
      <c r="BB78" s="37"/>
      <c r="BC78" s="6">
        <f>AVERAGE(BC65:BC77)</f>
        <v>2.9286558050189863E-2</v>
      </c>
      <c r="BH78" s="6">
        <f>AVERAGE(BH65:BH77)</f>
        <v>3.2616071752729285E-2</v>
      </c>
      <c r="BI78" s="5" t="s">
        <v>45</v>
      </c>
      <c r="BJ78" s="6">
        <f>AVERAGE(BJ65:BJ77)</f>
        <v>3.0951314901459578E-2</v>
      </c>
      <c r="BK78" s="4"/>
    </row>
    <row r="79" spans="5:65" x14ac:dyDescent="0.3">
      <c r="E79">
        <v>309</v>
      </c>
      <c r="F79">
        <v>10</v>
      </c>
      <c r="G79">
        <f t="shared" si="32"/>
        <v>6.1800000000000001E-2</v>
      </c>
      <c r="H79" s="4">
        <f t="shared" si="33"/>
        <v>6.1799999999999997E-3</v>
      </c>
      <c r="J79">
        <v>309</v>
      </c>
      <c r="K79">
        <v>10</v>
      </c>
      <c r="L79">
        <f t="shared" si="24"/>
        <v>6.1800000000000001E-2</v>
      </c>
      <c r="M79" s="4">
        <f t="shared" si="25"/>
        <v>6.1799999999999997E-3</v>
      </c>
      <c r="O79" s="4">
        <f t="shared" si="31"/>
        <v>6.1799999999999997E-3</v>
      </c>
      <c r="P79" s="4">
        <f t="shared" si="34"/>
        <v>6.4000000000000001E-2</v>
      </c>
      <c r="Q79" s="4"/>
      <c r="AW79" s="17"/>
      <c r="BK79" s="4"/>
    </row>
    <row r="80" spans="5:65" ht="15" thickBot="1" x14ac:dyDescent="0.35">
      <c r="E80">
        <v>314</v>
      </c>
      <c r="F80">
        <v>10.37</v>
      </c>
      <c r="G80">
        <f t="shared" si="32"/>
        <v>6.2799999999999995E-2</v>
      </c>
      <c r="H80" s="4">
        <f t="shared" si="33"/>
        <v>6.0559305689488908E-3</v>
      </c>
      <c r="J80">
        <v>314</v>
      </c>
      <c r="K80">
        <v>10.37</v>
      </c>
      <c r="L80">
        <f>J80/(5*1000)</f>
        <v>6.2799999999999995E-2</v>
      </c>
      <c r="M80" s="4">
        <f>L80/K80</f>
        <v>6.0559305689488908E-3</v>
      </c>
      <c r="O80" s="4">
        <f t="shared" si="31"/>
        <v>6.0559305689488908E-3</v>
      </c>
      <c r="P80" s="4">
        <f t="shared" si="34"/>
        <v>6.6367999999999996E-2</v>
      </c>
      <c r="Q80" s="4"/>
      <c r="AW80" s="1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</row>
    <row r="81" spans="4:63" ht="15" thickBot="1" x14ac:dyDescent="0.35">
      <c r="N81" s="5" t="s">
        <v>45</v>
      </c>
      <c r="O81" s="6">
        <f>AVERAGE(O67:O80)</f>
        <v>6.4310433030799951E-3</v>
      </c>
      <c r="AW81" s="17"/>
    </row>
    <row r="82" spans="4:63" ht="21" x14ac:dyDescent="0.4">
      <c r="AW82" s="17"/>
      <c r="BB82" s="34" t="s">
        <v>37</v>
      </c>
      <c r="BC82" s="34"/>
      <c r="BD82" s="34"/>
      <c r="BE82" s="34"/>
      <c r="BF82" s="34"/>
      <c r="BG82" s="34"/>
      <c r="BH82" s="34"/>
    </row>
    <row r="83" spans="4:63" ht="21" x14ac:dyDescent="0.4">
      <c r="AW83" s="17"/>
      <c r="AZ83" t="s">
        <v>38</v>
      </c>
      <c r="BA83" s="2" t="s">
        <v>63</v>
      </c>
      <c r="BH83" s="26"/>
      <c r="BI83" s="26"/>
      <c r="BJ83" s="26"/>
    </row>
    <row r="84" spans="4:63" x14ac:dyDescent="0.3">
      <c r="AW84" s="17"/>
    </row>
    <row r="85" spans="4:63" ht="21.6" thickBot="1" x14ac:dyDescent="0.45">
      <c r="I85" s="34" t="s">
        <v>27</v>
      </c>
      <c r="J85" s="34"/>
      <c r="K85" s="34"/>
      <c r="L85" s="34"/>
      <c r="M85" s="34"/>
      <c r="N85" s="34"/>
      <c r="O85" s="34"/>
      <c r="AW85" s="17"/>
      <c r="BC85" s="15"/>
      <c r="BD85" s="2" t="s">
        <v>11</v>
      </c>
      <c r="BE85" s="2" t="s">
        <v>50</v>
      </c>
      <c r="BF85" s="2" t="s">
        <v>3</v>
      </c>
      <c r="BG85" s="2" t="s">
        <v>47</v>
      </c>
      <c r="BI85" s="2" t="s">
        <v>48</v>
      </c>
      <c r="BJ85" s="2" t="s">
        <v>54</v>
      </c>
      <c r="BK85" s="26"/>
    </row>
    <row r="86" spans="4:63" ht="14.4" customHeight="1" thickTop="1" x14ac:dyDescent="0.4">
      <c r="H86" s="8"/>
      <c r="I86" s="8"/>
      <c r="J86" s="8"/>
      <c r="K86" s="8"/>
      <c r="L86" s="8"/>
      <c r="M86" s="8"/>
      <c r="N86" s="8"/>
      <c r="O86" s="8"/>
      <c r="P86" s="8"/>
      <c r="AW86" s="17"/>
      <c r="AZ86" t="s">
        <v>40</v>
      </c>
      <c r="BC86" s="16" t="s">
        <v>49</v>
      </c>
      <c r="BD86" s="1">
        <v>0.74</v>
      </c>
      <c r="BE86">
        <v>850</v>
      </c>
      <c r="BF86">
        <f t="shared" ref="BF86:BF87" si="35">BE86</f>
        <v>850</v>
      </c>
      <c r="BG86" s="27">
        <f t="shared" ref="BG86:BG100" si="36">BF86*2*PI()/60</f>
        <v>89.011791851710797</v>
      </c>
      <c r="BI86">
        <f t="shared" ref="BI86:BI98" si="37">$BA$87*BD86/BG86</f>
        <v>2.4347395447611096E-4</v>
      </c>
    </row>
    <row r="87" spans="4:63" x14ac:dyDescent="0.3">
      <c r="D87" t="s">
        <v>32</v>
      </c>
      <c r="F87" t="s">
        <v>11</v>
      </c>
      <c r="G87" t="s">
        <v>28</v>
      </c>
      <c r="H87" t="s">
        <v>29</v>
      </c>
      <c r="I87" t="s">
        <v>30</v>
      </c>
      <c r="J87" t="s">
        <v>31</v>
      </c>
      <c r="AW87" s="17"/>
      <c r="AZ87" s="5" t="s">
        <v>43</v>
      </c>
      <c r="BA87" s="4">
        <f>BC78</f>
        <v>2.9286558050189863E-2</v>
      </c>
      <c r="BC87" s="17"/>
      <c r="BD87" s="1">
        <v>0.76</v>
      </c>
      <c r="BE87">
        <v>925</v>
      </c>
      <c r="BF87">
        <f t="shared" si="35"/>
        <v>925</v>
      </c>
      <c r="BG87" s="27">
        <f t="shared" si="36"/>
        <v>96.865773485685295</v>
      </c>
      <c r="BI87">
        <f t="shared" si="37"/>
        <v>2.297796560870236E-4</v>
      </c>
    </row>
    <row r="88" spans="4:63" x14ac:dyDescent="0.3">
      <c r="D88">
        <v>2.8</v>
      </c>
      <c r="F88">
        <v>1.5</v>
      </c>
      <c r="G88">
        <f>1.2+3.4</f>
        <v>4.5999999999999996</v>
      </c>
      <c r="H88">
        <f>0.33*G88</f>
        <v>1.518</v>
      </c>
      <c r="I88">
        <f>H88/F88</f>
        <v>1.012</v>
      </c>
      <c r="J88">
        <f>F88*I98</f>
        <v>1.6611099206349209</v>
      </c>
      <c r="AW88" s="17"/>
      <c r="AZ88" s="5"/>
      <c r="BC88" s="17"/>
      <c r="BD88" s="1">
        <v>0.78</v>
      </c>
      <c r="BE88">
        <v>102</v>
      </c>
      <c r="BF88">
        <f>BE88/0.1</f>
        <v>1020</v>
      </c>
      <c r="BG88" s="27">
        <f t="shared" si="36"/>
        <v>106.81415022205297</v>
      </c>
      <c r="BI88">
        <f t="shared" si="37"/>
        <v>2.1386225731009746E-4</v>
      </c>
      <c r="BJ88">
        <f t="shared" ref="BJ88:BJ98" si="38">BI88*BG88</f>
        <v>2.2843515279148095E-2</v>
      </c>
    </row>
    <row r="89" spans="4:63" ht="15" thickBot="1" x14ac:dyDescent="0.35">
      <c r="D89">
        <v>2.8</v>
      </c>
      <c r="F89">
        <v>2</v>
      </c>
      <c r="G89">
        <v>6</v>
      </c>
      <c r="H89">
        <f t="shared" ref="H89:H96" si="39">0.33*G89</f>
        <v>1.98</v>
      </c>
      <c r="I89">
        <f t="shared" ref="I89:I96" si="40">H89/F89</f>
        <v>0.99</v>
      </c>
      <c r="J89">
        <f>F89*I98</f>
        <v>2.2148132275132277</v>
      </c>
      <c r="AW89" s="17"/>
      <c r="BC89" s="17"/>
      <c r="BD89" s="1">
        <v>0.8</v>
      </c>
      <c r="BE89">
        <v>111</v>
      </c>
      <c r="BF89">
        <f t="shared" ref="BF89:BF100" si="41">BE89/0.1</f>
        <v>1110</v>
      </c>
      <c r="BG89" s="27">
        <f t="shared" si="36"/>
        <v>116.23892818282235</v>
      </c>
      <c r="BI89">
        <f t="shared" si="37"/>
        <v>2.0156110183072246E-4</v>
      </c>
      <c r="BJ89">
        <f t="shared" si="38"/>
        <v>2.3429246440151891E-2</v>
      </c>
    </row>
    <row r="90" spans="4:63" ht="15" thickTop="1" x14ac:dyDescent="0.3">
      <c r="D90">
        <v>2.9</v>
      </c>
      <c r="F90">
        <v>2.5</v>
      </c>
      <c r="G90">
        <v>7.4</v>
      </c>
      <c r="H90">
        <f t="shared" si="39"/>
        <v>2.4420000000000002</v>
      </c>
      <c r="I90">
        <f t="shared" si="40"/>
        <v>0.97680000000000011</v>
      </c>
      <c r="J90">
        <f>F90*I98</f>
        <v>2.7685165343915346</v>
      </c>
      <c r="AW90" s="17"/>
      <c r="BC90" s="16" t="s">
        <v>51</v>
      </c>
      <c r="BD90" s="1">
        <v>0.82</v>
      </c>
      <c r="BE90">
        <v>123</v>
      </c>
      <c r="BF90">
        <f t="shared" si="41"/>
        <v>1230</v>
      </c>
      <c r="BG90" s="27">
        <f t="shared" si="36"/>
        <v>128.80529879718151</v>
      </c>
      <c r="BI90">
        <f t="shared" si="37"/>
        <v>1.864440191934183E-4</v>
      </c>
      <c r="BJ90">
        <f t="shared" si="38"/>
        <v>2.4014977601155688E-2</v>
      </c>
    </row>
    <row r="91" spans="4:63" x14ac:dyDescent="0.3">
      <c r="D91">
        <v>3.8</v>
      </c>
      <c r="F91">
        <v>3</v>
      </c>
      <c r="G91">
        <v>8.9</v>
      </c>
      <c r="H91">
        <f t="shared" si="39"/>
        <v>2.9370000000000003</v>
      </c>
      <c r="I91">
        <f t="shared" si="40"/>
        <v>0.97900000000000009</v>
      </c>
      <c r="J91">
        <f>F91*I98</f>
        <v>3.3222198412698418</v>
      </c>
      <c r="AW91" s="17"/>
      <c r="BC91" s="17"/>
      <c r="BD91" s="1">
        <v>0.84</v>
      </c>
      <c r="BE91">
        <v>138</v>
      </c>
      <c r="BF91">
        <f t="shared" si="41"/>
        <v>1380</v>
      </c>
      <c r="BG91" s="27">
        <f t="shared" si="36"/>
        <v>144.5132620651305</v>
      </c>
      <c r="BI91">
        <f t="shared" si="37"/>
        <v>1.7023149578529492E-4</v>
      </c>
      <c r="BJ91">
        <f t="shared" si="38"/>
        <v>2.4600708762159484E-2</v>
      </c>
    </row>
    <row r="92" spans="4:63" x14ac:dyDescent="0.3">
      <c r="D92">
        <v>4.4000000000000004</v>
      </c>
      <c r="F92">
        <v>3.5</v>
      </c>
      <c r="G92">
        <v>10.3</v>
      </c>
      <c r="H92">
        <f t="shared" si="39"/>
        <v>3.3990000000000005</v>
      </c>
      <c r="I92">
        <f t="shared" si="40"/>
        <v>0.97114285714285731</v>
      </c>
      <c r="J92">
        <f>F92*I98</f>
        <v>3.8759231481481486</v>
      </c>
      <c r="AW92" s="17"/>
      <c r="BC92" s="17"/>
      <c r="BD92" s="1">
        <v>0.86</v>
      </c>
      <c r="BE92">
        <v>144</v>
      </c>
      <c r="BF92">
        <f t="shared" si="41"/>
        <v>1440</v>
      </c>
      <c r="BG92" s="27">
        <f t="shared" si="36"/>
        <v>150.79644737231007</v>
      </c>
      <c r="BI92">
        <f t="shared" si="37"/>
        <v>1.6702276719410389E-4</v>
      </c>
      <c r="BJ92">
        <f t="shared" si="38"/>
        <v>2.5186439923163283E-2</v>
      </c>
    </row>
    <row r="93" spans="4:63" x14ac:dyDescent="0.3">
      <c r="D93">
        <v>3.8</v>
      </c>
      <c r="F93">
        <v>4</v>
      </c>
      <c r="G93">
        <v>15.3</v>
      </c>
      <c r="H93">
        <f t="shared" si="39"/>
        <v>5.0490000000000004</v>
      </c>
      <c r="I93">
        <f t="shared" si="40"/>
        <v>1.2622500000000001</v>
      </c>
      <c r="J93">
        <f>F93*I98</f>
        <v>4.4296264550264555</v>
      </c>
      <c r="AW93" s="17"/>
      <c r="BC93" s="17"/>
      <c r="BD93" s="1">
        <v>0.88</v>
      </c>
      <c r="BE93">
        <v>158</v>
      </c>
      <c r="BF93">
        <f t="shared" si="41"/>
        <v>1580</v>
      </c>
      <c r="BG93" s="27">
        <f t="shared" si="36"/>
        <v>165.45721308906244</v>
      </c>
      <c r="BI93">
        <f t="shared" si="37"/>
        <v>1.5576335780715959E-4</v>
      </c>
      <c r="BJ93">
        <f t="shared" si="38"/>
        <v>2.577217108416708E-2</v>
      </c>
    </row>
    <row r="94" spans="4:63" x14ac:dyDescent="0.3">
      <c r="D94">
        <v>3</v>
      </c>
      <c r="F94">
        <v>4.5</v>
      </c>
      <c r="G94">
        <v>16.399999999999999</v>
      </c>
      <c r="H94">
        <f t="shared" si="39"/>
        <v>5.4119999999999999</v>
      </c>
      <c r="I94">
        <f t="shared" si="40"/>
        <v>1.2026666666666666</v>
      </c>
      <c r="J94">
        <f>F94*I98</f>
        <v>4.9833297619047627</v>
      </c>
      <c r="AW94" s="17"/>
      <c r="BC94" s="17"/>
      <c r="BD94" s="1">
        <v>0.9</v>
      </c>
      <c r="BE94">
        <v>176</v>
      </c>
      <c r="BF94">
        <f t="shared" si="41"/>
        <v>1760</v>
      </c>
      <c r="BG94" s="27">
        <f t="shared" si="36"/>
        <v>184.30676901060122</v>
      </c>
      <c r="BI94">
        <f t="shared" si="37"/>
        <v>1.4301103744949697E-4</v>
      </c>
      <c r="BJ94">
        <f t="shared" si="38"/>
        <v>2.6357902245170879E-2</v>
      </c>
    </row>
    <row r="95" spans="4:63" x14ac:dyDescent="0.3">
      <c r="D95">
        <v>3.3</v>
      </c>
      <c r="F95">
        <v>5</v>
      </c>
      <c r="G95">
        <v>18.8</v>
      </c>
      <c r="H95">
        <f t="shared" si="39"/>
        <v>6.2040000000000006</v>
      </c>
      <c r="I95">
        <f t="shared" si="40"/>
        <v>1.2408000000000001</v>
      </c>
      <c r="J95">
        <f>F95*I98</f>
        <v>5.5370330687830691</v>
      </c>
      <c r="AW95" s="17"/>
      <c r="BC95" s="17"/>
      <c r="BD95" s="1">
        <v>0.92</v>
      </c>
      <c r="BE95">
        <v>195</v>
      </c>
      <c r="BF95">
        <f t="shared" si="41"/>
        <v>1950</v>
      </c>
      <c r="BG95" s="27">
        <f t="shared" si="36"/>
        <v>204.20352248333657</v>
      </c>
      <c r="BI95">
        <f t="shared" si="37"/>
        <v>1.319449981984191E-4</v>
      </c>
      <c r="BJ95">
        <f t="shared" si="38"/>
        <v>2.6943633406174679E-2</v>
      </c>
    </row>
    <row r="96" spans="4:63" x14ac:dyDescent="0.3">
      <c r="D96">
        <v>3.5</v>
      </c>
      <c r="F96">
        <v>5.5</v>
      </c>
      <c r="G96">
        <v>22.2</v>
      </c>
      <c r="H96">
        <f t="shared" si="39"/>
        <v>7.3260000000000005</v>
      </c>
      <c r="I96">
        <f t="shared" si="40"/>
        <v>1.3320000000000001</v>
      </c>
      <c r="J96">
        <f>F96*I98</f>
        <v>6.0907363756613764</v>
      </c>
      <c r="AW96" s="17"/>
      <c r="BC96" s="17"/>
      <c r="BD96" s="1">
        <v>0.94</v>
      </c>
      <c r="BE96">
        <v>207</v>
      </c>
      <c r="BF96">
        <f t="shared" si="41"/>
        <v>2070</v>
      </c>
      <c r="BG96" s="27">
        <f t="shared" si="36"/>
        <v>216.76989309769573</v>
      </c>
      <c r="BI96">
        <f t="shared" si="37"/>
        <v>1.2699810003029941E-4</v>
      </c>
      <c r="BJ96">
        <f t="shared" si="38"/>
        <v>2.7529364567178471E-2</v>
      </c>
    </row>
    <row r="97" spans="3:62" x14ac:dyDescent="0.3">
      <c r="D97">
        <v>3.5</v>
      </c>
      <c r="AW97" s="17"/>
      <c r="BC97" s="17"/>
      <c r="BD97" s="1">
        <v>0.96</v>
      </c>
      <c r="BE97">
        <v>222</v>
      </c>
      <c r="BF97">
        <f t="shared" si="41"/>
        <v>2220</v>
      </c>
      <c r="BG97" s="27">
        <f t="shared" si="36"/>
        <v>232.4778563656447</v>
      </c>
      <c r="BI97">
        <f t="shared" si="37"/>
        <v>1.2093666109843348E-4</v>
      </c>
      <c r="BJ97">
        <f t="shared" si="38"/>
        <v>2.8115095728182268E-2</v>
      </c>
    </row>
    <row r="98" spans="3:62" x14ac:dyDescent="0.3">
      <c r="D98">
        <v>3.6</v>
      </c>
      <c r="H98" s="5" t="s">
        <v>34</v>
      </c>
      <c r="I98">
        <f>AVERAGE(I88:I96)</f>
        <v>1.1074066137566139</v>
      </c>
      <c r="AW98" s="17"/>
      <c r="BC98" s="17"/>
      <c r="BD98" s="1">
        <v>0.98</v>
      </c>
      <c r="BE98">
        <v>241</v>
      </c>
      <c r="BF98">
        <f t="shared" si="41"/>
        <v>2410</v>
      </c>
      <c r="BG98" s="27">
        <f t="shared" si="36"/>
        <v>252.37460983838002</v>
      </c>
      <c r="BI98">
        <f t="shared" si="37"/>
        <v>1.137231154416286E-4</v>
      </c>
      <c r="BJ98">
        <f t="shared" si="38"/>
        <v>2.8700826889186067E-2</v>
      </c>
    </row>
    <row r="99" spans="3:62" x14ac:dyDescent="0.3">
      <c r="D99">
        <v>3.7</v>
      </c>
      <c r="AW99" s="17"/>
      <c r="BC99" s="17"/>
      <c r="BD99" s="1">
        <v>1</v>
      </c>
      <c r="BE99">
        <v>276</v>
      </c>
      <c r="BF99">
        <f t="shared" si="41"/>
        <v>2760</v>
      </c>
      <c r="BG99" s="27">
        <f t="shared" si="36"/>
        <v>289.02652413026101</v>
      </c>
      <c r="BI99">
        <f t="shared" ref="BI99:BI100" si="42">$BA$87*BD99/BG99</f>
        <v>1.0132827130077079E-4</v>
      </c>
      <c r="BJ99">
        <f t="shared" ref="BJ99:BJ100" si="43">BI99*BG99</f>
        <v>2.9286558050189863E-2</v>
      </c>
    </row>
    <row r="100" spans="3:62" x14ac:dyDescent="0.3">
      <c r="C100" s="5" t="s">
        <v>33</v>
      </c>
      <c r="D100">
        <f>AVERAGE(D88:D99)</f>
        <v>3.4250000000000007</v>
      </c>
      <c r="AW100" s="17"/>
      <c r="BC100" s="17"/>
      <c r="BD100" s="1">
        <v>1.03</v>
      </c>
      <c r="BE100">
        <v>307</v>
      </c>
      <c r="BF100">
        <f t="shared" si="41"/>
        <v>3070</v>
      </c>
      <c r="BG100" s="27">
        <f t="shared" si="36"/>
        <v>321.48964821735547</v>
      </c>
      <c r="BI100">
        <f t="shared" si="42"/>
        <v>9.3829319105482502E-5</v>
      </c>
      <c r="BJ100">
        <f t="shared" si="43"/>
        <v>3.0165154791695559E-2</v>
      </c>
    </row>
    <row r="101" spans="3:62" x14ac:dyDescent="0.3">
      <c r="G101" s="38" t="s">
        <v>35</v>
      </c>
      <c r="H101" s="38"/>
      <c r="I101" s="38"/>
      <c r="J101" s="38"/>
      <c r="AW101" s="17"/>
      <c r="BC101" s="19"/>
    </row>
    <row r="102" spans="3:62" x14ac:dyDescent="0.3">
      <c r="F102" t="s">
        <v>11</v>
      </c>
      <c r="G102" t="s">
        <v>28</v>
      </c>
      <c r="H102" t="s">
        <v>29</v>
      </c>
      <c r="I102" t="s">
        <v>30</v>
      </c>
      <c r="J102" t="s">
        <v>31</v>
      </c>
      <c r="AW102" s="17"/>
      <c r="BH102" t="s">
        <v>34</v>
      </c>
      <c r="BI102">
        <f>AVERAGE(BI86:BI100)</f>
        <v>1.5999400748723083E-4</v>
      </c>
      <c r="BJ102">
        <f>AVERAGE(BJ88:BJ98)</f>
        <v>2.5772171084167076E-2</v>
      </c>
    </row>
    <row r="103" spans="3:62" x14ac:dyDescent="0.3">
      <c r="F103">
        <v>1.5</v>
      </c>
      <c r="G103">
        <f>0.5+D100</f>
        <v>3.9250000000000007</v>
      </c>
      <c r="H103">
        <f>0.33*G103</f>
        <v>1.2952500000000002</v>
      </c>
      <c r="I103">
        <f>H103/F103</f>
        <v>0.86350000000000016</v>
      </c>
      <c r="J103">
        <f>F103*I119</f>
        <v>1.5045291021478522</v>
      </c>
      <c r="AW103" s="17"/>
    </row>
    <row r="104" spans="3:62" x14ac:dyDescent="0.3">
      <c r="F104">
        <v>2</v>
      </c>
      <c r="G104">
        <f>2+D100</f>
        <v>5.4250000000000007</v>
      </c>
      <c r="H104">
        <f t="shared" ref="H104:H116" si="44">0.33*G104</f>
        <v>1.7902500000000003</v>
      </c>
      <c r="I104">
        <f t="shared" ref="I104:I113" si="45">H104/F104</f>
        <v>0.89512500000000017</v>
      </c>
      <c r="J104">
        <f>F104*I119</f>
        <v>2.0060388028638028</v>
      </c>
      <c r="AW104" s="17"/>
    </row>
    <row r="105" spans="3:62" x14ac:dyDescent="0.3">
      <c r="F105">
        <v>2.5</v>
      </c>
      <c r="G105">
        <f>4+D100</f>
        <v>7.4250000000000007</v>
      </c>
      <c r="H105">
        <f t="shared" si="44"/>
        <v>2.4502500000000005</v>
      </c>
      <c r="I105">
        <f t="shared" si="45"/>
        <v>0.98010000000000019</v>
      </c>
      <c r="J105">
        <f>F105*I119</f>
        <v>2.5075485035797533</v>
      </c>
      <c r="AW105" s="17"/>
    </row>
    <row r="106" spans="3:62" x14ac:dyDescent="0.3">
      <c r="F106">
        <v>3</v>
      </c>
      <c r="G106">
        <f>5.5+D100</f>
        <v>8.9250000000000007</v>
      </c>
      <c r="H106">
        <f t="shared" si="44"/>
        <v>2.9452500000000006</v>
      </c>
      <c r="I106">
        <f t="shared" si="45"/>
        <v>0.98175000000000023</v>
      </c>
      <c r="J106">
        <f>F106*I119</f>
        <v>3.0090582042957044</v>
      </c>
      <c r="AW106" s="17"/>
    </row>
    <row r="107" spans="3:62" x14ac:dyDescent="0.3">
      <c r="F107">
        <v>3.5</v>
      </c>
      <c r="G107">
        <f>7.5+D100</f>
        <v>10.925000000000001</v>
      </c>
      <c r="H107">
        <f t="shared" si="44"/>
        <v>3.6052500000000003</v>
      </c>
      <c r="I107">
        <f t="shared" si="45"/>
        <v>1.0300714285714287</v>
      </c>
      <c r="J107">
        <f>F107*I119</f>
        <v>3.5105679050116549</v>
      </c>
      <c r="AW107" s="17"/>
    </row>
    <row r="108" spans="3:62" x14ac:dyDescent="0.3">
      <c r="F108">
        <v>4</v>
      </c>
      <c r="G108">
        <f>9+D100</f>
        <v>12.425000000000001</v>
      </c>
      <c r="H108">
        <f t="shared" si="44"/>
        <v>4.1002500000000008</v>
      </c>
      <c r="I108">
        <f t="shared" si="45"/>
        <v>1.0250625000000002</v>
      </c>
      <c r="J108">
        <f>F108*I119</f>
        <v>4.0120776057276055</v>
      </c>
      <c r="AW108" s="17"/>
    </row>
    <row r="109" spans="3:62" x14ac:dyDescent="0.3">
      <c r="F109">
        <v>4.5</v>
      </c>
      <c r="G109">
        <f>11+D100</f>
        <v>14.425000000000001</v>
      </c>
      <c r="H109">
        <f t="shared" si="44"/>
        <v>4.7602500000000001</v>
      </c>
      <c r="I109">
        <f t="shared" si="45"/>
        <v>1.0578333333333334</v>
      </c>
      <c r="J109">
        <f>F109*I119</f>
        <v>4.5135873064435561</v>
      </c>
      <c r="AW109" s="17"/>
    </row>
    <row r="110" spans="3:62" x14ac:dyDescent="0.3">
      <c r="F110">
        <v>5</v>
      </c>
      <c r="G110">
        <f>12.5+D100</f>
        <v>15.925000000000001</v>
      </c>
      <c r="H110">
        <f t="shared" si="44"/>
        <v>5.2552500000000002</v>
      </c>
      <c r="I110">
        <f t="shared" si="45"/>
        <v>1.05105</v>
      </c>
      <c r="J110">
        <f>F110*I119</f>
        <v>5.0150970071595067</v>
      </c>
      <c r="AW110" s="17"/>
    </row>
    <row r="111" spans="3:62" x14ac:dyDescent="0.3">
      <c r="F111">
        <v>5.5</v>
      </c>
      <c r="G111">
        <f>14+D100</f>
        <v>17.425000000000001</v>
      </c>
      <c r="H111">
        <f t="shared" si="44"/>
        <v>5.7502500000000003</v>
      </c>
      <c r="I111">
        <f t="shared" si="45"/>
        <v>1.0455000000000001</v>
      </c>
      <c r="J111">
        <f>F111*I119</f>
        <v>5.5166067078754573</v>
      </c>
      <c r="AW111" s="17"/>
    </row>
    <row r="112" spans="3:62" x14ac:dyDescent="0.3">
      <c r="F112">
        <v>6</v>
      </c>
      <c r="G112">
        <f>15.5+D100</f>
        <v>18.925000000000001</v>
      </c>
      <c r="H112">
        <f t="shared" si="44"/>
        <v>6.2452500000000004</v>
      </c>
      <c r="I112">
        <f t="shared" si="45"/>
        <v>1.040875</v>
      </c>
      <c r="J112">
        <f>F112*I119</f>
        <v>6.0181164085914087</v>
      </c>
      <c r="AW112" s="17"/>
    </row>
    <row r="113" spans="4:49" x14ac:dyDescent="0.3">
      <c r="F113">
        <v>6.5</v>
      </c>
      <c r="G113">
        <f>17.5+D100</f>
        <v>20.925000000000001</v>
      </c>
      <c r="H113">
        <f t="shared" si="44"/>
        <v>6.9052500000000006</v>
      </c>
      <c r="I113">
        <f t="shared" si="45"/>
        <v>1.0623461538461538</v>
      </c>
      <c r="J113">
        <f>F113*I119</f>
        <v>6.5196261093073593</v>
      </c>
      <c r="AW113" s="17"/>
    </row>
    <row r="114" spans="4:49" x14ac:dyDescent="0.3">
      <c r="F114">
        <v>7</v>
      </c>
      <c r="G114">
        <f>19+D100</f>
        <v>22.425000000000001</v>
      </c>
      <c r="H114">
        <f t="shared" si="44"/>
        <v>7.4002500000000007</v>
      </c>
      <c r="I114">
        <f>H114/F114</f>
        <v>1.0571785714285715</v>
      </c>
      <c r="J114">
        <f>F114*I119</f>
        <v>7.0211358100233099</v>
      </c>
      <c r="AW114" s="17"/>
    </row>
    <row r="115" spans="4:49" x14ac:dyDescent="0.3">
      <c r="F115">
        <v>7.5</v>
      </c>
      <c r="G115">
        <f>21+D100</f>
        <v>24.425000000000001</v>
      </c>
      <c r="H115">
        <f t="shared" si="44"/>
        <v>8.0602499999999999</v>
      </c>
      <c r="I115">
        <f>H115/F115</f>
        <v>1.0747</v>
      </c>
      <c r="J115">
        <f>F115*I119</f>
        <v>7.5226455107392605</v>
      </c>
      <c r="AW115" s="17"/>
    </row>
    <row r="116" spans="4:49" x14ac:dyDescent="0.3">
      <c r="F116">
        <v>8</v>
      </c>
      <c r="G116">
        <f>24+D100</f>
        <v>27.425000000000001</v>
      </c>
      <c r="H116">
        <f t="shared" si="44"/>
        <v>9.0502500000000001</v>
      </c>
      <c r="I116">
        <f>H116/F116</f>
        <v>1.13128125</v>
      </c>
      <c r="J116">
        <f>F116*I119</f>
        <v>8.024155211455211</v>
      </c>
      <c r="AW116" s="17"/>
    </row>
    <row r="117" spans="4:49" x14ac:dyDescent="0.3">
      <c r="AW117" s="17"/>
    </row>
    <row r="118" spans="4:49" ht="15" thickBot="1" x14ac:dyDescent="0.35">
      <c r="AW118" s="17"/>
    </row>
    <row r="119" spans="4:49" ht="15" thickBot="1" x14ac:dyDescent="0.35">
      <c r="H119" s="5" t="s">
        <v>43</v>
      </c>
      <c r="I119" s="13">
        <f>AVERAGE(I103:I113)</f>
        <v>1.0030194014319014</v>
      </c>
      <c r="AW119" s="17"/>
    </row>
    <row r="120" spans="4:49" x14ac:dyDescent="0.3">
      <c r="AW120" s="17"/>
    </row>
    <row r="121" spans="4:49" x14ac:dyDescent="0.3">
      <c r="AW121" s="17"/>
    </row>
    <row r="122" spans="4:49" x14ac:dyDescent="0.3">
      <c r="AW122" s="17"/>
    </row>
    <row r="123" spans="4:49" x14ac:dyDescent="0.3">
      <c r="AW123" s="17"/>
    </row>
    <row r="124" spans="4:49" x14ac:dyDescent="0.3">
      <c r="AW124" s="17"/>
    </row>
    <row r="125" spans="4:49" x14ac:dyDescent="0.3">
      <c r="AW125" s="17"/>
    </row>
    <row r="126" spans="4:49" ht="21" x14ac:dyDescent="0.4">
      <c r="I126" s="34" t="s">
        <v>37</v>
      </c>
      <c r="J126" s="34"/>
      <c r="K126" s="34"/>
      <c r="L126" s="34"/>
      <c r="M126" s="34"/>
      <c r="N126" s="34"/>
      <c r="O126" s="34"/>
      <c r="AW126" s="17"/>
    </row>
    <row r="127" spans="4:49" x14ac:dyDescent="0.3">
      <c r="D127" t="s">
        <v>38</v>
      </c>
      <c r="E127" s="2" t="s">
        <v>39</v>
      </c>
      <c r="AW127" s="17"/>
    </row>
    <row r="128" spans="4:49" ht="15" thickBot="1" x14ac:dyDescent="0.35">
      <c r="G128" s="15"/>
      <c r="H128" s="2" t="s">
        <v>1</v>
      </c>
      <c r="I128" s="2" t="s">
        <v>50</v>
      </c>
      <c r="J128" s="2" t="s">
        <v>3</v>
      </c>
      <c r="K128" s="2" t="s">
        <v>47</v>
      </c>
      <c r="L128" s="14"/>
      <c r="M128" s="2" t="s">
        <v>48</v>
      </c>
      <c r="N128" s="2" t="s">
        <v>54</v>
      </c>
      <c r="AW128" s="17"/>
    </row>
    <row r="129" spans="3:49" ht="15" thickTop="1" x14ac:dyDescent="0.3">
      <c r="D129" t="s">
        <v>40</v>
      </c>
      <c r="G129" s="16" t="s">
        <v>49</v>
      </c>
      <c r="H129">
        <v>3.5</v>
      </c>
      <c r="I129">
        <v>215</v>
      </c>
      <c r="J129">
        <f t="shared" ref="J129:J135" si="46">I129</f>
        <v>215</v>
      </c>
      <c r="K129">
        <f t="shared" ref="K129:K146" si="47">J129*2*PI()/60</f>
        <v>22.51474735072685</v>
      </c>
      <c r="M129">
        <f>$E$132/K129*((H129-$E$131*K129)/$E$130)</f>
        <v>2.2090130465148679E-2</v>
      </c>
      <c r="AW129" s="17"/>
    </row>
    <row r="130" spans="3:49" x14ac:dyDescent="0.3">
      <c r="C130" t="s">
        <v>41</v>
      </c>
      <c r="D130" s="5" t="s">
        <v>44</v>
      </c>
      <c r="E130">
        <v>6.39</v>
      </c>
      <c r="G130" s="17"/>
      <c r="H130">
        <v>4</v>
      </c>
      <c r="I130">
        <v>325</v>
      </c>
      <c r="J130">
        <f t="shared" si="46"/>
        <v>325</v>
      </c>
      <c r="K130">
        <f t="shared" si="47"/>
        <v>34.033920413889426</v>
      </c>
      <c r="M130">
        <f t="shared" ref="M130:M146" si="48">$E$132/K130*((H130-$E$131*K130)/$E$130)</f>
        <v>1.6125579522699003E-2</v>
      </c>
      <c r="AW130" s="17"/>
    </row>
    <row r="131" spans="3:49" x14ac:dyDescent="0.3">
      <c r="D131" s="5" t="s">
        <v>42</v>
      </c>
      <c r="E131">
        <v>1.4999999999999999E-2</v>
      </c>
      <c r="G131" s="17"/>
      <c r="H131">
        <v>4.5</v>
      </c>
      <c r="I131">
        <v>420</v>
      </c>
      <c r="J131">
        <f t="shared" si="46"/>
        <v>420</v>
      </c>
      <c r="K131">
        <f t="shared" si="47"/>
        <v>43.982297150257104</v>
      </c>
      <c r="M131">
        <f t="shared" si="48"/>
        <v>1.3732466580216781E-2</v>
      </c>
      <c r="AW131" s="17"/>
    </row>
    <row r="132" spans="3:49" x14ac:dyDescent="0.3">
      <c r="D132" s="5" t="s">
        <v>43</v>
      </c>
      <c r="E132">
        <v>1.0049999999999999</v>
      </c>
      <c r="G132" s="17"/>
      <c r="H132">
        <v>5</v>
      </c>
      <c r="I132">
        <v>555</v>
      </c>
      <c r="J132">
        <f t="shared" si="46"/>
        <v>555</v>
      </c>
      <c r="K132">
        <f t="shared" si="47"/>
        <v>58.119464091411174</v>
      </c>
      <c r="M132">
        <f t="shared" si="48"/>
        <v>1.117133763121049E-2</v>
      </c>
      <c r="AW132" s="17"/>
    </row>
    <row r="133" spans="3:49" x14ac:dyDescent="0.3">
      <c r="D133" s="5"/>
      <c r="G133" s="17"/>
      <c r="H133">
        <v>5.5</v>
      </c>
      <c r="I133">
        <v>675</v>
      </c>
      <c r="J133">
        <f t="shared" si="46"/>
        <v>675</v>
      </c>
      <c r="K133">
        <f t="shared" si="47"/>
        <v>70.685834705770347</v>
      </c>
      <c r="M133">
        <f t="shared" si="48"/>
        <v>9.8784238976240869E-3</v>
      </c>
      <c r="N133">
        <f t="shared" ref="N133:N146" si="49">M133*K133</f>
        <v>0.69826463878098788</v>
      </c>
      <c r="AW133" s="17"/>
    </row>
    <row r="134" spans="3:49" x14ac:dyDescent="0.3">
      <c r="G134" s="17"/>
      <c r="H134">
        <v>6</v>
      </c>
      <c r="I134">
        <v>805</v>
      </c>
      <c r="J134">
        <f t="shared" si="46"/>
        <v>805</v>
      </c>
      <c r="K134">
        <f t="shared" si="47"/>
        <v>84.299402871326109</v>
      </c>
      <c r="M134">
        <f t="shared" si="48"/>
        <v>8.8350165554967938E-3</v>
      </c>
      <c r="N134">
        <f t="shared" si="49"/>
        <v>0.74478661998666007</v>
      </c>
      <c r="AW134" s="17"/>
    </row>
    <row r="135" spans="3:49" ht="15" thickBot="1" x14ac:dyDescent="0.35">
      <c r="G135" s="18"/>
      <c r="H135">
        <v>6.5</v>
      </c>
      <c r="I135">
        <v>930</v>
      </c>
      <c r="J135">
        <f t="shared" si="46"/>
        <v>930</v>
      </c>
      <c r="K135">
        <f t="shared" si="47"/>
        <v>97.389372261283583</v>
      </c>
      <c r="M135">
        <f t="shared" si="48"/>
        <v>8.1378884925822244E-3</v>
      </c>
      <c r="N135">
        <f t="shared" si="49"/>
        <v>0.79254385182490616</v>
      </c>
      <c r="AW135" s="17"/>
    </row>
    <row r="136" spans="3:49" ht="15" thickTop="1" x14ac:dyDescent="0.3">
      <c r="G136" s="16" t="s">
        <v>51</v>
      </c>
      <c r="H136">
        <v>7</v>
      </c>
      <c r="I136">
        <v>122.5</v>
      </c>
      <c r="J136">
        <f>I136/0.1</f>
        <v>1225</v>
      </c>
      <c r="K136">
        <f t="shared" si="47"/>
        <v>128.28170002158322</v>
      </c>
      <c r="M136">
        <f t="shared" si="48"/>
        <v>6.2230432089794658E-3</v>
      </c>
      <c r="N136">
        <f t="shared" si="49"/>
        <v>0.79830256215565443</v>
      </c>
      <c r="AW136" s="17"/>
    </row>
    <row r="137" spans="3:49" x14ac:dyDescent="0.3">
      <c r="G137" s="17"/>
      <c r="H137">
        <v>7.5</v>
      </c>
      <c r="I137">
        <v>138.5</v>
      </c>
      <c r="J137">
        <f t="shared" ref="J137:J146" si="50">I137/0.1</f>
        <v>1385</v>
      </c>
      <c r="K137">
        <f t="shared" si="47"/>
        <v>145.03686084072879</v>
      </c>
      <c r="M137">
        <f t="shared" si="48"/>
        <v>5.7737945699575322E-3</v>
      </c>
      <c r="N137">
        <f t="shared" si="49"/>
        <v>0.83741303956588609</v>
      </c>
      <c r="AW137" s="17"/>
    </row>
    <row r="138" spans="3:49" x14ac:dyDescent="0.3">
      <c r="G138" s="17"/>
      <c r="H138">
        <v>8</v>
      </c>
      <c r="I138">
        <v>153</v>
      </c>
      <c r="J138">
        <f t="shared" si="50"/>
        <v>1530</v>
      </c>
      <c r="K138">
        <f t="shared" si="47"/>
        <v>160.22122533307945</v>
      </c>
      <c r="M138">
        <f t="shared" si="48"/>
        <v>5.4938368311935838E-3</v>
      </c>
      <c r="N138">
        <f t="shared" si="49"/>
        <v>0.88022926887383834</v>
      </c>
      <c r="AW138" s="17"/>
    </row>
    <row r="139" spans="3:49" x14ac:dyDescent="0.3">
      <c r="G139" s="17"/>
      <c r="H139">
        <v>8.5</v>
      </c>
      <c r="I139">
        <v>169</v>
      </c>
      <c r="J139">
        <f t="shared" si="50"/>
        <v>1690</v>
      </c>
      <c r="K139">
        <f t="shared" si="47"/>
        <v>176.97638615222502</v>
      </c>
      <c r="M139">
        <f t="shared" si="48"/>
        <v>5.1947028994778228E-3</v>
      </c>
      <c r="N139">
        <f t="shared" si="49"/>
        <v>0.91933974628407011</v>
      </c>
      <c r="AW139" s="17"/>
    </row>
    <row r="140" spans="3:49" x14ac:dyDescent="0.3">
      <c r="G140" s="17"/>
      <c r="H140">
        <v>9</v>
      </c>
      <c r="I140">
        <v>179</v>
      </c>
      <c r="J140">
        <f t="shared" si="50"/>
        <v>1790</v>
      </c>
      <c r="K140">
        <f t="shared" si="47"/>
        <v>187.448361664191</v>
      </c>
      <c r="M140">
        <f t="shared" si="48"/>
        <v>5.1922205275326842E-3</v>
      </c>
      <c r="N140">
        <f t="shared" si="49"/>
        <v>0.97327323128518317</v>
      </c>
      <c r="AW140" s="17"/>
    </row>
    <row r="141" spans="3:49" x14ac:dyDescent="0.3">
      <c r="G141" s="17"/>
      <c r="H141">
        <v>9.5</v>
      </c>
      <c r="I141">
        <v>191</v>
      </c>
      <c r="J141">
        <f t="shared" si="50"/>
        <v>1910</v>
      </c>
      <c r="K141">
        <f t="shared" si="47"/>
        <v>200.01473227855016</v>
      </c>
      <c r="M141">
        <f t="shared" si="48"/>
        <v>5.1109520889308594E-3</v>
      </c>
      <c r="N141">
        <f t="shared" si="49"/>
        <v>1.0222657137560025</v>
      </c>
      <c r="AW141" s="17"/>
    </row>
    <row r="142" spans="3:49" x14ac:dyDescent="0.3">
      <c r="G142" s="17"/>
      <c r="H142">
        <v>10</v>
      </c>
      <c r="I142">
        <v>208</v>
      </c>
      <c r="J142">
        <f t="shared" si="50"/>
        <v>2080</v>
      </c>
      <c r="K142">
        <f t="shared" si="47"/>
        <v>217.8170906488923</v>
      </c>
      <c r="M142">
        <f t="shared" si="48"/>
        <v>4.8614444658430312E-3</v>
      </c>
      <c r="N142">
        <f t="shared" si="49"/>
        <v>1.0589056899010874</v>
      </c>
      <c r="AW142" s="17"/>
    </row>
    <row r="143" spans="3:49" x14ac:dyDescent="0.3">
      <c r="G143" s="17"/>
      <c r="H143">
        <v>10.5</v>
      </c>
      <c r="I143">
        <v>225</v>
      </c>
      <c r="J143">
        <f t="shared" si="50"/>
        <v>2250</v>
      </c>
      <c r="K143">
        <f t="shared" si="47"/>
        <v>235.61944901923451</v>
      </c>
      <c r="M143">
        <f t="shared" si="48"/>
        <v>4.6496402169106952E-3</v>
      </c>
      <c r="N143">
        <f t="shared" si="49"/>
        <v>1.095545666046172</v>
      </c>
      <c r="AW143" s="17"/>
    </row>
    <row r="144" spans="3:49" x14ac:dyDescent="0.3">
      <c r="G144" s="17"/>
      <c r="H144">
        <v>11</v>
      </c>
      <c r="I144">
        <v>240</v>
      </c>
      <c r="J144">
        <f t="shared" si="50"/>
        <v>2400</v>
      </c>
      <c r="K144">
        <f t="shared" si="47"/>
        <v>251.32741228718345</v>
      </c>
      <c r="M144">
        <f t="shared" si="48"/>
        <v>4.524483160723407E-3</v>
      </c>
      <c r="N144">
        <f t="shared" si="49"/>
        <v>1.1371266447215507</v>
      </c>
      <c r="AW144" s="17"/>
    </row>
    <row r="145" spans="7:15" x14ac:dyDescent="0.3">
      <c r="G145" s="17"/>
      <c r="H145">
        <v>11.5</v>
      </c>
      <c r="I145">
        <v>253</v>
      </c>
      <c r="J145">
        <f t="shared" si="50"/>
        <v>2530</v>
      </c>
      <c r="K145">
        <f t="shared" si="47"/>
        <v>264.94098045273921</v>
      </c>
      <c r="M145">
        <f t="shared" si="48"/>
        <v>4.4675935897291854E-3</v>
      </c>
      <c r="N145">
        <f t="shared" si="49"/>
        <v>1.1836486259272232</v>
      </c>
    </row>
    <row r="146" spans="7:15" x14ac:dyDescent="0.3">
      <c r="G146" s="17"/>
      <c r="H146">
        <v>12</v>
      </c>
      <c r="I146">
        <v>269</v>
      </c>
      <c r="J146">
        <f t="shared" si="50"/>
        <v>2690</v>
      </c>
      <c r="K146">
        <f t="shared" si="47"/>
        <v>281.69614127188476</v>
      </c>
      <c r="M146">
        <f t="shared" si="48"/>
        <v>4.3407023533108477E-3</v>
      </c>
      <c r="N146">
        <f t="shared" si="49"/>
        <v>1.2227591033374552</v>
      </c>
    </row>
    <row r="147" spans="7:15" x14ac:dyDescent="0.3">
      <c r="G147" s="19"/>
    </row>
    <row r="148" spans="7:15" x14ac:dyDescent="0.3">
      <c r="G148" s="19"/>
      <c r="L148" t="s">
        <v>34</v>
      </c>
      <c r="M148">
        <f>AVERAGE(M133:M143)</f>
        <v>6.3046330685935245E-3</v>
      </c>
      <c r="N148">
        <f>AVERAGE(N133:N143)</f>
        <v>0.89280636622367704</v>
      </c>
    </row>
    <row r="152" spans="7:15" ht="21" x14ac:dyDescent="0.4">
      <c r="I152" s="34" t="s">
        <v>37</v>
      </c>
      <c r="J152" s="34"/>
      <c r="K152" s="34"/>
      <c r="L152" s="34"/>
      <c r="M152" s="34"/>
      <c r="N152" s="34"/>
      <c r="O152" s="34"/>
    </row>
    <row r="154" spans="7:15" x14ac:dyDescent="0.3">
      <c r="J154" s="2" t="s">
        <v>50</v>
      </c>
      <c r="K154" s="2" t="s">
        <v>3</v>
      </c>
    </row>
    <row r="155" spans="7:15" x14ac:dyDescent="0.3">
      <c r="J155">
        <v>0</v>
      </c>
      <c r="K155">
        <f t="shared" ref="K155:K161" si="51">J155</f>
        <v>0</v>
      </c>
    </row>
    <row r="156" spans="7:15" x14ac:dyDescent="0.3">
      <c r="J156">
        <v>325</v>
      </c>
      <c r="K156">
        <f t="shared" si="51"/>
        <v>325</v>
      </c>
    </row>
    <row r="157" spans="7:15" x14ac:dyDescent="0.3">
      <c r="J157">
        <v>420</v>
      </c>
      <c r="K157">
        <f t="shared" si="51"/>
        <v>420</v>
      </c>
    </row>
    <row r="158" spans="7:15" x14ac:dyDescent="0.3">
      <c r="J158">
        <v>555</v>
      </c>
      <c r="K158">
        <f t="shared" si="51"/>
        <v>555</v>
      </c>
    </row>
    <row r="159" spans="7:15" x14ac:dyDescent="0.3">
      <c r="J159">
        <v>675</v>
      </c>
      <c r="K159">
        <f t="shared" si="51"/>
        <v>675</v>
      </c>
    </row>
    <row r="160" spans="7:15" x14ac:dyDescent="0.3">
      <c r="J160">
        <v>805</v>
      </c>
      <c r="K160">
        <f t="shared" si="51"/>
        <v>805</v>
      </c>
    </row>
    <row r="161" spans="10:11" x14ac:dyDescent="0.3">
      <c r="J161">
        <v>930</v>
      </c>
      <c r="K161">
        <f t="shared" si="51"/>
        <v>930</v>
      </c>
    </row>
    <row r="162" spans="10:11" x14ac:dyDescent="0.3">
      <c r="J162">
        <v>122.5</v>
      </c>
      <c r="K162">
        <f>J162/0.1</f>
        <v>1225</v>
      </c>
    </row>
    <row r="163" spans="10:11" x14ac:dyDescent="0.3">
      <c r="J163">
        <v>138.5</v>
      </c>
      <c r="K163">
        <f t="shared" ref="K163:K172" si="52">J163/0.1</f>
        <v>1385</v>
      </c>
    </row>
    <row r="164" spans="10:11" x14ac:dyDescent="0.3">
      <c r="J164">
        <v>153</v>
      </c>
      <c r="K164">
        <f t="shared" si="52"/>
        <v>1530</v>
      </c>
    </row>
    <row r="165" spans="10:11" x14ac:dyDescent="0.3">
      <c r="J165">
        <v>169</v>
      </c>
      <c r="K165">
        <f t="shared" si="52"/>
        <v>1690</v>
      </c>
    </row>
    <row r="166" spans="10:11" x14ac:dyDescent="0.3">
      <c r="J166">
        <v>179</v>
      </c>
      <c r="K166">
        <f t="shared" si="52"/>
        <v>1790</v>
      </c>
    </row>
    <row r="167" spans="10:11" x14ac:dyDescent="0.3">
      <c r="J167">
        <v>191</v>
      </c>
      <c r="K167">
        <f t="shared" si="52"/>
        <v>1910</v>
      </c>
    </row>
    <row r="168" spans="10:11" x14ac:dyDescent="0.3">
      <c r="J168">
        <v>208</v>
      </c>
      <c r="K168">
        <f t="shared" si="52"/>
        <v>2080</v>
      </c>
    </row>
    <row r="169" spans="10:11" x14ac:dyDescent="0.3">
      <c r="J169">
        <v>225</v>
      </c>
      <c r="K169">
        <f t="shared" si="52"/>
        <v>2250</v>
      </c>
    </row>
    <row r="170" spans="10:11" x14ac:dyDescent="0.3">
      <c r="J170">
        <v>240</v>
      </c>
      <c r="K170">
        <f t="shared" si="52"/>
        <v>2400</v>
      </c>
    </row>
    <row r="171" spans="10:11" x14ac:dyDescent="0.3">
      <c r="J171">
        <v>253</v>
      </c>
      <c r="K171">
        <f t="shared" si="52"/>
        <v>2530</v>
      </c>
    </row>
    <row r="172" spans="10:11" x14ac:dyDescent="0.3">
      <c r="J172">
        <v>269</v>
      </c>
      <c r="K172">
        <f t="shared" si="52"/>
        <v>2690</v>
      </c>
    </row>
  </sheetData>
  <mergeCells count="16">
    <mergeCell ref="BB82:BH82"/>
    <mergeCell ref="BA78:BB78"/>
    <mergeCell ref="I152:O152"/>
    <mergeCell ref="K28:Q28"/>
    <mergeCell ref="I126:O126"/>
    <mergeCell ref="AE28:AK28"/>
    <mergeCell ref="I85:O85"/>
    <mergeCell ref="G101:J101"/>
    <mergeCell ref="H57:O57"/>
    <mergeCell ref="H30:J30"/>
    <mergeCell ref="L30:N30"/>
    <mergeCell ref="BA3:BI4"/>
    <mergeCell ref="AN26:AU26"/>
    <mergeCell ref="AN28:AU28"/>
    <mergeCell ref="AY28:BE28"/>
    <mergeCell ref="AZ56:BG5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</dc:creator>
  <cp:lastModifiedBy>Geoff</cp:lastModifiedBy>
  <cp:lastPrinted>2017-04-03T08:38:16Z</cp:lastPrinted>
  <dcterms:created xsi:type="dcterms:W3CDTF">2017-03-14T15:37:53Z</dcterms:created>
  <dcterms:modified xsi:type="dcterms:W3CDTF">2017-04-10T09:48:32Z</dcterms:modified>
</cp:coreProperties>
</file>