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MESTRADO IFG\Dissertação\Metodologia\"/>
    </mc:Choice>
  </mc:AlternateContent>
  <xr:revisionPtr revIDLastSave="0" documentId="13_ncr:1_{992BCAD8-C438-434B-8B5B-06FC1213840B}" xr6:coauthVersionLast="47" xr6:coauthVersionMax="47" xr10:uidLastSave="{00000000-0000-0000-0000-000000000000}"/>
  <bookViews>
    <workbookView xWindow="0" yWindow="270" windowWidth="20520" windowHeight="15180" tabRatio="599" activeTab="3" xr2:uid="{9F5C2BFA-256C-4B94-B693-5AE150DF6492}"/>
  </bookViews>
  <sheets>
    <sheet name="PARÂMETROS INICIAIS" sheetId="2" r:id="rId1"/>
    <sheet name="Dados Simples Nacional" sheetId="6" r:id="rId2"/>
    <sheet name="CUSTOS" sheetId="7" r:id="rId3"/>
    <sheet name="DR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C23" i="8"/>
  <c r="D22" i="8"/>
  <c r="C22" i="8"/>
  <c r="D9" i="8"/>
  <c r="F25" i="8"/>
  <c r="K6" i="8"/>
  <c r="L5" i="8"/>
  <c r="K5" i="8"/>
  <c r="J5" i="8"/>
  <c r="I5" i="8"/>
  <c r="H5" i="8"/>
  <c r="G5" i="8"/>
  <c r="F5" i="8"/>
  <c r="F12" i="8" s="1"/>
  <c r="G12" i="8" s="1"/>
  <c r="H12" i="8" s="1"/>
  <c r="I12" i="8" s="1"/>
  <c r="E5" i="8"/>
  <c r="D5" i="8"/>
  <c r="C68" i="7"/>
  <c r="C69" i="7"/>
  <c r="C70" i="7"/>
  <c r="C71" i="7"/>
  <c r="C72" i="7" s="1"/>
  <c r="C73" i="7" s="1"/>
  <c r="C74" i="7" s="1"/>
  <c r="C75" i="7" s="1"/>
  <c r="C67" i="7"/>
  <c r="D12" i="8"/>
  <c r="E12" i="8"/>
  <c r="I11" i="8"/>
  <c r="H11" i="8"/>
  <c r="G11" i="8"/>
  <c r="F11" i="8"/>
  <c r="C6" i="8"/>
  <c r="E11" i="8"/>
  <c r="D13" i="8"/>
  <c r="E13" i="8" s="1"/>
  <c r="D14" i="8"/>
  <c r="E14" i="8" s="1"/>
  <c r="F14" i="8" s="1"/>
  <c r="G14" i="8" s="1"/>
  <c r="H14" i="8" s="1"/>
  <c r="I14" i="8" s="1"/>
  <c r="J14" i="8" s="1"/>
  <c r="K14" i="8" s="1"/>
  <c r="L14" i="8" s="1"/>
  <c r="D15" i="8"/>
  <c r="D16" i="8"/>
  <c r="D11" i="8"/>
  <c r="E66" i="7"/>
  <c r="E15" i="8"/>
  <c r="F15" i="8" s="1"/>
  <c r="G15" i="8" s="1"/>
  <c r="H15" i="8" s="1"/>
  <c r="I15" i="8" s="1"/>
  <c r="J15" i="8" s="1"/>
  <c r="K15" i="8" s="1"/>
  <c r="K9" i="8"/>
  <c r="E67" i="7"/>
  <c r="D6" i="8" s="1"/>
  <c r="H28" i="7"/>
  <c r="D60" i="7" s="1"/>
  <c r="G49" i="7"/>
  <c r="H49" i="7" s="1"/>
  <c r="G46" i="7"/>
  <c r="H46" i="7" s="1"/>
  <c r="G40" i="7"/>
  <c r="H40" i="7" s="1"/>
  <c r="G43" i="7"/>
  <c r="H43" i="7" s="1"/>
  <c r="G37" i="7"/>
  <c r="H37" i="7" s="1"/>
  <c r="I26" i="7"/>
  <c r="I17" i="7"/>
  <c r="G11" i="7"/>
  <c r="J11" i="7" s="1"/>
  <c r="G10" i="7"/>
  <c r="J10" i="7" s="1"/>
  <c r="G7" i="7"/>
  <c r="D12" i="2"/>
  <c r="D11" i="2"/>
  <c r="D10" i="2"/>
  <c r="D9" i="2"/>
  <c r="D8" i="2"/>
  <c r="D7" i="2"/>
  <c r="D6" i="2"/>
  <c r="D5" i="2"/>
  <c r="D4" i="2"/>
  <c r="D3" i="2"/>
  <c r="L15" i="8" l="1"/>
  <c r="J12" i="8"/>
  <c r="K12" i="8" s="1"/>
  <c r="L12" i="8" s="1"/>
  <c r="F13" i="8"/>
  <c r="G13" i="8" s="1"/>
  <c r="H13" i="8" s="1"/>
  <c r="I13" i="8" s="1"/>
  <c r="J13" i="8" s="1"/>
  <c r="K13" i="8" s="1"/>
  <c r="L13" i="8" s="1"/>
  <c r="J11" i="8"/>
  <c r="K11" i="8" s="1"/>
  <c r="L11" i="8" s="1"/>
  <c r="D17" i="8"/>
  <c r="E75" i="7"/>
  <c r="L6" i="8" s="1"/>
  <c r="L9" i="8" s="1"/>
  <c r="G51" i="7"/>
  <c r="D58" i="7" s="1"/>
  <c r="H51" i="7"/>
  <c r="G17" i="7"/>
  <c r="J7" i="7"/>
  <c r="J17" i="7" s="1"/>
  <c r="K4" i="6"/>
  <c r="J29" i="2"/>
  <c r="L4" i="6" l="1"/>
  <c r="L17" i="8"/>
  <c r="L22" i="8" s="1"/>
  <c r="K17" i="8"/>
  <c r="K22" i="8" s="1"/>
  <c r="E74" i="7"/>
  <c r="J6" i="8" s="1"/>
  <c r="J9" i="8" s="1"/>
  <c r="J17" i="8" s="1"/>
  <c r="J22" i="8" s="1"/>
  <c r="E73" i="7"/>
  <c r="E72" i="7"/>
  <c r="I6" i="8" s="1"/>
  <c r="I9" i="8" s="1"/>
  <c r="I17" i="8" s="1"/>
  <c r="I22" i="8" s="1"/>
  <c r="E69" i="7"/>
  <c r="F6" i="8" s="1"/>
  <c r="F9" i="8" s="1"/>
  <c r="F17" i="8" s="1"/>
  <c r="F22" i="8" s="1"/>
  <c r="E68" i="7"/>
  <c r="E6" i="8" s="1"/>
  <c r="E9" i="8" s="1"/>
  <c r="E17" i="8" s="1"/>
  <c r="E22" i="8" s="1"/>
  <c r="E70" i="7"/>
  <c r="G6" i="8" s="1"/>
  <c r="G9" i="8" s="1"/>
  <c r="G17" i="8" s="1"/>
  <c r="G22" i="8" s="1"/>
  <c r="E71" i="7"/>
  <c r="H6" i="8" s="1"/>
  <c r="H9" i="8" s="1"/>
  <c r="H17" i="8" s="1"/>
  <c r="H22" i="8" s="1"/>
  <c r="N4" i="6"/>
  <c r="M4" i="6"/>
  <c r="O4" i="6" l="1"/>
  <c r="C24" i="8"/>
  <c r="P4" i="6"/>
  <c r="Q4" i="6" s="1"/>
  <c r="R4" i="6" s="1"/>
  <c r="J28" i="2" l="1"/>
  <c r="J22" i="2"/>
  <c r="J20" i="2"/>
  <c r="J14" i="2"/>
  <c r="G4" i="2"/>
  <c r="G3" i="2"/>
  <c r="G5" i="2" l="1"/>
  <c r="G6" i="2" l="1"/>
  <c r="G9" i="2"/>
  <c r="G8" i="2" l="1"/>
  <c r="G7" i="2"/>
  <c r="G10" i="2"/>
  <c r="G11" i="2" l="1"/>
  <c r="G12" i="2" l="1"/>
  <c r="G13" i="2" s="1"/>
  <c r="J4" i="2" s="1"/>
  <c r="J6" i="2" s="1"/>
  <c r="I28" i="7"/>
</calcChain>
</file>

<file path=xl/sharedStrings.xml><?xml version="1.0" encoding="utf-8"?>
<sst xmlns="http://schemas.openxmlformats.org/spreadsheetml/2006/main" count="198" uniqueCount="153">
  <si>
    <t>VEÍCULOS ELÉTRICOS</t>
  </si>
  <si>
    <t>VE(i)</t>
  </si>
  <si>
    <t>VE(t)</t>
  </si>
  <si>
    <t>t (anos)</t>
  </si>
  <si>
    <t>s (%)</t>
  </si>
  <si>
    <t>DEMANDA DE ENERGIA (kWh)</t>
  </si>
  <si>
    <t>CB (kWh)</t>
  </si>
  <si>
    <t>PC (%)</t>
  </si>
  <si>
    <t>DE(t) em  kWh</t>
  </si>
  <si>
    <t xml:space="preserve">Irradiação (I) </t>
  </si>
  <si>
    <t xml:space="preserve">Perf. Ratio (PR) </t>
  </si>
  <si>
    <t>DE media</t>
  </si>
  <si>
    <t>POTÊNCIA FOTOVOLTAICA (Pfoto)</t>
  </si>
  <si>
    <t>Pfoto</t>
  </si>
  <si>
    <t>kWh/m²</t>
  </si>
  <si>
    <t>%</t>
  </si>
  <si>
    <t>kWh</t>
  </si>
  <si>
    <t>kWp</t>
  </si>
  <si>
    <t>ESTAÇÕES DE RECARGA (Qerve)</t>
  </si>
  <si>
    <t>Dtrecho</t>
  </si>
  <si>
    <t>Derve</t>
  </si>
  <si>
    <t>km</t>
  </si>
  <si>
    <t>Qerve</t>
  </si>
  <si>
    <t>CAPACIDADE MÁXIMA ANUAL DE RECARGA (Cmax)</t>
  </si>
  <si>
    <t>kW</t>
  </si>
  <si>
    <t>h</t>
  </si>
  <si>
    <t>Cmax</t>
  </si>
  <si>
    <t>Pot carregador (Pc)</t>
  </si>
  <si>
    <t>tempo funcionamento/dia (tf)</t>
  </si>
  <si>
    <t>Cmax para 8 carregadores</t>
  </si>
  <si>
    <t>Custo ERVE</t>
  </si>
  <si>
    <t>INVESTIMENTO  INFRA-ESTRUTURA</t>
  </si>
  <si>
    <t>investimento inicial em Fotovoltaica</t>
  </si>
  <si>
    <t>investimento inicial em ERVE</t>
  </si>
  <si>
    <t>Custo  Fotovoltaica (R$/kWp)</t>
  </si>
  <si>
    <t>DE media anual</t>
  </si>
  <si>
    <t>DRE</t>
  </si>
  <si>
    <t>-</t>
  </si>
  <si>
    <t>( - ) Depreciação</t>
  </si>
  <si>
    <t>Total</t>
  </si>
  <si>
    <t>Simples Nacional</t>
  </si>
  <si>
    <t>Alíquota</t>
  </si>
  <si>
    <t>(RBT12 * Alíquota) - Valor a deduzir</t>
  </si>
  <si>
    <t>RBT12</t>
  </si>
  <si>
    <t xml:space="preserve">Alíquota Efetiva  = </t>
  </si>
  <si>
    <t>Receita Bruta em 12 Meses (em R$)</t>
  </si>
  <si>
    <t>Valor a Deduzir (em R$)</t>
  </si>
  <si>
    <t>1a Faixa</t>
  </si>
  <si>
    <t>2a Faixa</t>
  </si>
  <si>
    <t>3a Faixa</t>
  </si>
  <si>
    <t>4a Faixa</t>
  </si>
  <si>
    <t>5a Faixa</t>
  </si>
  <si>
    <t>6a Faixa</t>
  </si>
  <si>
    <t>SIMPLES NACIONAL</t>
  </si>
  <si>
    <t>Faixas</t>
  </si>
  <si>
    <t>Percentual de Repartição dos Tributos</t>
  </si>
  <si>
    <t>IRPJ</t>
  </si>
  <si>
    <t>CSLL</t>
  </si>
  <si>
    <t>Cofins</t>
  </si>
  <si>
    <t>PIS/Pasep</t>
  </si>
  <si>
    <t>CPP</t>
  </si>
  <si>
    <t xml:space="preserve">ANEXO I DA LEI COMPLEMENTAR Nº 123, DE 14 DE DEZEMBRO DE 2006    </t>
  </si>
  <si>
    <t>Alíquotas e Partilha do Simples Nacional – Comércio </t>
  </si>
  <si>
    <t>ICMS</t>
  </si>
  <si>
    <t>s/ financiamento s/ fotovolt</t>
  </si>
  <si>
    <t>s/ financiamento c/ fotovolt</t>
  </si>
  <si>
    <t>Projeto</t>
  </si>
  <si>
    <t>de</t>
  </si>
  <si>
    <t>até</t>
  </si>
  <si>
    <t>Valor a deduzir (em R$)</t>
  </si>
  <si>
    <t>RBT (R$)</t>
  </si>
  <si>
    <t>Alíquota Efetiva</t>
  </si>
  <si>
    <t>Desconto mensal (R$)</t>
  </si>
  <si>
    <t>Desconto anual (R$)</t>
  </si>
  <si>
    <t>FLUXO DE CAIXA</t>
  </si>
  <si>
    <t>Investimento inicial</t>
  </si>
  <si>
    <t>Quant.</t>
  </si>
  <si>
    <t>Vida útil (anos)</t>
  </si>
  <si>
    <t>Componentes</t>
  </si>
  <si>
    <t>1.1</t>
  </si>
  <si>
    <t>Custo Unitário (R$)</t>
  </si>
  <si>
    <t>Custo Capital Fixo (R$)</t>
  </si>
  <si>
    <t>Depreciação Linear Anual (R$)</t>
  </si>
  <si>
    <t>Custo Total Anual (R$)</t>
  </si>
  <si>
    <t>1.2</t>
  </si>
  <si>
    <t>2.1</t>
  </si>
  <si>
    <t>Estação de Recarga</t>
  </si>
  <si>
    <t>un.</t>
  </si>
  <si>
    <t>Infraestrutura Fotovoltaica</t>
  </si>
  <si>
    <t>Serviços de Documentação (projetos, taxas, impostos e licenciamento)</t>
  </si>
  <si>
    <t>Custos Variáveis</t>
  </si>
  <si>
    <t>Tabela 2 - Custos Variáveis</t>
  </si>
  <si>
    <t>Unidade de Medida</t>
  </si>
  <si>
    <t>Consumo Mensal</t>
  </si>
  <si>
    <t>Consumo Anual</t>
  </si>
  <si>
    <t>Custo de Acordo com a Unidade (R$)</t>
  </si>
  <si>
    <t>Custo Mensal (R$)</t>
  </si>
  <si>
    <t>Impostos</t>
  </si>
  <si>
    <t>DAS (arrecadação simples nacional)</t>
  </si>
  <si>
    <t>Custos Fixos</t>
  </si>
  <si>
    <t>m²</t>
  </si>
  <si>
    <t>Terreno / Espaço Físico (se for próprio)</t>
  </si>
  <si>
    <t>Aluguel de terreno/ espaço físico</t>
  </si>
  <si>
    <t>Tabela 1 - Custos de Investimento Inicial em capital fixo e depreciação</t>
  </si>
  <si>
    <t>Tabela 3 - Custos Operacionais (Custos Fixos)</t>
  </si>
  <si>
    <t>Manutenção e Operação</t>
  </si>
  <si>
    <t xml:space="preserve">Energia </t>
  </si>
  <si>
    <t>Financiamento</t>
  </si>
  <si>
    <t>Juros de Financiamento</t>
  </si>
  <si>
    <t>Capital Próprio</t>
  </si>
  <si>
    <t>Juros de Capital Próprio</t>
  </si>
  <si>
    <t xml:space="preserve">Aluguel </t>
  </si>
  <si>
    <t>Custos de manutenção e operação</t>
  </si>
  <si>
    <t>Equipamentos e Instalações</t>
  </si>
  <si>
    <t>3.1</t>
  </si>
  <si>
    <t>Custos de Energia (Concessionária)</t>
  </si>
  <si>
    <t>4.1</t>
  </si>
  <si>
    <t>5.1</t>
  </si>
  <si>
    <t>Total dos Custos Operacionais</t>
  </si>
  <si>
    <t>R$</t>
  </si>
  <si>
    <t xml:space="preserve">Total do Investimento Inicial </t>
  </si>
  <si>
    <t xml:space="preserve">Total dos Custos Variáveis </t>
  </si>
  <si>
    <t>Variável</t>
  </si>
  <si>
    <t>Valor (R$)</t>
  </si>
  <si>
    <t>Preço da venda do kWh</t>
  </si>
  <si>
    <t>Custo Variável</t>
  </si>
  <si>
    <t>Custo Fixo Mensal</t>
  </si>
  <si>
    <t>Tabela 4 - Resumo das Variáveis para determinar a projeção de vendas de recarga de VE</t>
  </si>
  <si>
    <t>Ano</t>
  </si>
  <si>
    <t>Taxa de Crescimento ao ano</t>
  </si>
  <si>
    <t>Preço Unitário (kWh)</t>
  </si>
  <si>
    <t>Quant. Energia Vendida anual kWh</t>
  </si>
  <si>
    <t>Anos</t>
  </si>
  <si>
    <t>Taxa de Crescimento Anual</t>
  </si>
  <si>
    <t>( - ) Dedução da Receita Bruta Simples Nacional</t>
  </si>
  <si>
    <t>( = ) Receita Operacional Líquida</t>
  </si>
  <si>
    <t>( - ) Custos Operacionais (fixos)</t>
  </si>
  <si>
    <t>( - ) Aluguel</t>
  </si>
  <si>
    <t>( - ) Manutenção e Operação</t>
  </si>
  <si>
    <t>( - ) Energia da Concessionária</t>
  </si>
  <si>
    <t>( - ) Financiamento</t>
  </si>
  <si>
    <t>( - ) Capital Próprio</t>
  </si>
  <si>
    <t>( - ) Custos Variáveis</t>
  </si>
  <si>
    <t>( = ) Lucro Operacional Líquido</t>
  </si>
  <si>
    <t xml:space="preserve">( = ) Receita Operacional Bruta </t>
  </si>
  <si>
    <t>( + ) Financiamento</t>
  </si>
  <si>
    <t>( + ) Depreciação</t>
  </si>
  <si>
    <t>( - ) Custos de Investimento Inicial</t>
  </si>
  <si>
    <t>( - ) Equipamentos e instalações</t>
  </si>
  <si>
    <t>TIR (10 anos)</t>
  </si>
  <si>
    <t>VPL (15% - TMA)</t>
  </si>
  <si>
    <t>Tabela 5 - Projeção da Receita Operacional Bruta Anual</t>
  </si>
  <si>
    <t>Receita Operacional Bruta Anual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</si>
</sst>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.00"/>
    <numFmt numFmtId="166" formatCode="#,##0.00_ ;[Red]\-#,##0.00\ 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ptos Narrow"/>
      <family val="2"/>
      <scheme val="minor"/>
    </font>
    <font>
      <b/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4" fontId="3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0" xfId="0" applyFont="1"/>
    <xf numFmtId="4" fontId="12" fillId="0" borderId="0" xfId="0" applyNumberFormat="1" applyFont="1"/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7" xfId="0" applyFont="1" applyBorder="1"/>
    <xf numFmtId="0" fontId="13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1" fillId="9" borderId="9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left" vertical="center"/>
    </xf>
    <xf numFmtId="0" fontId="12" fillId="9" borderId="9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left" vertical="center"/>
    </xf>
    <xf numFmtId="0" fontId="11" fillId="9" borderId="9" xfId="0" applyFont="1" applyFill="1" applyBorder="1" applyAlignment="1">
      <alignment horizontal="center" vertical="center"/>
    </xf>
    <xf numFmtId="4" fontId="11" fillId="9" borderId="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4" fontId="12" fillId="9" borderId="0" xfId="0" applyNumberFormat="1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 vertical="center"/>
    </xf>
    <xf numFmtId="4" fontId="18" fillId="9" borderId="0" xfId="0" applyNumberFormat="1" applyFont="1" applyFill="1" applyAlignment="1">
      <alignment horizontal="center" vertical="center"/>
    </xf>
    <xf numFmtId="164" fontId="14" fillId="9" borderId="9" xfId="0" applyNumberFormat="1" applyFont="1" applyFill="1" applyBorder="1" applyAlignment="1">
      <alignment horizontal="center" vertical="center"/>
    </xf>
    <xf numFmtId="164" fontId="11" fillId="9" borderId="9" xfId="0" applyNumberFormat="1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0" fontId="11" fillId="0" borderId="8" xfId="0" applyFont="1" applyBorder="1" applyAlignment="1">
      <alignment horizontal="center" vertical="center"/>
    </xf>
    <xf numFmtId="4" fontId="12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4" fontId="12" fillId="0" borderId="8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6" fontId="12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8" fillId="9" borderId="9" xfId="0" applyFont="1" applyFill="1" applyBorder="1" applyAlignment="1">
      <alignment horizontal="left" vertical="center"/>
    </xf>
    <xf numFmtId="0" fontId="18" fillId="9" borderId="9" xfId="0" applyFont="1" applyFill="1" applyBorder="1" applyAlignment="1">
      <alignment horizontal="center" vertical="center"/>
    </xf>
    <xf numFmtId="4" fontId="18" fillId="9" borderId="9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9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DD18-25B3-41A6-8E61-939CAB68D763}">
  <dimension ref="A1:K30"/>
  <sheetViews>
    <sheetView topLeftCell="B16" zoomScale="130" zoomScaleNormal="130" workbookViewId="0">
      <selection activeCell="E23" sqref="E23"/>
    </sheetView>
  </sheetViews>
  <sheetFormatPr defaultRowHeight="15" x14ac:dyDescent="0.25"/>
  <cols>
    <col min="1" max="1" width="17.42578125" style="14" customWidth="1"/>
    <col min="2" max="2" width="20.7109375" style="7" customWidth="1"/>
    <col min="3" max="3" width="12.28515625" style="7" customWidth="1"/>
    <col min="4" max="4" width="10.85546875" style="7" bestFit="1" customWidth="1"/>
    <col min="5" max="6" width="9.140625" style="7"/>
    <col min="7" max="7" width="17" style="7" customWidth="1"/>
    <col min="9" max="9" width="31.28515625" customWidth="1"/>
    <col min="10" max="10" width="16.28515625" style="7" customWidth="1"/>
    <col min="11" max="11" width="8" bestFit="1" customWidth="1"/>
    <col min="15" max="15" width="18" customWidth="1"/>
    <col min="16" max="16" width="29.140625" bestFit="1" customWidth="1"/>
    <col min="17" max="17" width="12.85546875" customWidth="1"/>
    <col min="18" max="18" width="22" bestFit="1" customWidth="1"/>
  </cols>
  <sheetData>
    <row r="1" spans="1:11" s="1" customFormat="1" x14ac:dyDescent="0.25">
      <c r="A1" s="9"/>
      <c r="B1" s="114" t="s">
        <v>0</v>
      </c>
      <c r="C1" s="114"/>
      <c r="D1" s="114"/>
      <c r="E1" s="115" t="s">
        <v>5</v>
      </c>
      <c r="F1" s="116"/>
      <c r="G1" s="117"/>
      <c r="I1" s="118" t="s">
        <v>12</v>
      </c>
      <c r="J1" s="118"/>
      <c r="K1" s="118"/>
    </row>
    <row r="2" spans="1:11" s="1" customFormat="1" x14ac:dyDescent="0.25">
      <c r="A2" s="9" t="s">
        <v>3</v>
      </c>
      <c r="B2" s="9" t="s">
        <v>1</v>
      </c>
      <c r="C2" s="9" t="s">
        <v>4</v>
      </c>
      <c r="D2" s="18" t="s">
        <v>2</v>
      </c>
      <c r="E2" s="9" t="s">
        <v>6</v>
      </c>
      <c r="F2" s="9" t="s">
        <v>7</v>
      </c>
      <c r="G2" s="18" t="s">
        <v>8</v>
      </c>
      <c r="I2" s="12" t="s">
        <v>9</v>
      </c>
      <c r="J2" s="8">
        <v>5.45</v>
      </c>
      <c r="K2" s="8" t="s">
        <v>14</v>
      </c>
    </row>
    <row r="3" spans="1:11" x14ac:dyDescent="0.25">
      <c r="A3" s="9">
        <v>1</v>
      </c>
      <c r="B3" s="10">
        <v>5000</v>
      </c>
      <c r="C3" s="17">
        <v>7.0000000000000007E-2</v>
      </c>
      <c r="D3" s="19">
        <f>B3*((1+C3)^(A3-1))</f>
        <v>5000</v>
      </c>
      <c r="E3" s="8">
        <v>40</v>
      </c>
      <c r="F3" s="8">
        <v>1</v>
      </c>
      <c r="G3" s="19">
        <f>D3*E3*F3</f>
        <v>200000</v>
      </c>
      <c r="I3" s="12" t="s">
        <v>10</v>
      </c>
      <c r="J3" s="8">
        <v>0.8</v>
      </c>
      <c r="K3" s="8" t="s">
        <v>15</v>
      </c>
    </row>
    <row r="4" spans="1:11" x14ac:dyDescent="0.25">
      <c r="A4" s="9">
        <v>2</v>
      </c>
      <c r="B4" s="10">
        <v>5000</v>
      </c>
      <c r="C4" s="17">
        <v>7.0000000000000007E-2</v>
      </c>
      <c r="D4" s="19">
        <f t="shared" ref="D4:D12" si="0">B4*((1+C4)^(A4-1))</f>
        <v>5350</v>
      </c>
      <c r="E4" s="8">
        <v>40</v>
      </c>
      <c r="F4" s="8">
        <v>1</v>
      </c>
      <c r="G4" s="19">
        <f t="shared" ref="G4:G6" si="1">D4*E4*F4</f>
        <v>214000</v>
      </c>
      <c r="I4" s="12" t="s">
        <v>11</v>
      </c>
      <c r="J4" s="25">
        <f>G13</f>
        <v>276328.95922559005</v>
      </c>
      <c r="K4" s="8" t="s">
        <v>16</v>
      </c>
    </row>
    <row r="5" spans="1:11" x14ac:dyDescent="0.25">
      <c r="A5" s="9">
        <v>3</v>
      </c>
      <c r="B5" s="10">
        <v>5000</v>
      </c>
      <c r="C5" s="17">
        <v>7.0000000000000007E-2</v>
      </c>
      <c r="D5" s="19">
        <f t="shared" si="0"/>
        <v>5724.5</v>
      </c>
      <c r="E5" s="8">
        <v>40</v>
      </c>
      <c r="F5" s="8">
        <v>1</v>
      </c>
      <c r="G5" s="19">
        <f t="shared" si="1"/>
        <v>228980</v>
      </c>
      <c r="I5" s="12"/>
      <c r="J5" s="8"/>
      <c r="K5" s="21"/>
    </row>
    <row r="6" spans="1:11" x14ac:dyDescent="0.25">
      <c r="A6" s="9">
        <v>4</v>
      </c>
      <c r="B6" s="10">
        <v>5000</v>
      </c>
      <c r="C6" s="17">
        <v>7.0000000000000007E-2</v>
      </c>
      <c r="D6" s="19">
        <f t="shared" si="0"/>
        <v>6125.2150000000001</v>
      </c>
      <c r="E6" s="8">
        <v>40</v>
      </c>
      <c r="F6" s="8">
        <v>1</v>
      </c>
      <c r="G6" s="19">
        <f t="shared" si="1"/>
        <v>245008.6</v>
      </c>
      <c r="I6" s="11" t="s">
        <v>13</v>
      </c>
      <c r="J6" s="23">
        <f>J4/(J2*J3*365)</f>
        <v>173.63890864998746</v>
      </c>
      <c r="K6" s="9" t="s">
        <v>17</v>
      </c>
    </row>
    <row r="7" spans="1:11" x14ac:dyDescent="0.25">
      <c r="A7" s="9">
        <v>5</v>
      </c>
      <c r="B7" s="10">
        <v>5000</v>
      </c>
      <c r="C7" s="17">
        <v>7.0000000000000007E-2</v>
      </c>
      <c r="D7" s="19">
        <f t="shared" si="0"/>
        <v>6553.9800500000001</v>
      </c>
      <c r="E7" s="8">
        <v>40</v>
      </c>
      <c r="F7" s="8">
        <v>1</v>
      </c>
      <c r="G7" s="19">
        <f t="shared" ref="G7:G12" si="2">D7*E7*F7</f>
        <v>262159.20199999999</v>
      </c>
      <c r="I7" s="27"/>
      <c r="J7" s="28"/>
      <c r="K7" s="14"/>
    </row>
    <row r="8" spans="1:11" x14ac:dyDescent="0.25">
      <c r="A8" s="9">
        <v>6</v>
      </c>
      <c r="B8" s="10">
        <v>5000</v>
      </c>
      <c r="C8" s="17">
        <v>7.0000000000000007E-2</v>
      </c>
      <c r="D8" s="19">
        <f t="shared" si="0"/>
        <v>7012.7586535000009</v>
      </c>
      <c r="E8" s="8">
        <v>40</v>
      </c>
      <c r="F8" s="8">
        <v>1</v>
      </c>
      <c r="G8" s="19">
        <f t="shared" si="2"/>
        <v>280510.34614000004</v>
      </c>
      <c r="I8" s="27" t="s">
        <v>34</v>
      </c>
      <c r="J8" s="32">
        <v>3500</v>
      </c>
      <c r="K8" s="14"/>
    </row>
    <row r="9" spans="1:11" x14ac:dyDescent="0.25">
      <c r="A9" s="9">
        <v>7</v>
      </c>
      <c r="B9" s="10">
        <v>5000</v>
      </c>
      <c r="C9" s="17">
        <v>7.0000000000000007E-2</v>
      </c>
      <c r="D9" s="19">
        <f t="shared" si="0"/>
        <v>7503.651759245</v>
      </c>
      <c r="E9" s="8">
        <v>40</v>
      </c>
      <c r="F9" s="8">
        <v>1</v>
      </c>
      <c r="G9" s="19">
        <f t="shared" si="2"/>
        <v>300146.07036979997</v>
      </c>
      <c r="I9" s="22"/>
    </row>
    <row r="10" spans="1:11" x14ac:dyDescent="0.25">
      <c r="A10" s="9">
        <v>8</v>
      </c>
      <c r="B10" s="10">
        <v>5000</v>
      </c>
      <c r="C10" s="17">
        <v>7.0000000000000007E-2</v>
      </c>
      <c r="D10" s="19">
        <f t="shared" si="0"/>
        <v>8028.9073823921508</v>
      </c>
      <c r="E10" s="8">
        <v>40</v>
      </c>
      <c r="F10" s="8">
        <v>1</v>
      </c>
      <c r="G10" s="19">
        <f t="shared" si="2"/>
        <v>321156.29529568605</v>
      </c>
      <c r="I10" s="119" t="s">
        <v>18</v>
      </c>
      <c r="J10" s="119"/>
      <c r="K10" s="119"/>
    </row>
    <row r="11" spans="1:11" x14ac:dyDescent="0.25">
      <c r="A11" s="9">
        <v>9</v>
      </c>
      <c r="B11" s="10">
        <v>5000</v>
      </c>
      <c r="C11" s="17">
        <v>7.0000000000000007E-2</v>
      </c>
      <c r="D11" s="19">
        <f t="shared" si="0"/>
        <v>8590.9308991596008</v>
      </c>
      <c r="E11" s="8">
        <v>40</v>
      </c>
      <c r="F11" s="8">
        <v>1</v>
      </c>
      <c r="G11" s="19">
        <f t="shared" si="2"/>
        <v>343637.23596638406</v>
      </c>
      <c r="I11" s="12" t="s">
        <v>19</v>
      </c>
      <c r="J11" s="8">
        <v>500</v>
      </c>
      <c r="K11" s="8" t="s">
        <v>21</v>
      </c>
    </row>
    <row r="12" spans="1:11" x14ac:dyDescent="0.25">
      <c r="A12" s="9">
        <v>10</v>
      </c>
      <c r="B12" s="10">
        <v>5000</v>
      </c>
      <c r="C12" s="17">
        <v>7.0000000000000007E-2</v>
      </c>
      <c r="D12" s="19">
        <f t="shared" si="0"/>
        <v>9192.2960621007751</v>
      </c>
      <c r="E12" s="8">
        <v>40</v>
      </c>
      <c r="F12" s="8">
        <v>1</v>
      </c>
      <c r="G12" s="19">
        <f t="shared" si="2"/>
        <v>367691.84248403099</v>
      </c>
      <c r="I12" s="12" t="s">
        <v>20</v>
      </c>
      <c r="J12" s="8">
        <v>70</v>
      </c>
      <c r="K12" s="8" t="s">
        <v>21</v>
      </c>
    </row>
    <row r="13" spans="1:11" x14ac:dyDescent="0.25">
      <c r="E13" s="121" t="s">
        <v>35</v>
      </c>
      <c r="F13" s="121"/>
      <c r="G13" s="33">
        <f>AVERAGE(G3:G12)</f>
        <v>276328.95922559005</v>
      </c>
      <c r="I13" s="3"/>
      <c r="J13" s="8"/>
      <c r="K13" s="5"/>
    </row>
    <row r="14" spans="1:11" x14ac:dyDescent="0.25">
      <c r="I14" s="2" t="s">
        <v>22</v>
      </c>
      <c r="J14" s="26">
        <f>J11/J12</f>
        <v>7.1428571428571432</v>
      </c>
      <c r="K14" s="6" t="s">
        <v>21</v>
      </c>
    </row>
    <row r="15" spans="1:11" x14ac:dyDescent="0.25">
      <c r="J15" s="7">
        <v>8</v>
      </c>
    </row>
    <row r="16" spans="1:11" x14ac:dyDescent="0.25">
      <c r="I16" s="30" t="s">
        <v>23</v>
      </c>
      <c r="J16" s="30"/>
      <c r="K16" s="30"/>
    </row>
    <row r="17" spans="2:11" ht="13.5" customHeight="1" x14ac:dyDescent="0.25">
      <c r="I17" s="3" t="s">
        <v>27</v>
      </c>
      <c r="J17" s="8">
        <v>50</v>
      </c>
      <c r="K17" s="8" t="s">
        <v>24</v>
      </c>
    </row>
    <row r="18" spans="2:11" x14ac:dyDescent="0.25">
      <c r="B18" s="16"/>
      <c r="I18" s="3" t="s">
        <v>28</v>
      </c>
      <c r="J18" s="8">
        <v>12</v>
      </c>
      <c r="K18" s="8" t="s">
        <v>25</v>
      </c>
    </row>
    <row r="19" spans="2:11" x14ac:dyDescent="0.25">
      <c r="B19" s="16"/>
      <c r="I19" s="3"/>
      <c r="J19" s="8"/>
      <c r="K19" s="8"/>
    </row>
    <row r="20" spans="2:11" x14ac:dyDescent="0.25">
      <c r="B20" s="16"/>
      <c r="I20" s="2" t="s">
        <v>26</v>
      </c>
      <c r="J20" s="13">
        <f>J17*J18*365</f>
        <v>219000</v>
      </c>
      <c r="K20" s="9" t="s">
        <v>16</v>
      </c>
    </row>
    <row r="21" spans="2:11" x14ac:dyDescent="0.25">
      <c r="B21" s="16"/>
    </row>
    <row r="22" spans="2:11" x14ac:dyDescent="0.25">
      <c r="B22" s="16"/>
      <c r="I22" s="1" t="s">
        <v>29</v>
      </c>
      <c r="J22" s="20">
        <f>J20*8</f>
        <v>1752000</v>
      </c>
      <c r="K22" s="14" t="s">
        <v>16</v>
      </c>
    </row>
    <row r="23" spans="2:11" x14ac:dyDescent="0.25">
      <c r="B23" s="16"/>
    </row>
    <row r="24" spans="2:11" x14ac:dyDescent="0.25">
      <c r="B24" s="16"/>
      <c r="I24" s="1" t="s">
        <v>30</v>
      </c>
      <c r="J24" s="29">
        <v>170000</v>
      </c>
    </row>
    <row r="25" spans="2:11" x14ac:dyDescent="0.25">
      <c r="B25" s="16"/>
    </row>
    <row r="26" spans="2:11" x14ac:dyDescent="0.25">
      <c r="B26" s="16"/>
      <c r="I26" s="120" t="s">
        <v>31</v>
      </c>
      <c r="J26" s="120"/>
    </row>
    <row r="27" spans="2:11" x14ac:dyDescent="0.25">
      <c r="B27" s="16"/>
      <c r="I27" s="3" t="s">
        <v>32</v>
      </c>
      <c r="J27" s="31">
        <v>607739.56999999995</v>
      </c>
    </row>
    <row r="28" spans="2:11" x14ac:dyDescent="0.25">
      <c r="B28" s="24"/>
      <c r="I28" s="3" t="s">
        <v>33</v>
      </c>
      <c r="J28" s="31">
        <f>J24*J15</f>
        <v>1360000</v>
      </c>
    </row>
    <row r="29" spans="2:11" x14ac:dyDescent="0.25">
      <c r="I29" s="34" t="s">
        <v>39</v>
      </c>
      <c r="J29" s="31">
        <f>SUM(J27:J28)</f>
        <v>1967739.5699999998</v>
      </c>
    </row>
    <row r="30" spans="2:11" x14ac:dyDescent="0.25">
      <c r="B30" s="15"/>
    </row>
  </sheetData>
  <mergeCells count="6">
    <mergeCell ref="B1:D1"/>
    <mergeCell ref="E1:G1"/>
    <mergeCell ref="I1:K1"/>
    <mergeCell ref="I10:K10"/>
    <mergeCell ref="I26:J26"/>
    <mergeCell ref="E13:F1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8295-0356-4033-83E4-A456F297A4E9}">
  <dimension ref="A1:R28"/>
  <sheetViews>
    <sheetView topLeftCell="K1" zoomScale="140" zoomScaleNormal="140" workbookViewId="0">
      <selection activeCell="Q11" sqref="Q11"/>
    </sheetView>
  </sheetViews>
  <sheetFormatPr defaultRowHeight="15" x14ac:dyDescent="0.25"/>
  <cols>
    <col min="1" max="1" width="16.85546875" customWidth="1"/>
    <col min="2" max="2" width="22.42578125" customWidth="1"/>
    <col min="3" max="3" width="15.28515625" customWidth="1"/>
    <col min="4" max="4" width="14.140625" customWidth="1"/>
    <col min="5" max="5" width="22.28515625" bestFit="1" customWidth="1"/>
    <col min="10" max="10" width="22.140625" style="50" bestFit="1" customWidth="1"/>
    <col min="11" max="11" width="9.85546875" bestFit="1" customWidth="1"/>
    <col min="12" max="12" width="15.140625" bestFit="1" customWidth="1"/>
    <col min="13" max="13" width="10" customWidth="1"/>
    <col min="14" max="14" width="20.140625" bestFit="1" customWidth="1"/>
    <col min="15" max="15" width="11" style="7" bestFit="1" customWidth="1"/>
    <col min="16" max="16" width="9.140625" style="4"/>
    <col min="17" max="17" width="19.140625" style="4" bestFit="1" customWidth="1"/>
    <col min="18" max="18" width="17.5703125" style="52" bestFit="1" customWidth="1"/>
  </cols>
  <sheetData>
    <row r="1" spans="1:18" ht="15" customHeight="1" x14ac:dyDescent="0.25">
      <c r="A1" s="122" t="s">
        <v>53</v>
      </c>
      <c r="B1" s="122"/>
      <c r="C1" s="122"/>
      <c r="D1" s="122"/>
      <c r="E1" s="122"/>
      <c r="F1" s="1"/>
      <c r="G1" s="1"/>
      <c r="H1" s="1"/>
    </row>
    <row r="2" spans="1:18" ht="15" customHeight="1" x14ac:dyDescent="0.25">
      <c r="A2" s="37"/>
      <c r="B2" s="37"/>
      <c r="C2" s="37"/>
      <c r="D2" s="37"/>
      <c r="E2" s="37"/>
      <c r="F2" s="1"/>
      <c r="G2" s="1"/>
      <c r="H2" s="1"/>
      <c r="J2" s="60" t="s">
        <v>74</v>
      </c>
      <c r="K2" s="50"/>
      <c r="L2" s="50"/>
      <c r="M2" s="50"/>
      <c r="N2" s="50"/>
      <c r="O2" s="40"/>
    </row>
    <row r="3" spans="1:18" ht="15" customHeight="1" x14ac:dyDescent="0.25">
      <c r="A3" s="123" t="s">
        <v>61</v>
      </c>
      <c r="B3" s="123"/>
      <c r="C3" s="123"/>
      <c r="D3" s="123"/>
      <c r="E3" s="123"/>
      <c r="F3" s="36"/>
      <c r="G3" s="36"/>
      <c r="H3" s="36"/>
      <c r="J3" s="56" t="s">
        <v>66</v>
      </c>
      <c r="K3" s="46" t="s">
        <v>70</v>
      </c>
      <c r="L3" s="63" t="s">
        <v>40</v>
      </c>
      <c r="M3" s="46" t="s">
        <v>41</v>
      </c>
      <c r="N3" s="46" t="s">
        <v>69</v>
      </c>
      <c r="O3" s="126" t="s">
        <v>71</v>
      </c>
      <c r="P3" s="126"/>
      <c r="Q3" s="46" t="s">
        <v>72</v>
      </c>
      <c r="R3" s="63" t="s">
        <v>73</v>
      </c>
    </row>
    <row r="4" spans="1:18" ht="15" customHeight="1" x14ac:dyDescent="0.25">
      <c r="A4" s="38"/>
      <c r="B4" s="39"/>
      <c r="C4" s="39"/>
      <c r="D4" s="39"/>
      <c r="E4" s="39"/>
      <c r="F4" s="7"/>
      <c r="G4" s="7"/>
      <c r="H4" s="7"/>
      <c r="J4" s="54" t="s">
        <v>64</v>
      </c>
      <c r="K4" s="57" t="e">
        <f>#REF!</f>
        <v>#REF!</v>
      </c>
      <c r="L4" s="61" t="e">
        <f>IF(AND(K4&gt;=B9,K4&lt;=C9),A9,IF(AND(K4&gt;=B10,K4&lt;=C10),A10,IF(AND(K4&gt;=B11,K4&lt;=C11),A11,IF(AND(K4&gt;=B12,K4&lt;=C12),A12,IF(AND(K4&gt;=B13,K4&lt;=C13),A13,IF(AND(K4&gt;=B14,K4&lt;=C14),A14))))))</f>
        <v>#REF!</v>
      </c>
      <c r="M4" s="43" t="e">
        <f>IF(AND(K4&gt;=0,K4&lt;=180000),D9,IF(AND(K4&gt;=180000.01,K4&lt;=360000),D10,IF(AND(K4&gt;=360000.01,K4&lt;=720000),D11,IF(AND(K4&gt;=720000.01,K4&lt;=1800000),D12,IF(AND(K4&gt;=1800000.01,K4&lt;=3600000),D13,IF(AND(K4&gt;=3600000.01,K4&lt;=4800000),D14))))))</f>
        <v>#REF!</v>
      </c>
      <c r="N4" s="47" t="e">
        <f>IF(AND(K4&gt;=0,K4&lt;=180000),E9,IF(AND(K4&gt;=1800000.01,K4&lt;=360000),E10,IF(AND(K4&gt;=360000.01,K4&lt;=720000),E11,IF(AND(K4&gt;=720000.01,K4&lt;=1800000),E12,IF(AND(K4&gt;=1800000.01,K4&lt;=3600000),E13,IF(AND(K4&gt;=3600000.01,K4&lt;=4800000),E14))))))</f>
        <v>#REF!</v>
      </c>
      <c r="O4" s="42" t="e">
        <f>((K4*M4)-N4)/K4</f>
        <v>#REF!</v>
      </c>
      <c r="P4" s="43" t="e">
        <f>O4</f>
        <v>#REF!</v>
      </c>
      <c r="Q4" s="57" t="e">
        <f>(K4/12)*P4</f>
        <v>#REF!</v>
      </c>
      <c r="R4" s="62" t="e">
        <f>Q4*12</f>
        <v>#REF!</v>
      </c>
    </row>
    <row r="5" spans="1:18" s="41" customFormat="1" ht="15" customHeight="1" x14ac:dyDescent="0.2">
      <c r="A5" s="127" t="s">
        <v>62</v>
      </c>
      <c r="B5" s="127"/>
      <c r="C5" s="127"/>
      <c r="D5" s="127"/>
      <c r="E5" s="127"/>
      <c r="F5" s="48"/>
      <c r="G5" s="48"/>
      <c r="H5" s="48"/>
      <c r="J5" s="54" t="s">
        <v>65</v>
      </c>
      <c r="K5" s="54"/>
      <c r="L5" s="64"/>
      <c r="M5" s="54"/>
      <c r="N5" s="54"/>
      <c r="O5" s="55"/>
      <c r="P5" s="58"/>
      <c r="Q5" s="58"/>
      <c r="R5" s="63"/>
    </row>
    <row r="6" spans="1:18" s="41" customFormat="1" ht="15" customHeight="1" x14ac:dyDescent="0.2">
      <c r="A6" s="48"/>
      <c r="B6" s="48"/>
      <c r="C6" s="48"/>
      <c r="D6" s="48"/>
      <c r="E6" s="48"/>
      <c r="F6" s="48"/>
      <c r="G6" s="48"/>
      <c r="H6" s="48"/>
      <c r="J6" s="54"/>
      <c r="K6" s="59"/>
      <c r="L6" s="65"/>
      <c r="M6" s="59"/>
      <c r="N6" s="59"/>
      <c r="O6" s="55"/>
      <c r="P6" s="58"/>
      <c r="Q6" s="58"/>
      <c r="R6" s="63"/>
    </row>
    <row r="7" spans="1:18" s="41" customFormat="1" ht="15" customHeight="1" x14ac:dyDescent="0.2">
      <c r="A7" s="129" t="s">
        <v>45</v>
      </c>
      <c r="B7" s="130"/>
      <c r="E7" s="40"/>
      <c r="F7" s="40"/>
      <c r="G7" s="40"/>
      <c r="I7" s="51"/>
      <c r="J7" s="59"/>
      <c r="K7" s="59"/>
      <c r="L7" s="65"/>
      <c r="M7" s="59"/>
      <c r="N7" s="59"/>
      <c r="O7" s="55"/>
      <c r="P7" s="58"/>
      <c r="Q7" s="58"/>
      <c r="R7" s="63"/>
    </row>
    <row r="8" spans="1:18" s="41" customFormat="1" ht="15" customHeight="1" x14ac:dyDescent="0.2">
      <c r="A8" s="46"/>
      <c r="B8" s="49" t="s">
        <v>67</v>
      </c>
      <c r="C8" s="49" t="s">
        <v>68</v>
      </c>
      <c r="D8" s="46" t="s">
        <v>41</v>
      </c>
      <c r="E8" s="46" t="s">
        <v>46</v>
      </c>
      <c r="F8" s="40"/>
      <c r="G8" s="40"/>
      <c r="H8" s="40"/>
      <c r="J8" s="51"/>
      <c r="O8" s="40"/>
      <c r="P8" s="53"/>
      <c r="Q8" s="53"/>
      <c r="R8" s="52"/>
    </row>
    <row r="9" spans="1:18" s="41" customFormat="1" ht="15" customHeight="1" x14ac:dyDescent="0.2">
      <c r="A9" s="46" t="s">
        <v>47</v>
      </c>
      <c r="B9" s="47">
        <v>0</v>
      </c>
      <c r="C9" s="47">
        <v>180000</v>
      </c>
      <c r="D9" s="43">
        <v>0.04</v>
      </c>
      <c r="E9" s="47">
        <v>0</v>
      </c>
      <c r="F9" s="40"/>
      <c r="G9" s="40"/>
      <c r="H9" s="40"/>
      <c r="J9" s="50"/>
      <c r="O9" s="40"/>
      <c r="P9" s="53"/>
      <c r="Q9" s="53"/>
      <c r="R9" s="52"/>
    </row>
    <row r="10" spans="1:18" s="41" customFormat="1" ht="15" customHeight="1" x14ac:dyDescent="0.2">
      <c r="A10" s="46" t="s">
        <v>48</v>
      </c>
      <c r="B10" s="47">
        <v>180000.01</v>
      </c>
      <c r="C10" s="47">
        <v>360000</v>
      </c>
      <c r="D10" s="43">
        <v>7.2999999999999995E-2</v>
      </c>
      <c r="E10" s="47">
        <v>5940</v>
      </c>
      <c r="F10" s="40"/>
      <c r="G10" s="40"/>
      <c r="H10" s="40"/>
      <c r="J10" s="50"/>
      <c r="O10" s="40"/>
      <c r="P10" s="53"/>
      <c r="Q10" s="53"/>
      <c r="R10" s="52"/>
    </row>
    <row r="11" spans="1:18" s="41" customFormat="1" ht="15" customHeight="1" x14ac:dyDescent="0.2">
      <c r="A11" s="46" t="s">
        <v>49</v>
      </c>
      <c r="B11" s="47">
        <v>360000.01</v>
      </c>
      <c r="C11" s="47">
        <v>720000</v>
      </c>
      <c r="D11" s="43">
        <v>9.5000000000000001E-2</v>
      </c>
      <c r="E11" s="47">
        <v>13860</v>
      </c>
      <c r="F11" s="40"/>
      <c r="G11" s="40"/>
      <c r="H11" s="40"/>
      <c r="J11" s="50"/>
      <c r="O11" s="40"/>
      <c r="P11" s="53"/>
      <c r="Q11" s="53">
        <v>6.9921195304968098E-2</v>
      </c>
      <c r="R11" s="52"/>
    </row>
    <row r="12" spans="1:18" s="41" customFormat="1" ht="15" customHeight="1" x14ac:dyDescent="0.2">
      <c r="A12" s="46" t="s">
        <v>50</v>
      </c>
      <c r="B12" s="47">
        <v>720000.01</v>
      </c>
      <c r="C12" s="47">
        <v>1800000</v>
      </c>
      <c r="D12" s="43">
        <v>0.107</v>
      </c>
      <c r="E12" s="47">
        <v>22500</v>
      </c>
      <c r="F12" s="40"/>
      <c r="G12" s="40"/>
      <c r="H12" s="40"/>
      <c r="J12" s="50"/>
      <c r="O12" s="40"/>
      <c r="P12" s="53"/>
      <c r="Q12" s="53"/>
      <c r="R12" s="52"/>
    </row>
    <row r="13" spans="1:18" s="41" customFormat="1" ht="15" customHeight="1" x14ac:dyDescent="0.2">
      <c r="A13" s="46" t="s">
        <v>51</v>
      </c>
      <c r="B13" s="47">
        <v>1800000.01</v>
      </c>
      <c r="C13" s="47">
        <v>3600000</v>
      </c>
      <c r="D13" s="43">
        <v>0.14299999999999999</v>
      </c>
      <c r="E13" s="47">
        <v>87300</v>
      </c>
      <c r="F13" s="40"/>
      <c r="G13" s="40"/>
      <c r="H13" s="40"/>
      <c r="J13" s="50"/>
      <c r="O13" s="40"/>
      <c r="P13" s="53"/>
      <c r="Q13" s="53"/>
      <c r="R13" s="52"/>
    </row>
    <row r="14" spans="1:18" s="41" customFormat="1" ht="15" customHeight="1" x14ac:dyDescent="0.2">
      <c r="A14" s="46" t="s">
        <v>52</v>
      </c>
      <c r="B14" s="47">
        <v>3600000.01</v>
      </c>
      <c r="C14" s="47">
        <v>4800000</v>
      </c>
      <c r="D14" s="43">
        <v>0.19</v>
      </c>
      <c r="E14" s="47">
        <v>378000</v>
      </c>
      <c r="J14" s="50"/>
      <c r="O14" s="40"/>
      <c r="P14" s="53"/>
      <c r="Q14" s="53"/>
      <c r="R14" s="52"/>
    </row>
    <row r="15" spans="1:18" ht="15" customHeight="1" x14ac:dyDescent="0.25"/>
    <row r="16" spans="1:18" ht="14.25" customHeight="1" x14ac:dyDescent="0.25"/>
    <row r="17" spans="1:10" ht="15" hidden="1" customHeight="1" x14ac:dyDescent="0.25">
      <c r="B17" s="50"/>
      <c r="J17"/>
    </row>
    <row r="18" spans="1:10" x14ac:dyDescent="0.25">
      <c r="A18" s="44" t="s">
        <v>54</v>
      </c>
      <c r="B18" s="128" t="s">
        <v>55</v>
      </c>
      <c r="C18" s="128"/>
      <c r="D18" s="128"/>
      <c r="E18" s="128"/>
      <c r="F18" s="128"/>
      <c r="G18" s="128"/>
      <c r="I18" s="50"/>
      <c r="J18"/>
    </row>
    <row r="19" spans="1:10" ht="15" customHeight="1" x14ac:dyDescent="0.25">
      <c r="A19" s="42"/>
      <c r="B19" s="45" t="s">
        <v>56</v>
      </c>
      <c r="C19" s="45" t="s">
        <v>57</v>
      </c>
      <c r="D19" s="45" t="s">
        <v>58</v>
      </c>
      <c r="E19" s="45" t="s">
        <v>59</v>
      </c>
      <c r="F19" s="45" t="s">
        <v>60</v>
      </c>
      <c r="G19" s="45" t="s">
        <v>63</v>
      </c>
    </row>
    <row r="20" spans="1:10" ht="15" customHeight="1" x14ac:dyDescent="0.25">
      <c r="A20" s="42" t="s">
        <v>47</v>
      </c>
      <c r="B20" s="45">
        <v>5.5E-2</v>
      </c>
      <c r="C20" s="45">
        <v>3.5000000000000003E-2</v>
      </c>
      <c r="D20" s="45">
        <v>0.12740000000000001</v>
      </c>
      <c r="E20" s="45">
        <v>2.76E-2</v>
      </c>
      <c r="F20" s="45">
        <v>0.41499999999999998</v>
      </c>
      <c r="G20" s="45">
        <v>0.34</v>
      </c>
    </row>
    <row r="21" spans="1:10" ht="15" customHeight="1" x14ac:dyDescent="0.25">
      <c r="A21" s="42" t="s">
        <v>48</v>
      </c>
      <c r="B21" s="45">
        <v>5.5E-2</v>
      </c>
      <c r="C21" s="45">
        <v>3.5000000000000003E-2</v>
      </c>
      <c r="D21" s="45">
        <v>0.12740000000000001</v>
      </c>
      <c r="E21" s="45">
        <v>2.76E-2</v>
      </c>
      <c r="F21" s="45">
        <v>0.41499999999999998</v>
      </c>
      <c r="G21" s="45">
        <v>0.34</v>
      </c>
    </row>
    <row r="22" spans="1:10" ht="15" customHeight="1" x14ac:dyDescent="0.25">
      <c r="A22" s="42" t="s">
        <v>49</v>
      </c>
      <c r="B22" s="45">
        <v>5.5E-2</v>
      </c>
      <c r="C22" s="45">
        <v>3.5000000000000003E-2</v>
      </c>
      <c r="D22" s="45">
        <v>0.12740000000000001</v>
      </c>
      <c r="E22" s="45">
        <v>2.76E-2</v>
      </c>
      <c r="F22" s="45">
        <v>0.42</v>
      </c>
      <c r="G22" s="45">
        <v>0.33500000000000002</v>
      </c>
    </row>
    <row r="23" spans="1:10" ht="15" customHeight="1" x14ac:dyDescent="0.25">
      <c r="A23" s="42" t="s">
        <v>50</v>
      </c>
      <c r="B23" s="45">
        <v>5.5E-2</v>
      </c>
      <c r="C23" s="45">
        <v>3.5000000000000003E-2</v>
      </c>
      <c r="D23" s="45">
        <v>0.12740000000000001</v>
      </c>
      <c r="E23" s="45">
        <v>2.76E-2</v>
      </c>
      <c r="F23" s="45">
        <v>0.42</v>
      </c>
      <c r="G23" s="45">
        <v>0.33500000000000002</v>
      </c>
    </row>
    <row r="24" spans="1:10" ht="15" customHeight="1" x14ac:dyDescent="0.25">
      <c r="A24" s="42" t="s">
        <v>51</v>
      </c>
      <c r="B24" s="45">
        <v>5.5E-2</v>
      </c>
      <c r="C24" s="45">
        <v>3.5000000000000003E-2</v>
      </c>
      <c r="D24" s="45">
        <v>0.12740000000000001</v>
      </c>
      <c r="E24" s="45">
        <v>2.76E-2</v>
      </c>
      <c r="F24" s="45">
        <v>0.42</v>
      </c>
      <c r="G24" s="45">
        <v>0.33500000000000002</v>
      </c>
    </row>
    <row r="25" spans="1:10" ht="15" customHeight="1" x14ac:dyDescent="0.25"/>
    <row r="27" spans="1:10" x14ac:dyDescent="0.25">
      <c r="B27" s="35" t="s">
        <v>44</v>
      </c>
      <c r="C27" s="124" t="s">
        <v>42</v>
      </c>
      <c r="D27" s="124"/>
    </row>
    <row r="28" spans="1:10" x14ac:dyDescent="0.25">
      <c r="B28" s="4"/>
      <c r="C28" s="125" t="s">
        <v>43</v>
      </c>
      <c r="D28" s="125"/>
    </row>
  </sheetData>
  <mergeCells count="8">
    <mergeCell ref="A1:E1"/>
    <mergeCell ref="A3:E3"/>
    <mergeCell ref="C27:D27"/>
    <mergeCell ref="C28:D28"/>
    <mergeCell ref="O3:P3"/>
    <mergeCell ref="A5:E5"/>
    <mergeCell ref="B18:G18"/>
    <mergeCell ref="A7:B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7C0D-6A36-403E-8A49-B3A63F1D52A8}">
  <dimension ref="A2:K75"/>
  <sheetViews>
    <sheetView topLeftCell="A54" zoomScale="130" zoomScaleNormal="130" workbookViewId="0">
      <selection activeCell="J68" sqref="J68"/>
    </sheetView>
  </sheetViews>
  <sheetFormatPr defaultRowHeight="15" customHeight="1" x14ac:dyDescent="0.2"/>
  <cols>
    <col min="1" max="1" width="6.28515625" style="52" customWidth="1"/>
    <col min="2" max="2" width="22" style="71" customWidth="1"/>
    <col min="3" max="3" width="16.140625" style="52" customWidth="1"/>
    <col min="4" max="4" width="11.85546875" style="52" customWidth="1"/>
    <col min="5" max="5" width="14.85546875" style="52" bestFit="1" customWidth="1"/>
    <col min="6" max="6" width="13.42578125" style="52" customWidth="1"/>
    <col min="7" max="7" width="14" style="52" bestFit="1" customWidth="1"/>
    <col min="8" max="8" width="11.5703125" style="52" bestFit="1" customWidth="1"/>
    <col min="9" max="9" width="14.42578125" style="52" customWidth="1"/>
    <col min="10" max="10" width="14" style="52" bestFit="1" customWidth="1"/>
    <col min="11" max="11" width="9.140625" style="52"/>
    <col min="12" max="16384" width="9.140625" style="50"/>
  </cols>
  <sheetData>
    <row r="2" spans="1:11" ht="15" customHeight="1" x14ac:dyDescent="0.2">
      <c r="A2" s="131" t="s">
        <v>103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ht="15" customHeight="1" thickBot="1" x14ac:dyDescent="0.25"/>
    <row r="4" spans="1:11" s="67" customFormat="1" ht="36.75" thickBot="1" x14ac:dyDescent="0.25">
      <c r="A4" s="77"/>
      <c r="B4" s="77" t="s">
        <v>75</v>
      </c>
      <c r="C4" s="77"/>
      <c r="D4" s="77" t="s">
        <v>92</v>
      </c>
      <c r="E4" s="77" t="s">
        <v>76</v>
      </c>
      <c r="F4" s="77" t="s">
        <v>80</v>
      </c>
      <c r="G4" s="77" t="s">
        <v>81</v>
      </c>
      <c r="H4" s="77" t="s">
        <v>77</v>
      </c>
      <c r="I4" s="77" t="s">
        <v>82</v>
      </c>
      <c r="J4" s="77" t="s">
        <v>83</v>
      </c>
      <c r="K4" s="66"/>
    </row>
    <row r="6" spans="1:11" s="69" customFormat="1" ht="15" customHeight="1" x14ac:dyDescent="0.2">
      <c r="A6" s="78">
        <v>1</v>
      </c>
      <c r="B6" s="79" t="s">
        <v>78</v>
      </c>
      <c r="C6" s="79"/>
      <c r="D6" s="79"/>
      <c r="E6" s="79"/>
      <c r="F6" s="79"/>
      <c r="G6" s="79"/>
      <c r="H6" s="79"/>
      <c r="I6" s="79"/>
      <c r="J6" s="79"/>
      <c r="K6" s="68"/>
    </row>
    <row r="7" spans="1:11" ht="24" x14ac:dyDescent="0.2">
      <c r="A7" s="52" t="s">
        <v>79</v>
      </c>
      <c r="B7" s="75" t="s">
        <v>101</v>
      </c>
      <c r="D7" s="52" t="s">
        <v>100</v>
      </c>
      <c r="E7" s="52">
        <v>0</v>
      </c>
      <c r="F7" s="70">
        <v>0</v>
      </c>
      <c r="G7" s="70">
        <f>E7*F7</f>
        <v>0</v>
      </c>
      <c r="H7" s="52">
        <v>0</v>
      </c>
      <c r="I7" s="70">
        <v>0</v>
      </c>
      <c r="J7" s="70">
        <f>SUM(G7,I7)</f>
        <v>0</v>
      </c>
    </row>
    <row r="9" spans="1:11" ht="15" customHeight="1" x14ac:dyDescent="0.2">
      <c r="A9" s="78">
        <v>1</v>
      </c>
      <c r="B9" s="79" t="s">
        <v>113</v>
      </c>
      <c r="C9" s="79"/>
      <c r="D9" s="79"/>
      <c r="E9" s="79"/>
      <c r="F9" s="79"/>
      <c r="G9" s="79"/>
      <c r="H9" s="79"/>
      <c r="I9" s="79"/>
      <c r="J9" s="79"/>
    </row>
    <row r="10" spans="1:11" ht="15" customHeight="1" x14ac:dyDescent="0.2">
      <c r="A10" s="52" t="s">
        <v>79</v>
      </c>
      <c r="B10" s="71" t="s">
        <v>86</v>
      </c>
      <c r="D10" s="52" t="s">
        <v>87</v>
      </c>
      <c r="E10" s="52">
        <v>8</v>
      </c>
      <c r="F10" s="70">
        <v>170000</v>
      </c>
      <c r="G10" s="70">
        <f>E10*F10</f>
        <v>1360000</v>
      </c>
      <c r="H10" s="52">
        <v>10</v>
      </c>
      <c r="I10" s="70">
        <v>0</v>
      </c>
      <c r="J10" s="70">
        <f>SUM(G10,I10)</f>
        <v>1360000</v>
      </c>
    </row>
    <row r="11" spans="1:11" ht="15" customHeight="1" x14ac:dyDescent="0.2">
      <c r="A11" s="52" t="s">
        <v>84</v>
      </c>
      <c r="B11" s="71" t="s">
        <v>88</v>
      </c>
      <c r="D11" s="52" t="s">
        <v>17</v>
      </c>
      <c r="E11" s="52">
        <v>173.64</v>
      </c>
      <c r="F11" s="70">
        <v>3500</v>
      </c>
      <c r="G11" s="70">
        <f>E11*F11</f>
        <v>607740</v>
      </c>
      <c r="H11" s="52">
        <v>10</v>
      </c>
      <c r="I11" s="70">
        <v>0</v>
      </c>
      <c r="J11" s="70">
        <f>SUM(G11,I11)</f>
        <v>607740</v>
      </c>
    </row>
    <row r="13" spans="1:11" s="69" customFormat="1" ht="15" customHeight="1" x14ac:dyDescent="0.2">
      <c r="A13" s="78">
        <v>2</v>
      </c>
      <c r="B13" s="80" t="s">
        <v>89</v>
      </c>
      <c r="C13" s="78"/>
      <c r="D13" s="78"/>
      <c r="E13" s="78"/>
      <c r="F13" s="78"/>
      <c r="G13" s="78"/>
      <c r="H13" s="78"/>
      <c r="I13" s="78"/>
      <c r="J13" s="78"/>
      <c r="K13" s="68"/>
    </row>
    <row r="16" spans="1:11" ht="15" customHeight="1" thickBot="1" x14ac:dyDescent="0.25"/>
    <row r="17" spans="1:11" ht="15" customHeight="1" thickBot="1" x14ac:dyDescent="0.25">
      <c r="A17" s="81"/>
      <c r="B17" s="82" t="s">
        <v>120</v>
      </c>
      <c r="C17" s="83"/>
      <c r="D17" s="83"/>
      <c r="E17" s="83"/>
      <c r="F17" s="83"/>
      <c r="G17" s="91">
        <f>SUM(G7:G16)</f>
        <v>1967740</v>
      </c>
      <c r="H17" s="83"/>
      <c r="I17" s="92">
        <f>SUM(I7:I16)</f>
        <v>0</v>
      </c>
      <c r="J17" s="91">
        <f>SUM(J6:J16)</f>
        <v>1967740</v>
      </c>
    </row>
    <row r="21" spans="1:11" ht="15" customHeight="1" x14ac:dyDescent="0.2">
      <c r="A21" s="132" t="s">
        <v>91</v>
      </c>
      <c r="B21" s="132"/>
      <c r="C21" s="132"/>
      <c r="D21" s="132"/>
      <c r="E21" s="132"/>
      <c r="F21" s="132"/>
      <c r="G21" s="132"/>
      <c r="H21" s="132"/>
      <c r="I21" s="132"/>
      <c r="J21" s="76"/>
    </row>
    <row r="22" spans="1:11" ht="15" customHeight="1" thickBot="1" x14ac:dyDescent="0.25"/>
    <row r="23" spans="1:11" s="69" customFormat="1" ht="36.75" thickBot="1" x14ac:dyDescent="0.25">
      <c r="A23" s="77"/>
      <c r="B23" s="77" t="s">
        <v>90</v>
      </c>
      <c r="C23" s="77"/>
      <c r="D23" s="77" t="s">
        <v>92</v>
      </c>
      <c r="E23" s="77" t="s">
        <v>93</v>
      </c>
      <c r="F23" s="77" t="s">
        <v>94</v>
      </c>
      <c r="G23" s="77" t="s">
        <v>95</v>
      </c>
      <c r="H23" s="77" t="s">
        <v>96</v>
      </c>
      <c r="I23" s="77" t="s">
        <v>83</v>
      </c>
      <c r="K23" s="68"/>
    </row>
    <row r="25" spans="1:11" ht="15" customHeight="1" x14ac:dyDescent="0.2">
      <c r="A25" s="88">
        <v>1</v>
      </c>
      <c r="B25" s="89" t="s">
        <v>97</v>
      </c>
      <c r="C25" s="88"/>
      <c r="D25" s="88"/>
      <c r="E25" s="90"/>
      <c r="F25" s="90"/>
      <c r="G25" s="90"/>
      <c r="H25" s="90"/>
      <c r="I25" s="87"/>
    </row>
    <row r="26" spans="1:11" ht="24" x14ac:dyDescent="0.2">
      <c r="A26" s="52" t="s">
        <v>79</v>
      </c>
      <c r="B26" s="75" t="s">
        <v>98</v>
      </c>
      <c r="D26" s="52" t="s">
        <v>15</v>
      </c>
      <c r="E26" s="70">
        <v>6.99</v>
      </c>
      <c r="F26" s="70" t="s">
        <v>37</v>
      </c>
      <c r="G26" s="70" t="s">
        <v>37</v>
      </c>
      <c r="H26" s="70">
        <v>3220.21</v>
      </c>
      <c r="I26" s="70">
        <f t="shared" ref="I26" si="0">H26*12</f>
        <v>38642.520000000004</v>
      </c>
    </row>
    <row r="27" spans="1:11" ht="12.75" thickBot="1" x14ac:dyDescent="0.25">
      <c r="B27" s="75"/>
      <c r="E27" s="70"/>
      <c r="F27" s="70"/>
      <c r="G27" s="70"/>
      <c r="H27" s="70"/>
      <c r="I27" s="70"/>
    </row>
    <row r="28" spans="1:11" ht="15" customHeight="1" thickBot="1" x14ac:dyDescent="0.25">
      <c r="A28" s="83"/>
      <c r="B28" s="82" t="s">
        <v>121</v>
      </c>
      <c r="C28" s="83"/>
      <c r="D28" s="83"/>
      <c r="E28" s="84"/>
      <c r="F28" s="84"/>
      <c r="G28" s="84"/>
      <c r="H28" s="84">
        <f>SUM(H24:H27)</f>
        <v>3220.21</v>
      </c>
      <c r="I28" s="91">
        <f ca="1">SUM(I25:I28)</f>
        <v>38642.520000000004</v>
      </c>
    </row>
    <row r="29" spans="1:11" ht="15" customHeight="1" x14ac:dyDescent="0.2">
      <c r="A29" s="50"/>
      <c r="B29" s="50"/>
      <c r="C29" s="50"/>
      <c r="D29" s="50"/>
      <c r="E29" s="50"/>
      <c r="F29" s="50"/>
      <c r="G29" s="50"/>
      <c r="H29" s="50"/>
      <c r="I29" s="50"/>
    </row>
    <row r="30" spans="1:11" ht="15" customHeight="1" x14ac:dyDescent="0.2">
      <c r="I30" s="70"/>
    </row>
    <row r="31" spans="1:11" ht="15" customHeight="1" x14ac:dyDescent="0.2">
      <c r="I31" s="70"/>
    </row>
    <row r="32" spans="1:11" ht="15" customHeight="1" x14ac:dyDescent="0.2">
      <c r="A32" s="132" t="s">
        <v>104</v>
      </c>
      <c r="B32" s="132"/>
      <c r="C32" s="132"/>
      <c r="D32" s="132"/>
      <c r="E32" s="132"/>
      <c r="F32" s="132"/>
      <c r="G32" s="132"/>
      <c r="H32" s="132"/>
      <c r="I32" s="76"/>
    </row>
    <row r="33" spans="1:8" ht="15" customHeight="1" thickBot="1" x14ac:dyDescent="0.25"/>
    <row r="34" spans="1:8" ht="36.75" thickBot="1" x14ac:dyDescent="0.25">
      <c r="A34" s="77"/>
      <c r="B34" s="77" t="s">
        <v>99</v>
      </c>
      <c r="C34" s="77"/>
      <c r="D34" s="77" t="s">
        <v>92</v>
      </c>
      <c r="E34" s="77" t="s">
        <v>76</v>
      </c>
      <c r="F34" s="77" t="s">
        <v>95</v>
      </c>
      <c r="G34" s="77" t="s">
        <v>96</v>
      </c>
      <c r="H34" s="77" t="s">
        <v>83</v>
      </c>
    </row>
    <row r="36" spans="1:8" ht="15" customHeight="1" x14ac:dyDescent="0.2">
      <c r="A36" s="78">
        <v>1</v>
      </c>
      <c r="B36" s="80" t="s">
        <v>111</v>
      </c>
      <c r="C36" s="86"/>
      <c r="D36" s="86"/>
      <c r="E36" s="86"/>
      <c r="F36" s="86"/>
      <c r="G36" s="86"/>
      <c r="H36" s="86"/>
    </row>
    <row r="37" spans="1:8" ht="24" x14ac:dyDescent="0.2">
      <c r="A37" s="52" t="s">
        <v>79</v>
      </c>
      <c r="B37" s="75" t="s">
        <v>102</v>
      </c>
      <c r="D37" s="52" t="s">
        <v>100</v>
      </c>
      <c r="E37" s="70">
        <v>40</v>
      </c>
      <c r="F37" s="70">
        <v>60</v>
      </c>
      <c r="G37" s="70">
        <f>E37*F37</f>
        <v>2400</v>
      </c>
      <c r="H37" s="70">
        <f>G37*12</f>
        <v>28800</v>
      </c>
    </row>
    <row r="38" spans="1:8" ht="15" customHeight="1" x14ac:dyDescent="0.2">
      <c r="B38" s="75"/>
      <c r="E38" s="70"/>
      <c r="F38" s="70"/>
      <c r="G38" s="70"/>
      <c r="H38" s="70"/>
    </row>
    <row r="39" spans="1:8" ht="15" customHeight="1" x14ac:dyDescent="0.2">
      <c r="A39" s="78">
        <v>2</v>
      </c>
      <c r="B39" s="94" t="s">
        <v>105</v>
      </c>
      <c r="C39" s="78"/>
      <c r="D39" s="78"/>
      <c r="E39" s="93"/>
      <c r="F39" s="93"/>
      <c r="G39" s="93"/>
      <c r="H39" s="93"/>
    </row>
    <row r="40" spans="1:8" ht="15" customHeight="1" x14ac:dyDescent="0.2">
      <c r="A40" s="52" t="s">
        <v>85</v>
      </c>
      <c r="B40" s="71" t="s">
        <v>112</v>
      </c>
      <c r="D40" s="52" t="s">
        <v>87</v>
      </c>
      <c r="E40" s="52">
        <v>1</v>
      </c>
      <c r="F40" s="52">
        <v>2083.33</v>
      </c>
      <c r="G40" s="70">
        <f t="shared" ref="G40:G43" si="1">E40*F40</f>
        <v>2083.33</v>
      </c>
      <c r="H40" s="70">
        <f t="shared" ref="H40:H49" si="2">G40*12</f>
        <v>24999.96</v>
      </c>
    </row>
    <row r="41" spans="1:8" ht="15" customHeight="1" x14ac:dyDescent="0.2">
      <c r="G41" s="70"/>
      <c r="H41" s="70"/>
    </row>
    <row r="42" spans="1:8" ht="15" customHeight="1" x14ac:dyDescent="0.2">
      <c r="A42" s="78">
        <v>3</v>
      </c>
      <c r="B42" s="80" t="s">
        <v>106</v>
      </c>
      <c r="C42" s="78"/>
      <c r="D42" s="78"/>
      <c r="E42" s="78"/>
      <c r="F42" s="78"/>
      <c r="G42" s="93"/>
      <c r="H42" s="93"/>
    </row>
    <row r="43" spans="1:8" ht="15" customHeight="1" x14ac:dyDescent="0.2">
      <c r="A43" s="52" t="s">
        <v>114</v>
      </c>
      <c r="B43" s="71" t="s">
        <v>115</v>
      </c>
      <c r="D43" s="52" t="s">
        <v>16</v>
      </c>
      <c r="E43" s="70">
        <v>0</v>
      </c>
      <c r="F43" s="70">
        <v>0</v>
      </c>
      <c r="G43" s="70">
        <f t="shared" si="1"/>
        <v>0</v>
      </c>
      <c r="H43" s="70">
        <f t="shared" si="2"/>
        <v>0</v>
      </c>
    </row>
    <row r="44" spans="1:8" ht="15" customHeight="1" x14ac:dyDescent="0.2">
      <c r="H44" s="70"/>
    </row>
    <row r="45" spans="1:8" ht="15" customHeight="1" x14ac:dyDescent="0.2">
      <c r="A45" s="78">
        <v>4</v>
      </c>
      <c r="B45" s="80" t="s">
        <v>107</v>
      </c>
      <c r="C45" s="86"/>
      <c r="D45" s="86"/>
      <c r="E45" s="86"/>
      <c r="F45" s="86"/>
      <c r="G45" s="86"/>
      <c r="H45" s="87"/>
    </row>
    <row r="46" spans="1:8" ht="15" customHeight="1" x14ac:dyDescent="0.2">
      <c r="A46" s="52" t="s">
        <v>116</v>
      </c>
      <c r="B46" s="71" t="s">
        <v>108</v>
      </c>
      <c r="D46" s="52" t="s">
        <v>15</v>
      </c>
      <c r="E46" s="70">
        <v>0</v>
      </c>
      <c r="F46" s="70">
        <v>0</v>
      </c>
      <c r="G46" s="70">
        <f>E46*F46</f>
        <v>0</v>
      </c>
      <c r="H46" s="70">
        <f t="shared" si="2"/>
        <v>0</v>
      </c>
    </row>
    <row r="47" spans="1:8" ht="15" customHeight="1" x14ac:dyDescent="0.2">
      <c r="E47" s="70"/>
      <c r="F47" s="70"/>
      <c r="G47" s="70"/>
      <c r="H47" s="70"/>
    </row>
    <row r="48" spans="1:8" ht="15" customHeight="1" x14ac:dyDescent="0.2">
      <c r="A48" s="78">
        <v>5</v>
      </c>
      <c r="B48" s="80" t="s">
        <v>109</v>
      </c>
      <c r="C48" s="86"/>
      <c r="D48" s="86"/>
      <c r="E48" s="87"/>
      <c r="F48" s="87"/>
      <c r="G48" s="87"/>
      <c r="H48" s="87"/>
    </row>
    <row r="49" spans="1:8" ht="15" customHeight="1" x14ac:dyDescent="0.2">
      <c r="A49" s="52" t="s">
        <v>117</v>
      </c>
      <c r="B49" s="71" t="s">
        <v>110</v>
      </c>
      <c r="D49" s="52" t="s">
        <v>15</v>
      </c>
      <c r="E49" s="70">
        <v>0</v>
      </c>
      <c r="F49" s="70">
        <v>0</v>
      </c>
      <c r="G49" s="70">
        <f t="shared" ref="G49" si="3">E49*F49</f>
        <v>0</v>
      </c>
      <c r="H49" s="70">
        <f t="shared" si="2"/>
        <v>0</v>
      </c>
    </row>
    <row r="50" spans="1:8" ht="15" customHeight="1" thickBot="1" x14ac:dyDescent="0.25"/>
    <row r="51" spans="1:8" ht="15" customHeight="1" thickBot="1" x14ac:dyDescent="0.25">
      <c r="A51" s="83"/>
      <c r="B51" s="82" t="s">
        <v>118</v>
      </c>
      <c r="C51" s="83"/>
      <c r="D51" s="83"/>
      <c r="E51" s="84"/>
      <c r="F51" s="84"/>
      <c r="G51" s="84">
        <f>SUM(G36:G50)</f>
        <v>4483.33</v>
      </c>
      <c r="H51" s="91">
        <f>SUM(H37:H50)</f>
        <v>53799.96</v>
      </c>
    </row>
    <row r="55" spans="1:8" ht="28.5" customHeight="1" x14ac:dyDescent="0.2">
      <c r="A55" s="134" t="s">
        <v>127</v>
      </c>
      <c r="B55" s="134"/>
      <c r="C55" s="134"/>
      <c r="D55" s="134"/>
      <c r="E55" s="74"/>
    </row>
    <row r="56" spans="1:8" ht="15" customHeight="1" thickBot="1" x14ac:dyDescent="0.25"/>
    <row r="57" spans="1:8" ht="15" customHeight="1" thickBot="1" x14ac:dyDescent="0.25">
      <c r="A57" s="83"/>
      <c r="B57" s="135" t="s">
        <v>122</v>
      </c>
      <c r="C57" s="135"/>
      <c r="D57" s="83" t="s">
        <v>123</v>
      </c>
    </row>
    <row r="58" spans="1:8" ht="15" customHeight="1" x14ac:dyDescent="0.2">
      <c r="A58" s="68">
        <v>1</v>
      </c>
      <c r="B58" s="136" t="s">
        <v>126</v>
      </c>
      <c r="C58" s="136"/>
      <c r="D58" s="70">
        <f>G51</f>
        <v>4483.33</v>
      </c>
    </row>
    <row r="59" spans="1:8" ht="15" customHeight="1" x14ac:dyDescent="0.2">
      <c r="A59" s="68">
        <v>2</v>
      </c>
      <c r="B59" s="136" t="s">
        <v>124</v>
      </c>
      <c r="C59" s="136"/>
      <c r="D59" s="70">
        <v>2</v>
      </c>
    </row>
    <row r="60" spans="1:8" ht="15" customHeight="1" thickBot="1" x14ac:dyDescent="0.25">
      <c r="A60" s="99">
        <v>3</v>
      </c>
      <c r="B60" s="133" t="s">
        <v>125</v>
      </c>
      <c r="C60" s="133"/>
      <c r="D60" s="100">
        <f>H28</f>
        <v>3220.21</v>
      </c>
    </row>
    <row r="61" spans="1:8" ht="15" customHeight="1" x14ac:dyDescent="0.2">
      <c r="D61" s="70"/>
    </row>
    <row r="63" spans="1:8" ht="15" customHeight="1" x14ac:dyDescent="0.2">
      <c r="A63" s="132" t="s">
        <v>151</v>
      </c>
      <c r="B63" s="132"/>
      <c r="C63" s="132"/>
      <c r="D63" s="132"/>
      <c r="E63" s="132"/>
      <c r="F63" s="74"/>
      <c r="G63" s="85"/>
    </row>
    <row r="64" spans="1:8" ht="15" customHeight="1" thickBot="1" x14ac:dyDescent="0.25"/>
    <row r="65" spans="1:5" ht="38.25" customHeight="1" thickBot="1" x14ac:dyDescent="0.25">
      <c r="A65" s="83" t="s">
        <v>128</v>
      </c>
      <c r="B65" s="77" t="s">
        <v>129</v>
      </c>
      <c r="C65" s="77" t="s">
        <v>131</v>
      </c>
      <c r="D65" s="77" t="s">
        <v>130</v>
      </c>
      <c r="E65" s="77" t="s">
        <v>152</v>
      </c>
    </row>
    <row r="66" spans="1:5" ht="15" customHeight="1" x14ac:dyDescent="0.2">
      <c r="A66" s="96">
        <v>0</v>
      </c>
      <c r="B66" s="97" t="s">
        <v>37</v>
      </c>
      <c r="C66" s="98">
        <v>276328.96000000002</v>
      </c>
      <c r="D66" s="98">
        <v>2</v>
      </c>
      <c r="E66" s="98">
        <f>C66*D66</f>
        <v>552657.92000000004</v>
      </c>
    </row>
    <row r="67" spans="1:5" ht="15" customHeight="1" x14ac:dyDescent="0.2">
      <c r="A67" s="96">
        <v>1</v>
      </c>
      <c r="B67" s="104">
        <v>0</v>
      </c>
      <c r="C67" s="98">
        <f>C66*(1+B67)</f>
        <v>276328.96000000002</v>
      </c>
      <c r="D67" s="98">
        <v>2</v>
      </c>
      <c r="E67" s="98">
        <f>C67*D67</f>
        <v>552657.92000000004</v>
      </c>
    </row>
    <row r="68" spans="1:5" ht="15" customHeight="1" x14ac:dyDescent="0.2">
      <c r="A68" s="96">
        <v>2</v>
      </c>
      <c r="B68" s="104">
        <v>0</v>
      </c>
      <c r="C68" s="98">
        <f t="shared" ref="C68:C75" si="4">C67*(1+B68)</f>
        <v>276328.96000000002</v>
      </c>
      <c r="D68" s="98">
        <v>2</v>
      </c>
      <c r="E68" s="98">
        <f t="shared" ref="E68:E75" si="5">C68*D68</f>
        <v>552657.92000000004</v>
      </c>
    </row>
    <row r="69" spans="1:5" ht="15" customHeight="1" x14ac:dyDescent="0.2">
      <c r="A69" s="96">
        <v>3</v>
      </c>
      <c r="B69" s="104">
        <v>0</v>
      </c>
      <c r="C69" s="98">
        <f t="shared" si="4"/>
        <v>276328.96000000002</v>
      </c>
      <c r="D69" s="98">
        <v>2</v>
      </c>
      <c r="E69" s="98">
        <f t="shared" si="5"/>
        <v>552657.92000000004</v>
      </c>
    </row>
    <row r="70" spans="1:5" ht="15" customHeight="1" x14ac:dyDescent="0.2">
      <c r="A70" s="96">
        <v>4</v>
      </c>
      <c r="B70" s="104">
        <v>0</v>
      </c>
      <c r="C70" s="98">
        <f t="shared" si="4"/>
        <v>276328.96000000002</v>
      </c>
      <c r="D70" s="98">
        <v>2</v>
      </c>
      <c r="E70" s="98">
        <f t="shared" si="5"/>
        <v>552657.92000000004</v>
      </c>
    </row>
    <row r="71" spans="1:5" ht="15" customHeight="1" x14ac:dyDescent="0.2">
      <c r="A71" s="96">
        <v>5</v>
      </c>
      <c r="B71" s="104">
        <v>0</v>
      </c>
      <c r="C71" s="98">
        <f t="shared" si="4"/>
        <v>276328.96000000002</v>
      </c>
      <c r="D71" s="98">
        <v>2</v>
      </c>
      <c r="E71" s="98">
        <f t="shared" si="5"/>
        <v>552657.92000000004</v>
      </c>
    </row>
    <row r="72" spans="1:5" ht="15" customHeight="1" x14ac:dyDescent="0.2">
      <c r="A72" s="96">
        <v>6</v>
      </c>
      <c r="B72" s="104">
        <v>0</v>
      </c>
      <c r="C72" s="98">
        <f t="shared" si="4"/>
        <v>276328.96000000002</v>
      </c>
      <c r="D72" s="98">
        <v>2</v>
      </c>
      <c r="E72" s="98">
        <f t="shared" si="5"/>
        <v>552657.92000000004</v>
      </c>
    </row>
    <row r="73" spans="1:5" ht="15" customHeight="1" x14ac:dyDescent="0.2">
      <c r="A73" s="96">
        <v>7</v>
      </c>
      <c r="B73" s="104">
        <v>0</v>
      </c>
      <c r="C73" s="98">
        <f t="shared" si="4"/>
        <v>276328.96000000002</v>
      </c>
      <c r="D73" s="98">
        <v>2</v>
      </c>
      <c r="E73" s="98">
        <f t="shared" si="5"/>
        <v>552657.92000000004</v>
      </c>
    </row>
    <row r="74" spans="1:5" ht="15" customHeight="1" x14ac:dyDescent="0.2">
      <c r="A74" s="96">
        <v>8</v>
      </c>
      <c r="B74" s="104">
        <v>0</v>
      </c>
      <c r="C74" s="98">
        <f t="shared" si="4"/>
        <v>276328.96000000002</v>
      </c>
      <c r="D74" s="98">
        <v>2</v>
      </c>
      <c r="E74" s="98">
        <f t="shared" si="5"/>
        <v>552657.92000000004</v>
      </c>
    </row>
    <row r="75" spans="1:5" ht="15" customHeight="1" thickBot="1" x14ac:dyDescent="0.25">
      <c r="A75" s="101">
        <v>9</v>
      </c>
      <c r="B75" s="104">
        <v>0</v>
      </c>
      <c r="C75" s="98">
        <f t="shared" si="4"/>
        <v>276328.96000000002</v>
      </c>
      <c r="D75" s="102">
        <v>2</v>
      </c>
      <c r="E75" s="102">
        <f t="shared" si="5"/>
        <v>552657.92000000004</v>
      </c>
    </row>
  </sheetData>
  <mergeCells count="9">
    <mergeCell ref="A2:J2"/>
    <mergeCell ref="A21:I21"/>
    <mergeCell ref="A32:H32"/>
    <mergeCell ref="B60:C60"/>
    <mergeCell ref="A63:E63"/>
    <mergeCell ref="A55:D55"/>
    <mergeCell ref="B57:C57"/>
    <mergeCell ref="B58:C58"/>
    <mergeCell ref="B59:C5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A02D-34E1-46F8-8053-A4AB1ABB03F6}">
  <dimension ref="A1:L37"/>
  <sheetViews>
    <sheetView tabSelected="1" zoomScale="130" zoomScaleNormal="130" workbookViewId="0">
      <selection activeCell="C9" sqref="C9"/>
    </sheetView>
  </sheetViews>
  <sheetFormatPr defaultRowHeight="15" customHeight="1" x14ac:dyDescent="0.25"/>
  <cols>
    <col min="1" max="1" width="29.7109375" style="71" customWidth="1"/>
    <col min="2" max="2" width="6.42578125" style="52" customWidth="1"/>
    <col min="3" max="12" width="12.7109375" style="52" customWidth="1"/>
    <col min="13" max="16384" width="9.140625" style="95"/>
  </cols>
  <sheetData>
    <row r="1" spans="1:12" ht="15" customHeight="1" x14ac:dyDescent="0.2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2" ht="15" customHeight="1" thickBot="1" x14ac:dyDescent="0.3"/>
    <row r="3" spans="1:12" s="74" customFormat="1" ht="15" customHeight="1" x14ac:dyDescent="0.25">
      <c r="A3" s="137" t="s">
        <v>36</v>
      </c>
      <c r="B3" s="137"/>
      <c r="C3" s="137" t="s">
        <v>132</v>
      </c>
      <c r="D3" s="137"/>
      <c r="E3" s="137"/>
      <c r="F3" s="137"/>
      <c r="G3" s="137"/>
      <c r="H3" s="137"/>
      <c r="I3" s="137"/>
      <c r="J3" s="137"/>
      <c r="K3" s="137"/>
      <c r="L3" s="137"/>
    </row>
    <row r="4" spans="1:12" s="74" customFormat="1" ht="15" customHeight="1" thickBot="1" x14ac:dyDescent="0.3">
      <c r="A4" s="138"/>
      <c r="B4" s="138"/>
      <c r="C4" s="106">
        <v>0</v>
      </c>
      <c r="D4" s="106">
        <v>1</v>
      </c>
      <c r="E4" s="106">
        <v>2</v>
      </c>
      <c r="F4" s="106">
        <v>3</v>
      </c>
      <c r="G4" s="106">
        <v>4</v>
      </c>
      <c r="H4" s="106">
        <v>5</v>
      </c>
      <c r="I4" s="106">
        <v>6</v>
      </c>
      <c r="J4" s="106">
        <v>7</v>
      </c>
      <c r="K4" s="106">
        <v>8</v>
      </c>
      <c r="L4" s="106">
        <v>9</v>
      </c>
    </row>
    <row r="5" spans="1:12" ht="15" customHeight="1" x14ac:dyDescent="0.25">
      <c r="A5" s="71" t="s">
        <v>133</v>
      </c>
      <c r="B5" s="68" t="s">
        <v>15</v>
      </c>
      <c r="C5" s="52" t="s">
        <v>37</v>
      </c>
      <c r="D5" s="105">
        <f>CUSTOS!B67</f>
        <v>0</v>
      </c>
      <c r="E5" s="105">
        <f>CUSTOS!B68</f>
        <v>0</v>
      </c>
      <c r="F5" s="105">
        <f>CUSTOS!B69</f>
        <v>0</v>
      </c>
      <c r="G5" s="105">
        <f>CUSTOS!B70</f>
        <v>0</v>
      </c>
      <c r="H5" s="105">
        <f>CUSTOS!B71</f>
        <v>0</v>
      </c>
      <c r="I5" s="105">
        <f>CUSTOS!B72</f>
        <v>0</v>
      </c>
      <c r="J5" s="105">
        <f>CUSTOS!B73</f>
        <v>0</v>
      </c>
      <c r="K5" s="105">
        <f>CUSTOS!B74</f>
        <v>0</v>
      </c>
      <c r="L5" s="105">
        <f>CUSTOS!B75</f>
        <v>0</v>
      </c>
    </row>
    <row r="6" spans="1:12" s="74" customFormat="1" ht="15" customHeight="1" x14ac:dyDescent="0.25">
      <c r="A6" s="80" t="s">
        <v>144</v>
      </c>
      <c r="B6" s="78" t="s">
        <v>119</v>
      </c>
      <c r="C6" s="93">
        <f>CUSTOS!E66</f>
        <v>552657.92000000004</v>
      </c>
      <c r="D6" s="93">
        <f>CUSTOS!E67</f>
        <v>552657.92000000004</v>
      </c>
      <c r="E6" s="93">
        <f>CUSTOS!E68</f>
        <v>552657.92000000004</v>
      </c>
      <c r="F6" s="93">
        <f>CUSTOS!E69</f>
        <v>552657.92000000004</v>
      </c>
      <c r="G6" s="93">
        <f>CUSTOS!E70</f>
        <v>552657.92000000004</v>
      </c>
      <c r="H6" s="93">
        <f>CUSTOS!E71</f>
        <v>552657.92000000004</v>
      </c>
      <c r="I6" s="93">
        <f>CUSTOS!E72</f>
        <v>552657.92000000004</v>
      </c>
      <c r="J6" s="93">
        <f>CUSTOS!E74</f>
        <v>552657.92000000004</v>
      </c>
      <c r="K6" s="93">
        <f>CUSTOS!E74</f>
        <v>552657.92000000004</v>
      </c>
      <c r="L6" s="93">
        <f>CUSTOS!E75</f>
        <v>552657.92000000004</v>
      </c>
    </row>
    <row r="7" spans="1:12" ht="15" customHeight="1" x14ac:dyDescent="0.25">
      <c r="A7" s="72" t="s">
        <v>142</v>
      </c>
      <c r="D7" s="105"/>
      <c r="E7" s="105"/>
      <c r="F7" s="105"/>
      <c r="G7" s="105"/>
      <c r="H7" s="105"/>
      <c r="I7" s="105"/>
      <c r="J7" s="105"/>
      <c r="K7" s="105"/>
      <c r="L7" s="105"/>
    </row>
    <row r="8" spans="1:12" ht="30" customHeight="1" x14ac:dyDescent="0.25">
      <c r="A8" s="75" t="s">
        <v>134</v>
      </c>
      <c r="B8" s="52" t="s">
        <v>15</v>
      </c>
      <c r="C8" s="70">
        <v>0</v>
      </c>
      <c r="D8" s="105">
        <v>6.9900000000000004E-2</v>
      </c>
      <c r="E8" s="105">
        <v>6.9900000000000004E-2</v>
      </c>
      <c r="F8" s="105">
        <v>6.9900000000000004E-2</v>
      </c>
      <c r="G8" s="105">
        <v>6.9900000000000004E-2</v>
      </c>
      <c r="H8" s="105">
        <v>6.9900000000000004E-2</v>
      </c>
      <c r="I8" s="105">
        <v>6.9900000000000004E-2</v>
      </c>
      <c r="J8" s="105">
        <v>6.9900000000000004E-2</v>
      </c>
      <c r="K8" s="105">
        <v>6.9900000000000004E-2</v>
      </c>
      <c r="L8" s="105">
        <v>6.9900000000000004E-2</v>
      </c>
    </row>
    <row r="9" spans="1:12" s="74" customFormat="1" ht="15" customHeight="1" x14ac:dyDescent="0.25">
      <c r="A9" s="80" t="s">
        <v>135</v>
      </c>
      <c r="B9" s="78" t="s">
        <v>119</v>
      </c>
      <c r="C9" s="93">
        <f>C6*C8</f>
        <v>0</v>
      </c>
      <c r="D9" s="93">
        <f>D6*(1-D8)</f>
        <v>514027.13139200007</v>
      </c>
      <c r="E9" s="93">
        <f t="shared" ref="E9:L9" si="0">E6*(1-E8)</f>
        <v>514027.13139200007</v>
      </c>
      <c r="F9" s="93">
        <f t="shared" si="0"/>
        <v>514027.13139200007</v>
      </c>
      <c r="G9" s="93">
        <f t="shared" si="0"/>
        <v>514027.13139200007</v>
      </c>
      <c r="H9" s="93">
        <f t="shared" si="0"/>
        <v>514027.13139200007</v>
      </c>
      <c r="I9" s="93">
        <f t="shared" si="0"/>
        <v>514027.13139200007</v>
      </c>
      <c r="J9" s="93">
        <f t="shared" si="0"/>
        <v>514027.13139200007</v>
      </c>
      <c r="K9" s="93">
        <f t="shared" si="0"/>
        <v>514027.13139200007</v>
      </c>
      <c r="L9" s="93">
        <f t="shared" si="0"/>
        <v>514027.13139200007</v>
      </c>
    </row>
    <row r="10" spans="1:12" ht="15" customHeight="1" x14ac:dyDescent="0.25">
      <c r="A10" s="72" t="s">
        <v>136</v>
      </c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2" ht="15" customHeight="1" x14ac:dyDescent="0.25">
      <c r="A11" s="75" t="s">
        <v>137</v>
      </c>
      <c r="B11" s="52" t="s">
        <v>119</v>
      </c>
      <c r="C11" s="70">
        <v>28800</v>
      </c>
      <c r="D11" s="70">
        <f t="shared" ref="D11:I11" si="1">C11</f>
        <v>28800</v>
      </c>
      <c r="E11" s="70">
        <f t="shared" si="1"/>
        <v>28800</v>
      </c>
      <c r="F11" s="70">
        <f t="shared" si="1"/>
        <v>28800</v>
      </c>
      <c r="G11" s="70">
        <f t="shared" si="1"/>
        <v>28800</v>
      </c>
      <c r="H11" s="70">
        <f t="shared" si="1"/>
        <v>28800</v>
      </c>
      <c r="I11" s="70">
        <f t="shared" si="1"/>
        <v>28800</v>
      </c>
      <c r="J11" s="70">
        <f>I11*(1+$J$5)</f>
        <v>28800</v>
      </c>
      <c r="K11" s="70">
        <f>J11*(1+$K$5)</f>
        <v>28800</v>
      </c>
      <c r="L11" s="70">
        <f>K11*(1+$L$5)</f>
        <v>28800</v>
      </c>
    </row>
    <row r="12" spans="1:12" ht="15" customHeight="1" x14ac:dyDescent="0.25">
      <c r="A12" s="75" t="s">
        <v>138</v>
      </c>
      <c r="B12" s="52" t="s">
        <v>119</v>
      </c>
      <c r="C12" s="70">
        <v>25000</v>
      </c>
      <c r="D12" s="70">
        <f t="shared" ref="D12:D16" si="2">C12</f>
        <v>25000</v>
      </c>
      <c r="E12" s="70">
        <f>D12</f>
        <v>25000</v>
      </c>
      <c r="F12" s="70">
        <f t="shared" ref="F12:F15" si="3">E12*(1+$F$5)</f>
        <v>25000</v>
      </c>
      <c r="G12" s="70">
        <f t="shared" ref="G12:G15" si="4">F12*(1+$G$5)</f>
        <v>25000</v>
      </c>
      <c r="H12" s="70">
        <f t="shared" ref="H12:H15" si="5">G12*(1+$H$5)</f>
        <v>25000</v>
      </c>
      <c r="I12" s="70">
        <f t="shared" ref="I12:I15" si="6">H12*(1+$I$5)</f>
        <v>25000</v>
      </c>
      <c r="J12" s="70">
        <f t="shared" ref="J12:J15" si="7">I12*(1+$J$5)</f>
        <v>25000</v>
      </c>
      <c r="K12" s="70">
        <f t="shared" ref="K12:K15" si="8">J12*(1+$K$5)</f>
        <v>25000</v>
      </c>
      <c r="L12" s="70">
        <f t="shared" ref="L12:L15" si="9">K12*(1+$L$5)</f>
        <v>25000</v>
      </c>
    </row>
    <row r="13" spans="1:12" ht="15" customHeight="1" x14ac:dyDescent="0.25">
      <c r="A13" s="75" t="s">
        <v>139</v>
      </c>
      <c r="B13" s="52" t="s">
        <v>119</v>
      </c>
      <c r="C13" s="70">
        <v>0</v>
      </c>
      <c r="D13" s="70">
        <f t="shared" si="2"/>
        <v>0</v>
      </c>
      <c r="E13" s="70">
        <f>D13*(1+$E$5)</f>
        <v>0</v>
      </c>
      <c r="F13" s="70">
        <f t="shared" si="3"/>
        <v>0</v>
      </c>
      <c r="G13" s="70">
        <f t="shared" si="4"/>
        <v>0</v>
      </c>
      <c r="H13" s="70">
        <f t="shared" si="5"/>
        <v>0</v>
      </c>
      <c r="I13" s="70">
        <f t="shared" si="6"/>
        <v>0</v>
      </c>
      <c r="J13" s="70">
        <f t="shared" si="7"/>
        <v>0</v>
      </c>
      <c r="K13" s="70">
        <f t="shared" si="8"/>
        <v>0</v>
      </c>
      <c r="L13" s="70">
        <f t="shared" si="9"/>
        <v>0</v>
      </c>
    </row>
    <row r="14" spans="1:12" ht="15" customHeight="1" x14ac:dyDescent="0.25">
      <c r="A14" s="75" t="s">
        <v>140</v>
      </c>
      <c r="B14" s="52" t="s">
        <v>119</v>
      </c>
      <c r="C14" s="70">
        <v>0</v>
      </c>
      <c r="D14" s="70">
        <f t="shared" si="2"/>
        <v>0</v>
      </c>
      <c r="E14" s="70">
        <f>D14*(1+$E$5)</f>
        <v>0</v>
      </c>
      <c r="F14" s="70">
        <f t="shared" si="3"/>
        <v>0</v>
      </c>
      <c r="G14" s="70">
        <f t="shared" si="4"/>
        <v>0</v>
      </c>
      <c r="H14" s="70">
        <f t="shared" si="5"/>
        <v>0</v>
      </c>
      <c r="I14" s="70">
        <f t="shared" si="6"/>
        <v>0</v>
      </c>
      <c r="J14" s="70">
        <f t="shared" si="7"/>
        <v>0</v>
      </c>
      <c r="K14" s="70">
        <f t="shared" si="8"/>
        <v>0</v>
      </c>
      <c r="L14" s="70">
        <f t="shared" si="9"/>
        <v>0</v>
      </c>
    </row>
    <row r="15" spans="1:12" ht="15" customHeight="1" x14ac:dyDescent="0.25">
      <c r="A15" s="75" t="s">
        <v>141</v>
      </c>
      <c r="B15" s="52" t="s">
        <v>119</v>
      </c>
      <c r="C15" s="70">
        <v>0</v>
      </c>
      <c r="D15" s="70">
        <f t="shared" si="2"/>
        <v>0</v>
      </c>
      <c r="E15" s="70">
        <f>D15*(1+$E$5)</f>
        <v>0</v>
      </c>
      <c r="F15" s="70">
        <f t="shared" si="3"/>
        <v>0</v>
      </c>
      <c r="G15" s="70">
        <f t="shared" si="4"/>
        <v>0</v>
      </c>
      <c r="H15" s="70">
        <f t="shared" si="5"/>
        <v>0</v>
      </c>
      <c r="I15" s="70">
        <f t="shared" si="6"/>
        <v>0</v>
      </c>
      <c r="J15" s="70">
        <f t="shared" si="7"/>
        <v>0</v>
      </c>
      <c r="K15" s="70">
        <f t="shared" si="8"/>
        <v>0</v>
      </c>
      <c r="L15" s="70">
        <f t="shared" si="9"/>
        <v>0</v>
      </c>
    </row>
    <row r="16" spans="1:12" ht="15" customHeight="1" x14ac:dyDescent="0.25">
      <c r="A16" s="75" t="s">
        <v>38</v>
      </c>
      <c r="B16" s="52" t="s">
        <v>119</v>
      </c>
      <c r="C16" s="70">
        <v>26000</v>
      </c>
      <c r="D16" s="70">
        <f t="shared" si="2"/>
        <v>26000</v>
      </c>
      <c r="E16" s="70">
        <v>26000</v>
      </c>
      <c r="F16" s="70">
        <v>26000</v>
      </c>
      <c r="G16" s="70">
        <v>26000</v>
      </c>
      <c r="H16" s="70">
        <v>26000</v>
      </c>
      <c r="I16" s="70">
        <v>26000</v>
      </c>
      <c r="J16" s="70">
        <v>26000</v>
      </c>
      <c r="K16" s="70">
        <v>26000</v>
      </c>
      <c r="L16" s="70">
        <v>26000</v>
      </c>
    </row>
    <row r="17" spans="1:12" s="74" customFormat="1" ht="15" customHeight="1" x14ac:dyDescent="0.25">
      <c r="A17" s="80" t="s">
        <v>143</v>
      </c>
      <c r="B17" s="78" t="s">
        <v>119</v>
      </c>
      <c r="C17" s="93">
        <v>0</v>
      </c>
      <c r="D17" s="93">
        <f>D9-SUM(D11:D16)</f>
        <v>434227.13139200007</v>
      </c>
      <c r="E17" s="93">
        <f t="shared" ref="E17:L17" si="10">E9-SUM(E11:E16)</f>
        <v>434227.13139200007</v>
      </c>
      <c r="F17" s="93">
        <f t="shared" si="10"/>
        <v>434227.13139200007</v>
      </c>
      <c r="G17" s="93">
        <f t="shared" si="10"/>
        <v>434227.13139200007</v>
      </c>
      <c r="H17" s="93">
        <f t="shared" si="10"/>
        <v>434227.13139200007</v>
      </c>
      <c r="I17" s="93">
        <f t="shared" si="10"/>
        <v>434227.13139200007</v>
      </c>
      <c r="J17" s="93">
        <f t="shared" si="10"/>
        <v>434227.13139200007</v>
      </c>
      <c r="K17" s="93">
        <f t="shared" si="10"/>
        <v>434227.13139200007</v>
      </c>
      <c r="L17" s="93">
        <f t="shared" si="10"/>
        <v>434227.13139200007</v>
      </c>
    </row>
    <row r="18" spans="1:12" ht="15" customHeight="1" x14ac:dyDescent="0.25">
      <c r="A18" s="71" t="s">
        <v>145</v>
      </c>
      <c r="B18" s="52" t="s">
        <v>119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</row>
    <row r="19" spans="1:12" ht="15" customHeight="1" x14ac:dyDescent="0.25">
      <c r="A19" s="71" t="s">
        <v>146</v>
      </c>
      <c r="B19" s="107" t="s">
        <v>119</v>
      </c>
      <c r="C19" s="70">
        <v>0</v>
      </c>
      <c r="D19" s="70">
        <v>26000</v>
      </c>
      <c r="E19" s="70">
        <v>26000</v>
      </c>
      <c r="F19" s="70">
        <v>26000</v>
      </c>
      <c r="G19" s="70">
        <v>26000</v>
      </c>
      <c r="H19" s="70">
        <v>26000</v>
      </c>
      <c r="I19" s="70">
        <v>26000</v>
      </c>
      <c r="J19" s="70">
        <v>26000</v>
      </c>
      <c r="K19" s="70">
        <v>26000</v>
      </c>
      <c r="L19" s="70">
        <v>26000</v>
      </c>
    </row>
    <row r="20" spans="1:12" ht="15" customHeight="1" x14ac:dyDescent="0.25">
      <c r="A20" s="73" t="s">
        <v>147</v>
      </c>
      <c r="B20" s="107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 spans="1:12" ht="15" customHeight="1" thickBot="1" x14ac:dyDescent="0.3">
      <c r="A21" s="71" t="s">
        <v>148</v>
      </c>
      <c r="B21" s="107" t="s">
        <v>119</v>
      </c>
      <c r="C21" s="70">
        <v>1967740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</row>
    <row r="22" spans="1:12" s="113" customFormat="1" ht="15" customHeight="1" thickBot="1" x14ac:dyDescent="0.3">
      <c r="A22" s="110" t="s">
        <v>74</v>
      </c>
      <c r="B22" s="111" t="s">
        <v>119</v>
      </c>
      <c r="C22" s="112">
        <f>-C21</f>
        <v>-1967740</v>
      </c>
      <c r="D22" s="112">
        <f>SUM(D17:D19)</f>
        <v>460227.13139200007</v>
      </c>
      <c r="E22" s="112">
        <f t="shared" ref="E22:L22" si="11">SUM(E17:E19)</f>
        <v>460227.13139200007</v>
      </c>
      <c r="F22" s="112">
        <f t="shared" si="11"/>
        <v>460227.13139200007</v>
      </c>
      <c r="G22" s="112">
        <f t="shared" si="11"/>
        <v>460227.13139200007</v>
      </c>
      <c r="H22" s="112">
        <f t="shared" si="11"/>
        <v>460227.13139200007</v>
      </c>
      <c r="I22" s="112">
        <f t="shared" si="11"/>
        <v>460227.13139200007</v>
      </c>
      <c r="J22" s="112">
        <f t="shared" si="11"/>
        <v>460227.13139200007</v>
      </c>
      <c r="K22" s="112">
        <f t="shared" si="11"/>
        <v>460227.13139200007</v>
      </c>
      <c r="L22" s="112">
        <f t="shared" si="11"/>
        <v>460227.13139200007</v>
      </c>
    </row>
    <row r="23" spans="1:12" ht="15" customHeight="1" x14ac:dyDescent="0.25">
      <c r="A23" s="109" t="s">
        <v>149</v>
      </c>
      <c r="B23" s="109"/>
      <c r="C23" s="103">
        <f>IRR(C22:L22)</f>
        <v>0.18192173611037465</v>
      </c>
      <c r="D23" s="70"/>
      <c r="E23" s="70"/>
      <c r="F23" s="70"/>
      <c r="G23" s="70"/>
      <c r="H23" s="70"/>
      <c r="I23" s="70"/>
      <c r="J23" s="70"/>
      <c r="K23" s="70"/>
      <c r="L23" s="70"/>
    </row>
    <row r="24" spans="1:12" ht="15" customHeight="1" x14ac:dyDescent="0.25">
      <c r="A24" s="109" t="s">
        <v>150</v>
      </c>
      <c r="B24" s="109"/>
      <c r="C24" s="108">
        <f>NPV(0.15,C22:L22)</f>
        <v>198497.72136923627</v>
      </c>
      <c r="D24" s="70"/>
      <c r="E24" s="70"/>
      <c r="F24" s="70"/>
      <c r="G24" s="70"/>
      <c r="H24" s="70"/>
      <c r="I24" s="70"/>
      <c r="J24" s="70"/>
      <c r="K24" s="70"/>
      <c r="L24" s="70"/>
    </row>
    <row r="25" spans="1:12" ht="15" customHeight="1" x14ac:dyDescent="0.25">
      <c r="D25" s="70"/>
      <c r="E25" s="70"/>
      <c r="F25" s="70">
        <f>SUM(D11:D16)</f>
        <v>79800</v>
      </c>
      <c r="G25" s="70"/>
      <c r="H25" s="70"/>
      <c r="I25" s="70"/>
      <c r="J25" s="70"/>
      <c r="K25" s="70"/>
      <c r="L25" s="70"/>
    </row>
    <row r="26" spans="1:12" ht="1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</row>
    <row r="27" spans="1:12" ht="15" customHeight="1" x14ac:dyDescent="0.25"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1:12" ht="15" customHeight="1" x14ac:dyDescent="0.25"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2" ht="15" customHeight="1" x14ac:dyDescent="0.25">
      <c r="C29" s="70"/>
      <c r="D29" s="70"/>
    </row>
    <row r="30" spans="1:12" ht="15" customHeight="1" x14ac:dyDescent="0.25">
      <c r="C30" s="70"/>
      <c r="D30" s="70"/>
    </row>
    <row r="31" spans="1:12" ht="15" customHeight="1" x14ac:dyDescent="0.25">
      <c r="C31" s="70"/>
      <c r="D31" s="70"/>
    </row>
    <row r="32" spans="1:12" ht="15" customHeight="1" x14ac:dyDescent="0.25">
      <c r="C32" s="70"/>
      <c r="D32" s="70"/>
    </row>
    <row r="33" spans="3:4" ht="15" customHeight="1" x14ac:dyDescent="0.25">
      <c r="C33" s="70"/>
      <c r="D33" s="70"/>
    </row>
    <row r="34" spans="3:4" ht="15" customHeight="1" x14ac:dyDescent="0.25">
      <c r="C34" s="70"/>
      <c r="D34" s="70"/>
    </row>
    <row r="35" spans="3:4" ht="15" customHeight="1" x14ac:dyDescent="0.25">
      <c r="C35" s="70"/>
      <c r="D35" s="70"/>
    </row>
    <row r="36" spans="3:4" ht="15" customHeight="1" x14ac:dyDescent="0.25">
      <c r="D36" s="70"/>
    </row>
    <row r="37" spans="3:4" ht="15" customHeight="1" x14ac:dyDescent="0.25">
      <c r="D37" s="70"/>
    </row>
  </sheetData>
  <mergeCells count="3">
    <mergeCell ref="C3:L3"/>
    <mergeCell ref="A3:B4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 INICIAIS</vt:lpstr>
      <vt:lpstr>Dados Simples Nacional</vt:lpstr>
      <vt:lpstr>CUSTOS</vt:lpstr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Chaves</dc:creator>
  <cp:lastModifiedBy>Letícia Chaves</cp:lastModifiedBy>
  <dcterms:created xsi:type="dcterms:W3CDTF">2024-02-13T14:23:17Z</dcterms:created>
  <dcterms:modified xsi:type="dcterms:W3CDTF">2024-04-23T03:50:03Z</dcterms:modified>
</cp:coreProperties>
</file>