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.sharepoint.com/teams/ORG_DBIT_PLAN/Shared Documents/Theses/Master's/Pieter-Jan prethesis/ASA testen/"/>
    </mc:Choice>
  </mc:AlternateContent>
  <xr:revisionPtr revIDLastSave="293" documentId="11_8362A05CAF629FB8278BA8581923ADB254636CD7" xr6:coauthVersionLast="45" xr6:coauthVersionMax="45" xr10:uidLastSave="{A6E5E2E9-C785-4856-80AD-F220A1347D53}"/>
  <bookViews>
    <workbookView xWindow="-108" yWindow="-108" windowWidth="23256" windowHeight="12576" firstSheet="5" activeTab="11" xr2:uid="{00000000-000D-0000-FFFF-FFFF00000000}"/>
  </bookViews>
  <sheets>
    <sheet name="BRADFORD_RK" sheetId="4" r:id="rId1"/>
    <sheet name="BRADFORD_PJ" sheetId="5" r:id="rId2"/>
    <sheet name="BRADFORD_3" sheetId="8" r:id="rId3"/>
    <sheet name="Nanodrop" sheetId="7" state="hidden" r:id="rId4"/>
    <sheet name="SPEC_ACTIVITY" sheetId="1" r:id="rId5"/>
    <sheet name="GRAPHS1" sheetId="2" r:id="rId6"/>
    <sheet name="GRAPHS2" sheetId="3" r:id="rId7"/>
    <sheet name="GRAPHS3PJ" sheetId="6" r:id="rId8"/>
    <sheet name="6mei" sheetId="10" r:id="rId9"/>
    <sheet name="ASA 06_06" sheetId="9" r:id="rId10"/>
    <sheet name="ASA 18 mei" sheetId="12" r:id="rId11"/>
    <sheet name="21 mei" sheetId="13" r:id="rId12"/>
    <sheet name="ApoA-&gt;B" sheetId="14" r:id="rId13"/>
    <sheet name="1 juni" sheetId="16" r:id="rId14"/>
    <sheet name="p80 graph" sheetId="1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4" hidden="1">SPEC_ACTIVITY!$A$1:$Q$172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7" l="1"/>
  <c r="D19" i="17"/>
  <c r="B19" i="17"/>
  <c r="B18" i="17"/>
  <c r="G7" i="17"/>
  <c r="D7" i="17"/>
  <c r="B17" i="17"/>
  <c r="H16" i="17"/>
  <c r="B16" i="17"/>
  <c r="C15" i="17"/>
  <c r="C17" i="17" s="1"/>
  <c r="D15" i="17"/>
  <c r="D16" i="17" s="1"/>
  <c r="D18" i="17" s="1"/>
  <c r="G15" i="17"/>
  <c r="G16" i="17" s="1"/>
  <c r="H15" i="17"/>
  <c r="H17" i="17" s="1"/>
  <c r="I15" i="17"/>
  <c r="I17" i="17" s="1"/>
  <c r="B15" i="17"/>
  <c r="G13" i="17"/>
  <c r="H13" i="17"/>
  <c r="I13" i="17"/>
  <c r="C13" i="17"/>
  <c r="C16" i="17" s="1"/>
  <c r="D13" i="17"/>
  <c r="B13" i="17"/>
  <c r="C8" i="17"/>
  <c r="D8" i="17"/>
  <c r="G8" i="17"/>
  <c r="H8" i="17"/>
  <c r="I8" i="17"/>
  <c r="B8" i="17"/>
  <c r="C7" i="17"/>
  <c r="H7" i="17"/>
  <c r="I7" i="17"/>
  <c r="B7" i="17"/>
  <c r="C6" i="17"/>
  <c r="D6" i="17"/>
  <c r="B6" i="17"/>
  <c r="C4" i="17"/>
  <c r="D4" i="17"/>
  <c r="B4" i="17"/>
  <c r="H6" i="17"/>
  <c r="I6" i="17"/>
  <c r="G6" i="17"/>
  <c r="H4" i="17"/>
  <c r="I4" i="17"/>
  <c r="G4" i="17"/>
  <c r="D25" i="16"/>
  <c r="E25" i="16"/>
  <c r="C25" i="16"/>
  <c r="D24" i="16"/>
  <c r="E24" i="16"/>
  <c r="C24" i="16"/>
  <c r="D19" i="16"/>
  <c r="E19" i="16"/>
  <c r="C19" i="16"/>
  <c r="D18" i="16"/>
  <c r="E18" i="16"/>
  <c r="C18" i="16"/>
  <c r="D23" i="16"/>
  <c r="E23" i="16"/>
  <c r="C23" i="16"/>
  <c r="D21" i="16"/>
  <c r="E21" i="16"/>
  <c r="C21" i="16"/>
  <c r="D17" i="16"/>
  <c r="E17" i="16"/>
  <c r="C17" i="16"/>
  <c r="D15" i="16"/>
  <c r="E15" i="16"/>
  <c r="C15" i="16"/>
  <c r="C18" i="17" l="1"/>
  <c r="I16" i="17"/>
  <c r="G17" i="17"/>
  <c r="D17" i="17"/>
  <c r="J148" i="1"/>
  <c r="E148" i="1" s="1"/>
  <c r="J149" i="1"/>
  <c r="J150" i="1"/>
  <c r="J151" i="1"/>
  <c r="J152" i="1"/>
  <c r="E152" i="1" s="1"/>
  <c r="J153" i="1"/>
  <c r="J154" i="1"/>
  <c r="E154" i="1" s="1"/>
  <c r="J155" i="1"/>
  <c r="J156" i="1"/>
  <c r="E156" i="1" s="1"/>
  <c r="J157" i="1"/>
  <c r="J158" i="1"/>
  <c r="E158" i="1" s="1"/>
  <c r="J159" i="1"/>
  <c r="J160" i="1"/>
  <c r="E160" i="1" s="1"/>
  <c r="J161" i="1"/>
  <c r="J162" i="1"/>
  <c r="J163" i="1"/>
  <c r="J164" i="1"/>
  <c r="E164" i="1" s="1"/>
  <c r="J165" i="1"/>
  <c r="J166" i="1"/>
  <c r="E166" i="1" s="1"/>
  <c r="J167" i="1"/>
  <c r="J168" i="1"/>
  <c r="E168" i="1" s="1"/>
  <c r="J169" i="1"/>
  <c r="J170" i="1"/>
  <c r="E170" i="1" s="1"/>
  <c r="J147" i="1"/>
  <c r="E147" i="1"/>
  <c r="E149" i="1"/>
  <c r="E150" i="1"/>
  <c r="E151" i="1"/>
  <c r="E153" i="1"/>
  <c r="E155" i="1"/>
  <c r="E157" i="1"/>
  <c r="E159" i="1"/>
  <c r="E161" i="1"/>
  <c r="E162" i="1"/>
  <c r="E163" i="1"/>
  <c r="E165" i="1"/>
  <c r="E167" i="1"/>
  <c r="E169" i="1"/>
  <c r="E11" i="14" l="1"/>
  <c r="F11" i="14"/>
  <c r="G11" i="14"/>
  <c r="H11" i="14"/>
  <c r="I11" i="14"/>
  <c r="D11" i="14"/>
  <c r="H16" i="14"/>
  <c r="O8" i="14"/>
  <c r="H14" i="14" s="1"/>
  <c r="P8" i="14"/>
  <c r="I14" i="14" s="1"/>
  <c r="O7" i="14"/>
  <c r="H13" i="14" s="1"/>
  <c r="P7" i="14"/>
  <c r="I13" i="14" s="1"/>
  <c r="O12" i="14"/>
  <c r="P12" i="14"/>
  <c r="I16" i="14" s="1"/>
  <c r="O11" i="14"/>
  <c r="H15" i="14" s="1"/>
  <c r="P11" i="14"/>
  <c r="I15" i="14" s="1"/>
  <c r="N12" i="14"/>
  <c r="N11" i="14"/>
  <c r="N8" i="14"/>
  <c r="N7" i="14"/>
  <c r="E14" i="14"/>
  <c r="F14" i="14"/>
  <c r="D13" i="14"/>
  <c r="E13" i="14"/>
  <c r="C13" i="14"/>
  <c r="E4" i="14"/>
  <c r="F4" i="14"/>
  <c r="G4" i="14"/>
  <c r="F13" i="14" s="1"/>
  <c r="H4" i="14"/>
  <c r="G13" i="14" s="1"/>
  <c r="E5" i="14"/>
  <c r="F5" i="14"/>
  <c r="G5" i="14"/>
  <c r="H5" i="14"/>
  <c r="G14" i="14" s="1"/>
  <c r="D5" i="14"/>
  <c r="D4" i="14"/>
  <c r="D14" i="14" s="1"/>
  <c r="E9" i="14"/>
  <c r="D16" i="14" s="1"/>
  <c r="F9" i="14"/>
  <c r="E16" i="14" s="1"/>
  <c r="G9" i="14"/>
  <c r="H9" i="14"/>
  <c r="D9" i="14"/>
  <c r="E8" i="14"/>
  <c r="F8" i="14"/>
  <c r="G8" i="14"/>
  <c r="H8" i="14"/>
  <c r="D8" i="14"/>
  <c r="F16" i="14" s="1"/>
  <c r="J137" i="1"/>
  <c r="J138" i="1"/>
  <c r="E138" i="1" s="1"/>
  <c r="J139" i="1"/>
  <c r="E139" i="1" s="1"/>
  <c r="J140" i="1"/>
  <c r="E140" i="1" s="1"/>
  <c r="J141" i="1"/>
  <c r="E141" i="1" s="1"/>
  <c r="J142" i="1"/>
  <c r="E142" i="1" s="1"/>
  <c r="J143" i="1"/>
  <c r="E143" i="1" s="1"/>
  <c r="J144" i="1"/>
  <c r="E144" i="1" s="1"/>
  <c r="J145" i="1"/>
  <c r="E145" i="1" s="1"/>
  <c r="J146" i="1"/>
  <c r="E146" i="1" s="1"/>
  <c r="G16" i="14" l="1"/>
  <c r="C16" i="14"/>
  <c r="F15" i="14"/>
  <c r="C14" i="14"/>
  <c r="E15" i="14"/>
  <c r="D15" i="14"/>
  <c r="G15" i="14"/>
  <c r="C15" i="14"/>
  <c r="E137" i="1" l="1"/>
  <c r="P5" i="13"/>
  <c r="P4" i="13"/>
  <c r="D135" i="8" l="1"/>
  <c r="K6" i="13" l="1"/>
  <c r="L6" i="13"/>
  <c r="M6" i="13"/>
  <c r="J6" i="13"/>
  <c r="K5" i="13"/>
  <c r="L5" i="13"/>
  <c r="M5" i="13"/>
  <c r="J5" i="13"/>
  <c r="J121" i="1"/>
  <c r="E121" i="1" s="1"/>
  <c r="J122" i="1"/>
  <c r="E122" i="1" s="1"/>
  <c r="J123" i="1"/>
  <c r="E123" i="1" s="1"/>
  <c r="J124" i="1"/>
  <c r="E124" i="1" s="1"/>
  <c r="J125" i="1"/>
  <c r="E125" i="1" s="1"/>
  <c r="J126" i="1"/>
  <c r="E126" i="1" s="1"/>
  <c r="J127" i="1"/>
  <c r="E127" i="1" s="1"/>
  <c r="J128" i="1"/>
  <c r="E128" i="1" s="1"/>
  <c r="J129" i="1"/>
  <c r="E129" i="1" s="1"/>
  <c r="J130" i="1"/>
  <c r="E130" i="1" s="1"/>
  <c r="J131" i="1"/>
  <c r="E131" i="1" s="1"/>
  <c r="J132" i="1"/>
  <c r="E132" i="1" s="1"/>
  <c r="J133" i="1"/>
  <c r="J134" i="1"/>
  <c r="J135" i="1"/>
  <c r="E135" i="1" s="1"/>
  <c r="J136" i="1"/>
  <c r="E136" i="1" s="1"/>
  <c r="J120" i="1"/>
  <c r="E120" i="1" s="1"/>
  <c r="J119" i="1"/>
  <c r="E119" i="1" s="1"/>
  <c r="J118" i="1"/>
  <c r="E118" i="1" s="1"/>
  <c r="J117" i="1"/>
  <c r="E117" i="1" s="1"/>
  <c r="H6" i="13" l="1"/>
  <c r="E134" i="1"/>
  <c r="H5" i="13"/>
  <c r="E133" i="1"/>
  <c r="H7" i="13"/>
  <c r="H8" i="13"/>
  <c r="C41" i="12"/>
  <c r="B41" i="12"/>
  <c r="N6" i="13" l="1"/>
  <c r="N5" i="13"/>
  <c r="H4" i="12"/>
  <c r="F4" i="12" s="1"/>
  <c r="H5" i="12"/>
  <c r="F5" i="12" s="1"/>
  <c r="H6" i="12"/>
  <c r="F6" i="12" s="1"/>
  <c r="H7" i="12"/>
  <c r="F7" i="12" s="1"/>
  <c r="H8" i="12"/>
  <c r="F8" i="12" s="1"/>
  <c r="H9" i="12"/>
  <c r="F9" i="12" s="1"/>
  <c r="H10" i="12"/>
  <c r="F10" i="12" s="1"/>
  <c r="H11" i="12"/>
  <c r="F11" i="12" s="1"/>
  <c r="H3" i="12"/>
  <c r="F3" i="12" s="1"/>
  <c r="G4" i="12"/>
  <c r="E4" i="12" s="1"/>
  <c r="G5" i="12"/>
  <c r="E5" i="12" s="1"/>
  <c r="G6" i="12"/>
  <c r="E6" i="12" s="1"/>
  <c r="G7" i="12"/>
  <c r="E7" i="12" s="1"/>
  <c r="G8" i="12"/>
  <c r="E8" i="12" s="1"/>
  <c r="G9" i="12"/>
  <c r="E9" i="12" s="1"/>
  <c r="G10" i="12"/>
  <c r="E10" i="12" s="1"/>
  <c r="G11" i="12"/>
  <c r="E11" i="12" s="1"/>
  <c r="G3" i="12"/>
  <c r="E3" i="12" s="1"/>
  <c r="G27" i="12" l="1"/>
  <c r="G28" i="12"/>
  <c r="G29" i="12"/>
  <c r="G30" i="12"/>
  <c r="G31" i="12"/>
  <c r="G26" i="12"/>
  <c r="F27" i="12"/>
  <c r="F28" i="12"/>
  <c r="F29" i="12"/>
  <c r="F30" i="12"/>
  <c r="F31" i="12"/>
  <c r="F26" i="12"/>
  <c r="J104" i="1"/>
  <c r="E104" i="1" s="1"/>
  <c r="J105" i="1"/>
  <c r="E105" i="1" s="1"/>
  <c r="J106" i="1"/>
  <c r="E106" i="1" s="1"/>
  <c r="J107" i="1"/>
  <c r="E107" i="1" s="1"/>
  <c r="J103" i="1"/>
  <c r="E103" i="1" s="1"/>
  <c r="J108" i="1"/>
  <c r="E108" i="1" s="1"/>
  <c r="J109" i="1"/>
  <c r="E109" i="1" s="1"/>
  <c r="J110" i="1"/>
  <c r="E110" i="1" s="1"/>
  <c r="J111" i="1"/>
  <c r="E111" i="1" s="1"/>
  <c r="J112" i="1"/>
  <c r="E112" i="1" s="1"/>
  <c r="J113" i="1"/>
  <c r="E113" i="1" s="1"/>
  <c r="J114" i="1"/>
  <c r="E114" i="1" s="1"/>
  <c r="J115" i="1"/>
  <c r="E115" i="1" s="1"/>
  <c r="J116" i="1"/>
  <c r="E116" i="1" s="1"/>
  <c r="H30" i="12" l="1"/>
  <c r="I30" i="12" s="1"/>
  <c r="H31" i="12"/>
  <c r="I31" i="12" s="1"/>
  <c r="H28" i="12"/>
  <c r="I28" i="12" s="1"/>
  <c r="H27" i="12"/>
  <c r="I27" i="12" s="1"/>
  <c r="J85" i="1"/>
  <c r="E85" i="1" s="1"/>
  <c r="J86" i="1"/>
  <c r="E86" i="1" s="1"/>
  <c r="J87" i="1"/>
  <c r="E87" i="1" s="1"/>
  <c r="J88" i="1"/>
  <c r="E88" i="1" s="1"/>
  <c r="J89" i="1"/>
  <c r="E89" i="1" s="1"/>
  <c r="J90" i="1"/>
  <c r="E90" i="1" s="1"/>
  <c r="J91" i="1"/>
  <c r="E91" i="1" s="1"/>
  <c r="J92" i="1"/>
  <c r="E92" i="1" s="1"/>
  <c r="J93" i="1"/>
  <c r="E93" i="1" s="1"/>
  <c r="J94" i="1"/>
  <c r="E94" i="1" s="1"/>
  <c r="J95" i="1"/>
  <c r="E95" i="1" s="1"/>
  <c r="J96" i="1"/>
  <c r="E96" i="1" s="1"/>
  <c r="J97" i="1"/>
  <c r="E97" i="1" s="1"/>
  <c r="J98" i="1"/>
  <c r="E98" i="1" s="1"/>
  <c r="J99" i="1"/>
  <c r="E99" i="1" s="1"/>
  <c r="J100" i="1"/>
  <c r="E100" i="1" s="1"/>
  <c r="J101" i="1"/>
  <c r="E101" i="1" s="1"/>
  <c r="J102" i="1"/>
  <c r="E102" i="1" s="1"/>
  <c r="J76" i="1"/>
  <c r="E76" i="1" s="1"/>
  <c r="J77" i="1"/>
  <c r="E77" i="1" s="1"/>
  <c r="J78" i="1"/>
  <c r="E78" i="1" s="1"/>
  <c r="J84" i="1"/>
  <c r="E84" i="1" s="1"/>
  <c r="J83" i="1"/>
  <c r="E83" i="1" s="1"/>
  <c r="J82" i="1"/>
  <c r="E82" i="1" s="1"/>
  <c r="J81" i="1"/>
  <c r="E81" i="1" s="1"/>
  <c r="J80" i="1"/>
  <c r="E80" i="1" s="1"/>
  <c r="J79" i="1"/>
  <c r="E79" i="1" s="1"/>
  <c r="D129" i="8" l="1"/>
  <c r="D130" i="8"/>
  <c r="D131" i="8"/>
  <c r="D132" i="8"/>
  <c r="D133" i="8"/>
  <c r="D134" i="8"/>
  <c r="D128" i="8"/>
  <c r="J70" i="1" l="1"/>
  <c r="E70" i="1" s="1"/>
  <c r="J71" i="1"/>
  <c r="E71" i="1" s="1"/>
  <c r="J72" i="1"/>
  <c r="E72" i="1" s="1"/>
  <c r="J73" i="1"/>
  <c r="E73" i="1" s="1"/>
  <c r="J74" i="1"/>
  <c r="E74" i="1" s="1"/>
  <c r="J75" i="1"/>
  <c r="E75" i="1" s="1"/>
  <c r="J69" i="1"/>
  <c r="E69" i="1" s="1"/>
  <c r="J68" i="1"/>
  <c r="E68" i="1" s="1"/>
  <c r="J67" i="1"/>
  <c r="E67" i="1" s="1"/>
  <c r="J59" i="1"/>
  <c r="E59" i="1" s="1"/>
  <c r="J60" i="1"/>
  <c r="E60" i="1" s="1"/>
  <c r="J61" i="1"/>
  <c r="E61" i="1" s="1"/>
  <c r="J62" i="1"/>
  <c r="E62" i="1" s="1"/>
  <c r="J63" i="1"/>
  <c r="E63" i="1" s="1"/>
  <c r="J64" i="1"/>
  <c r="E64" i="1" s="1"/>
  <c r="J65" i="1"/>
  <c r="E65" i="1" s="1"/>
  <c r="J66" i="1"/>
  <c r="E66" i="1" s="1"/>
  <c r="D3" i="9"/>
  <c r="D4" i="9"/>
  <c r="D5" i="9"/>
  <c r="D2" i="9"/>
  <c r="J58" i="1"/>
  <c r="E58" i="1" s="1"/>
  <c r="J100" i="8"/>
  <c r="H100" i="8"/>
  <c r="G100" i="8"/>
  <c r="F100" i="8"/>
  <c r="D100" i="8"/>
  <c r="C100" i="8"/>
  <c r="B100" i="8"/>
  <c r="J96" i="8"/>
  <c r="I96" i="8"/>
  <c r="H96" i="8"/>
  <c r="G96" i="8"/>
  <c r="F96" i="8"/>
  <c r="E96" i="8"/>
  <c r="D96" i="8"/>
  <c r="C96" i="8"/>
  <c r="B96" i="8"/>
  <c r="B7" i="8"/>
  <c r="B8" i="8"/>
  <c r="B9" i="8"/>
  <c r="B10" i="8"/>
  <c r="B11" i="8"/>
  <c r="B12" i="8"/>
  <c r="B6" i="8"/>
  <c r="B5" i="8"/>
  <c r="G5" i="8"/>
  <c r="E7" i="8"/>
  <c r="D7" i="8" s="1"/>
  <c r="G7" i="8" s="1"/>
  <c r="E8" i="8"/>
  <c r="D8" i="8" s="1"/>
  <c r="G8" i="8" s="1"/>
  <c r="E9" i="8"/>
  <c r="D9" i="8" s="1"/>
  <c r="G9" i="8" s="1"/>
  <c r="E10" i="8"/>
  <c r="D10" i="8" s="1"/>
  <c r="G10" i="8" s="1"/>
  <c r="E11" i="8"/>
  <c r="D11" i="8" s="1"/>
  <c r="G11" i="8" s="1"/>
  <c r="E12" i="8"/>
  <c r="D12" i="8" s="1"/>
  <c r="G12" i="8" s="1"/>
  <c r="E6" i="8"/>
  <c r="D6" i="8" s="1"/>
  <c r="G6" i="8" s="1"/>
  <c r="J113" i="8" l="1"/>
  <c r="D122" i="8" s="1"/>
  <c r="C113" i="8"/>
  <c r="C120" i="8" s="1"/>
  <c r="F109" i="8"/>
  <c r="F113" i="8"/>
  <c r="D119" i="8" s="1"/>
  <c r="G109" i="8"/>
  <c r="B113" i="8"/>
  <c r="C119" i="8" s="1"/>
  <c r="G113" i="8"/>
  <c r="D120" i="8" s="1"/>
  <c r="H113" i="8"/>
  <c r="D121" i="8" s="1"/>
  <c r="B109" i="8"/>
  <c r="H109" i="8"/>
  <c r="E109" i="8"/>
  <c r="I109" i="8"/>
  <c r="D113" i="8"/>
  <c r="C121" i="8" s="1"/>
  <c r="S62" i="4"/>
  <c r="R86" i="4"/>
  <c r="R85" i="4"/>
  <c r="R84" i="4"/>
  <c r="Q86" i="4"/>
  <c r="Q85" i="4"/>
  <c r="Q84" i="4"/>
  <c r="B46" i="4"/>
  <c r="S58" i="4" s="1"/>
  <c r="F46" i="4"/>
  <c r="W58" i="4" s="1"/>
  <c r="E24" i="6"/>
  <c r="E36" i="5" l="1"/>
  <c r="N20" i="5"/>
  <c r="N19" i="5"/>
  <c r="N18" i="5"/>
  <c r="N17" i="5"/>
  <c r="N16" i="5"/>
  <c r="N15" i="5"/>
  <c r="E2" i="6" l="1"/>
  <c r="J52" i="1" l="1"/>
  <c r="E52" i="1" s="1"/>
  <c r="J53" i="1"/>
  <c r="E53" i="1" s="1"/>
  <c r="J54" i="1"/>
  <c r="E54" i="1" s="1"/>
  <c r="J55" i="1"/>
  <c r="E55" i="1" s="1"/>
  <c r="J56" i="1"/>
  <c r="E56" i="1" s="1"/>
  <c r="J57" i="1"/>
  <c r="E57" i="1" s="1"/>
  <c r="J51" i="1"/>
  <c r="E51" i="1" s="1"/>
  <c r="J50" i="1"/>
  <c r="E50" i="1" s="1"/>
  <c r="J42" i="1" l="1"/>
  <c r="E42" i="1" s="1"/>
  <c r="J43" i="1"/>
  <c r="E43" i="1" s="1"/>
  <c r="J44" i="1"/>
  <c r="E44" i="1" s="1"/>
  <c r="J45" i="1"/>
  <c r="E45" i="1" s="1"/>
  <c r="J46" i="1"/>
  <c r="E46" i="1" s="1"/>
  <c r="J47" i="1"/>
  <c r="E47" i="1" s="1"/>
  <c r="J48" i="1"/>
  <c r="E48" i="1" s="1"/>
  <c r="J49" i="1"/>
  <c r="E49" i="1" s="1"/>
  <c r="P37" i="1"/>
  <c r="Q37" i="1"/>
  <c r="P38" i="1"/>
  <c r="Q38" i="1"/>
  <c r="P39" i="1"/>
  <c r="Q39" i="1"/>
  <c r="P40" i="1"/>
  <c r="Q40" i="1"/>
  <c r="E5" i="3" l="1"/>
  <c r="E4" i="3"/>
  <c r="E3" i="3"/>
  <c r="E35" i="3"/>
  <c r="E36" i="3"/>
  <c r="E37" i="3"/>
  <c r="J36" i="1"/>
  <c r="J37" i="1"/>
  <c r="E37" i="1" s="1"/>
  <c r="J38" i="1"/>
  <c r="J39" i="1"/>
  <c r="E39" i="1" s="1"/>
  <c r="J40" i="1"/>
  <c r="E40" i="1" s="1"/>
  <c r="J41" i="1"/>
  <c r="E41" i="1" s="1"/>
  <c r="E38" i="1"/>
  <c r="E36" i="1" l="1"/>
  <c r="E52" i="4" l="1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G46" i="4"/>
  <c r="X58" i="4" s="1"/>
  <c r="E46" i="4"/>
  <c r="V58" i="4" s="1"/>
  <c r="D46" i="4"/>
  <c r="U58" i="4" s="1"/>
  <c r="C46" i="4"/>
  <c r="T58" i="4" s="1"/>
  <c r="B59" i="4" l="1"/>
  <c r="B70" i="4" s="1"/>
  <c r="J59" i="4"/>
  <c r="J70" i="4" s="1"/>
  <c r="S60" i="4"/>
  <c r="B61" i="4"/>
  <c r="B72" i="4" s="1"/>
  <c r="J61" i="4"/>
  <c r="J72" i="4" s="1"/>
  <c r="B63" i="4"/>
  <c r="B74" i="4" s="1"/>
  <c r="S64" i="4"/>
  <c r="J63" i="4"/>
  <c r="J74" i="4" s="1"/>
  <c r="C58" i="4"/>
  <c r="C69" i="4" s="1"/>
  <c r="K58" i="4"/>
  <c r="K69" i="4" s="1"/>
  <c r="T59" i="4"/>
  <c r="C60" i="4"/>
  <c r="C71" i="4" s="1"/>
  <c r="K60" i="4"/>
  <c r="K71" i="4" s="1"/>
  <c r="T61" i="4"/>
  <c r="C62" i="4"/>
  <c r="C73" i="4" s="1"/>
  <c r="T63" i="4"/>
  <c r="K62" i="4"/>
  <c r="K73" i="4" s="1"/>
  <c r="D59" i="4"/>
  <c r="D70" i="4" s="1"/>
  <c r="U60" i="4"/>
  <c r="L59" i="4"/>
  <c r="L70" i="4" s="1"/>
  <c r="D61" i="4"/>
  <c r="D72" i="4" s="1"/>
  <c r="L61" i="4"/>
  <c r="L72" i="4" s="1"/>
  <c r="D62" i="4"/>
  <c r="D73" i="4" s="1"/>
  <c r="U63" i="4"/>
  <c r="L62" i="4"/>
  <c r="L73" i="4" s="1"/>
  <c r="D63" i="4"/>
  <c r="D74" i="4" s="1"/>
  <c r="U64" i="4"/>
  <c r="L63" i="4"/>
  <c r="L74" i="4" s="1"/>
  <c r="S59" i="4"/>
  <c r="J58" i="4"/>
  <c r="J69" i="4" s="1"/>
  <c r="B58" i="4"/>
  <c r="B69" i="4" s="1"/>
  <c r="B60" i="4"/>
  <c r="B71" i="4" s="1"/>
  <c r="S61" i="4"/>
  <c r="J60" i="4"/>
  <c r="J71" i="4" s="1"/>
  <c r="B62" i="4"/>
  <c r="B73" i="4" s="1"/>
  <c r="S63" i="4"/>
  <c r="J62" i="4"/>
  <c r="J73" i="4" s="1"/>
  <c r="C59" i="4"/>
  <c r="C70" i="4" s="1"/>
  <c r="K59" i="4"/>
  <c r="K70" i="4" s="1"/>
  <c r="T60" i="4"/>
  <c r="C61" i="4"/>
  <c r="C72" i="4" s="1"/>
  <c r="K61" i="4"/>
  <c r="K72" i="4" s="1"/>
  <c r="C63" i="4"/>
  <c r="C74" i="4" s="1"/>
  <c r="T64" i="4"/>
  <c r="K63" i="4"/>
  <c r="K74" i="4" s="1"/>
  <c r="D58" i="4"/>
  <c r="D69" i="4" s="1"/>
  <c r="U59" i="4"/>
  <c r="L58" i="4"/>
  <c r="L69" i="4" s="1"/>
  <c r="D60" i="4"/>
  <c r="D71" i="4" s="1"/>
  <c r="L60" i="4"/>
  <c r="L71" i="4" s="1"/>
  <c r="U61" i="4"/>
  <c r="V59" i="4"/>
  <c r="E58" i="4"/>
  <c r="E69" i="4" s="1"/>
  <c r="M58" i="4"/>
  <c r="M69" i="4" s="1"/>
  <c r="E59" i="4"/>
  <c r="E70" i="4" s="1"/>
  <c r="V60" i="4"/>
  <c r="M59" i="4"/>
  <c r="M70" i="4" s="1"/>
  <c r="E60" i="4"/>
  <c r="E71" i="4" s="1"/>
  <c r="V61" i="4"/>
  <c r="M60" i="4"/>
  <c r="M71" i="4" s="1"/>
  <c r="E61" i="4"/>
  <c r="E72" i="4" s="1"/>
  <c r="M61" i="4"/>
  <c r="M72" i="4" s="1"/>
  <c r="E62" i="4"/>
  <c r="E73" i="4" s="1"/>
  <c r="V63" i="4"/>
  <c r="M62" i="4"/>
  <c r="M73" i="4" s="1"/>
  <c r="E63" i="4"/>
  <c r="E74" i="4" s="1"/>
  <c r="V64" i="4"/>
  <c r="M63" i="4"/>
  <c r="M74" i="4" s="1"/>
  <c r="D9" i="2"/>
  <c r="D8" i="2"/>
  <c r="D7" i="2"/>
  <c r="E22" i="1"/>
  <c r="E23" i="1"/>
  <c r="E24" i="1"/>
  <c r="E25" i="1"/>
  <c r="E26" i="1"/>
  <c r="E27" i="1"/>
  <c r="E28" i="1"/>
  <c r="E29" i="1"/>
  <c r="J31" i="1"/>
  <c r="E31" i="1" s="1"/>
  <c r="J32" i="1"/>
  <c r="E32" i="1" s="1"/>
  <c r="J33" i="1"/>
  <c r="E33" i="1" s="1"/>
  <c r="J34" i="1"/>
  <c r="E34" i="1" s="1"/>
  <c r="J35" i="1"/>
  <c r="E35" i="1" s="1"/>
  <c r="J30" i="1"/>
  <c r="E30" i="1" s="1"/>
</calcChain>
</file>

<file path=xl/sharedStrings.xml><?xml version="1.0" encoding="utf-8"?>
<sst xmlns="http://schemas.openxmlformats.org/spreadsheetml/2006/main" count="1509" uniqueCount="301">
  <si>
    <t>User: USER</t>
  </si>
  <si>
    <t>Path: C:\Program Files (x86)\BMG\SPECTROstar Nano\User\Data\</t>
  </si>
  <si>
    <t>Test ID: 3975</t>
  </si>
  <si>
    <t>Test Name: Bradford</t>
  </si>
  <si>
    <t>Date: 6/04/2021</t>
  </si>
  <si>
    <t>Time: 15:56:18</t>
  </si>
  <si>
    <t>Absorbance spectrum</t>
  </si>
  <si>
    <t>Absorbance values are displayed as OD</t>
  </si>
  <si>
    <t>A</t>
  </si>
  <si>
    <t>80 µg/ml</t>
  </si>
  <si>
    <t>40  µg/ml</t>
  </si>
  <si>
    <t>20  µg/ml</t>
  </si>
  <si>
    <t>10  µg/ml</t>
  </si>
  <si>
    <t>5  µg/ml</t>
  </si>
  <si>
    <t>0  µg/ml</t>
  </si>
  <si>
    <t>B</t>
  </si>
  <si>
    <t>10x</t>
  </si>
  <si>
    <t>100x</t>
  </si>
  <si>
    <t>1000x</t>
  </si>
  <si>
    <t>5x</t>
  </si>
  <si>
    <t>C</t>
  </si>
  <si>
    <t>D</t>
  </si>
  <si>
    <t>E</t>
  </si>
  <si>
    <t>F</t>
  </si>
  <si>
    <t>G</t>
  </si>
  <si>
    <t>H</t>
  </si>
  <si>
    <t>2. Protein 595 (595)</t>
  </si>
  <si>
    <t>REGRESSIEVGL</t>
  </si>
  <si>
    <t>y=0.0087+0.1413</t>
  </si>
  <si>
    <t>µg/ml</t>
  </si>
  <si>
    <t>OD</t>
  </si>
  <si>
    <t>BSA</t>
  </si>
  <si>
    <t>APOA</t>
  </si>
  <si>
    <t>RK</t>
  </si>
  <si>
    <t>APOB</t>
  </si>
  <si>
    <t>APOC</t>
  </si>
  <si>
    <t>PJ</t>
  </si>
  <si>
    <t>min blanco</t>
  </si>
  <si>
    <t>RAKIE BRADFORD</t>
  </si>
  <si>
    <t>PJ BRADFORD</t>
  </si>
  <si>
    <t>y=0.0087x+0.1413</t>
  </si>
  <si>
    <t>y=0.0259-0.0002</t>
  </si>
  <si>
    <t>OD relatief TOV APOA RAKIE</t>
  </si>
  <si>
    <t>stock:</t>
  </si>
  <si>
    <t>concentrations determined via nanodrop (ug/ml)</t>
  </si>
  <si>
    <t>Apo1</t>
  </si>
  <si>
    <t>Apo2</t>
  </si>
  <si>
    <t>Apo3</t>
  </si>
  <si>
    <t>VERHOUDING</t>
  </si>
  <si>
    <t>y = 0,0259x - 0,0002</t>
  </si>
  <si>
    <t>BSA (100 µg/mg)</t>
  </si>
  <si>
    <t>APO1</t>
  </si>
  <si>
    <t>APO2</t>
  </si>
  <si>
    <t>APO3</t>
  </si>
  <si>
    <t>1. Linear regression fit based on Protein 595 (595)</t>
  </si>
  <si>
    <t>ODapo2-&gt;3</t>
  </si>
  <si>
    <t>BSA concentratie (µg/ml)</t>
  </si>
  <si>
    <t>BSA OD</t>
  </si>
  <si>
    <t>OD genormaliseerd</t>
  </si>
  <si>
    <t>conc in Bradford assay (µg/ml)</t>
  </si>
  <si>
    <t>echte concentratie (µg/ml)</t>
  </si>
  <si>
    <t>Apo1 (RAKIE)</t>
  </si>
  <si>
    <t>blanco</t>
  </si>
  <si>
    <t>1/10000</t>
  </si>
  <si>
    <t>1/1000</t>
  </si>
  <si>
    <t>1/100</t>
  </si>
  <si>
    <t>100 µl (puur)=1/10</t>
  </si>
  <si>
    <t>Protein concentration  (µg/ml)</t>
  </si>
  <si>
    <t>DHDPSA</t>
  </si>
  <si>
    <t>1/10</t>
  </si>
  <si>
    <t>DHDPSB</t>
  </si>
  <si>
    <t>DHDPSC</t>
  </si>
  <si>
    <t xml:space="preserve">  </t>
  </si>
  <si>
    <t>verdunning</t>
  </si>
  <si>
    <t>echte concentratie Apo1 (RAKIE)(µg/ml)</t>
  </si>
  <si>
    <t>echte concentratie APO1 (µg/ml)</t>
  </si>
  <si>
    <t>echte concentratie APO2 (µg/ml)</t>
  </si>
  <si>
    <t>echte concentratie APO3 (µg/ml)</t>
  </si>
  <si>
    <t>120,4633</t>
  </si>
  <si>
    <t>eindconc</t>
  </si>
  <si>
    <t>STOCK BSA (µg/µl)</t>
  </si>
  <si>
    <t>595 nm</t>
  </si>
  <si>
    <t>1:5</t>
  </si>
  <si>
    <t>onverdund</t>
  </si>
  <si>
    <t>VOORBEELDEN=</t>
  </si>
  <si>
    <t>BSA (mg/ml)</t>
  </si>
  <si>
    <t>BSA µg per reactie</t>
  </si>
  <si>
    <t>VOL Bradford (µl)</t>
  </si>
  <si>
    <t>VOL BSA (µl)</t>
  </si>
  <si>
    <t>VERDUNNING</t>
  </si>
  <si>
    <t>STOCK BSA (mg/ml)</t>
  </si>
  <si>
    <t>Vol H2O (µl)</t>
  </si>
  <si>
    <t>OD1</t>
  </si>
  <si>
    <t>OD2</t>
  </si>
  <si>
    <t>OD3</t>
  </si>
  <si>
    <t>PJ 3-&gt;2.1</t>
  </si>
  <si>
    <t>PLATE</t>
  </si>
  <si>
    <t>ng BSA/reac</t>
  </si>
  <si>
    <t>herhaling 1</t>
  </si>
  <si>
    <t>herhaling 2</t>
  </si>
  <si>
    <t>herhaling 3</t>
  </si>
  <si>
    <t>*</t>
  </si>
  <si>
    <t>RK_APOA</t>
  </si>
  <si>
    <t>PJ_APOA</t>
  </si>
  <si>
    <t>RK_APOB</t>
  </si>
  <si>
    <t>PJ_APOB</t>
  </si>
  <si>
    <t xml:space="preserve"> </t>
  </si>
  <si>
    <t>onverd</t>
  </si>
  <si>
    <t>RK_APOC</t>
  </si>
  <si>
    <t>PJ_APOC</t>
  </si>
  <si>
    <t>PJ_2-&gt;3.1</t>
  </si>
  <si>
    <t>eiwit: 0.4 mg/ml</t>
  </si>
  <si>
    <t>VOLUME = 1ml</t>
  </si>
  <si>
    <t>Stock BSA = 20 mg/ml = 20 µg/µl</t>
  </si>
  <si>
    <t xml:space="preserve">verdunnen naar </t>
  </si>
  <si>
    <t>https://line.17qq.com/articles/cdklhndlpv.html</t>
  </si>
  <si>
    <t>Test ID: 4043</t>
  </si>
  <si>
    <t>Date: 6/05/2021</t>
  </si>
  <si>
    <t>Time: 15:02:59</t>
  </si>
  <si>
    <t>n.a.</t>
  </si>
  <si>
    <t>BL</t>
  </si>
  <si>
    <t>REP1</t>
  </si>
  <si>
    <t>REP2</t>
  </si>
  <si>
    <t>REP3</t>
  </si>
  <si>
    <t>APOA RK</t>
  </si>
  <si>
    <t>APOB RK</t>
  </si>
  <si>
    <t>APOC RK</t>
  </si>
  <si>
    <t>APOA PJ</t>
  </si>
  <si>
    <t>APOB PJ</t>
  </si>
  <si>
    <t>APOC Pj</t>
  </si>
  <si>
    <t>2-&gt;3 PJ</t>
  </si>
  <si>
    <t>GEMIDDELDE</t>
  </si>
  <si>
    <t>min blanko</t>
  </si>
  <si>
    <t>CONC (µg/ml)</t>
  </si>
  <si>
    <t>=(B113-0.0049)/0.0196*10</t>
  </si>
  <si>
    <t>2-&gt;3.1</t>
  </si>
  <si>
    <t>NA</t>
  </si>
  <si>
    <t>RK&amp;PJ</t>
  </si>
  <si>
    <t>BRAD 15/05</t>
  </si>
  <si>
    <t>APOA.2</t>
  </si>
  <si>
    <t>1-&gt;2</t>
  </si>
  <si>
    <t>1-&gt;3</t>
  </si>
  <si>
    <t>1-&gt;S 68</t>
  </si>
  <si>
    <t>2-&gt;1</t>
  </si>
  <si>
    <t>2-&gt;3</t>
  </si>
  <si>
    <t>3-&gt;2</t>
  </si>
  <si>
    <t>CONC ref</t>
  </si>
  <si>
    <t>protein conc stock (mg/ml)</t>
  </si>
  <si>
    <t>DATE</t>
  </si>
  <si>
    <t>SPECIFIC ACTIVITY (units/mg protein x min)</t>
  </si>
  <si>
    <t>dA</t>
  </si>
  <si>
    <t>time (min)</t>
  </si>
  <si>
    <t xml:space="preserve">protein </t>
  </si>
  <si>
    <t>researcher</t>
  </si>
  <si>
    <t>protein conc (mg/ml)</t>
  </si>
  <si>
    <t>Volume enzyme (ml)</t>
  </si>
  <si>
    <t>protocol</t>
  </si>
  <si>
    <t>PLAAT</t>
  </si>
  <si>
    <t>Lys µM</t>
  </si>
  <si>
    <t>GmDHDPSA</t>
  </si>
  <si>
    <t>Artikel</t>
  </si>
  <si>
    <t>A1</t>
  </si>
  <si>
    <t>B1</t>
  </si>
  <si>
    <t>BRAM1 (+oABA meteen)</t>
  </si>
  <si>
    <t>A2</t>
  </si>
  <si>
    <t>B2</t>
  </si>
  <si>
    <t>BRAM1 (+oABA nadien met TCA)</t>
  </si>
  <si>
    <t>A3</t>
  </si>
  <si>
    <t>B3</t>
  </si>
  <si>
    <t>BRAM + o-ABA meteen</t>
  </si>
  <si>
    <t>C1</t>
  </si>
  <si>
    <t>D1</t>
  </si>
  <si>
    <t>PsDHDPSB</t>
  </si>
  <si>
    <t>C2</t>
  </si>
  <si>
    <t>D2</t>
  </si>
  <si>
    <t>GmDHDPSC</t>
  </si>
  <si>
    <t>C3</t>
  </si>
  <si>
    <t>D3</t>
  </si>
  <si>
    <t>C7</t>
  </si>
  <si>
    <t>D7</t>
  </si>
  <si>
    <t>C8</t>
  </si>
  <si>
    <t>D8</t>
  </si>
  <si>
    <t>C9</t>
  </si>
  <si>
    <t>D9</t>
  </si>
  <si>
    <t>E4</t>
  </si>
  <si>
    <t>E5</t>
  </si>
  <si>
    <t>E6</t>
  </si>
  <si>
    <t>F4</t>
  </si>
  <si>
    <t>G4</t>
  </si>
  <si>
    <t>G5</t>
  </si>
  <si>
    <t>G6</t>
  </si>
  <si>
    <t>BRAM + o-ABA meteen, ASA laatst</t>
  </si>
  <si>
    <t>H4</t>
  </si>
  <si>
    <t>BRAM + o-ABA meteen, Lys voor eiwit</t>
  </si>
  <si>
    <t>E1</t>
  </si>
  <si>
    <t>F1</t>
  </si>
  <si>
    <t>G1</t>
  </si>
  <si>
    <t>E2</t>
  </si>
  <si>
    <t>F2</t>
  </si>
  <si>
    <t>G2</t>
  </si>
  <si>
    <t>A8</t>
  </si>
  <si>
    <t>B8</t>
  </si>
  <si>
    <t>A7</t>
  </si>
  <si>
    <t>B7</t>
  </si>
  <si>
    <t>BRAM + o-ABA meteen, eiwit laatst</t>
  </si>
  <si>
    <t>GmDHDPSC&gt;B</t>
  </si>
  <si>
    <t>BRADFORD3</t>
  </si>
  <si>
    <t>min blanco en min zonder eiwit +ASA</t>
  </si>
  <si>
    <t>0 mM lysine</t>
  </si>
  <si>
    <t>0,15 mM lysine</t>
  </si>
  <si>
    <t>5 mM lysine</t>
  </si>
  <si>
    <t>zonder AEC</t>
  </si>
  <si>
    <t>Zonder enzym</t>
  </si>
  <si>
    <t>0 mM Lys</t>
  </si>
  <si>
    <t>5 mM Lys</t>
  </si>
  <si>
    <t>mM Lys</t>
  </si>
  <si>
    <t>1:1</t>
  </si>
  <si>
    <t>1:10</t>
  </si>
  <si>
    <t>1:100</t>
  </si>
  <si>
    <t>Specific Activity</t>
  </si>
  <si>
    <t>50 ng protein per reaction, all isoforms</t>
  </si>
  <si>
    <t>0 µM Lys</t>
  </si>
  <si>
    <t>% inhibition</t>
  </si>
  <si>
    <t>100 ng protein per reaction, all isoforms</t>
  </si>
  <si>
    <t>inhibitie</t>
  </si>
  <si>
    <t>150 µM Lys</t>
  </si>
  <si>
    <t>5mM Lys</t>
  </si>
  <si>
    <t>0,15 mM lys</t>
  </si>
  <si>
    <t>A1-&gt;2</t>
  </si>
  <si>
    <t>A1-&gt;3</t>
  </si>
  <si>
    <t>A1-&gt;S</t>
  </si>
  <si>
    <t>A2-&gt;1</t>
  </si>
  <si>
    <t>A2-&gt;3</t>
  </si>
  <si>
    <t>A3-&gt;2</t>
  </si>
  <si>
    <t>0 uM Lysine</t>
  </si>
  <si>
    <r>
      <t xml:space="preserve">150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 Lysine</t>
    </r>
  </si>
  <si>
    <t>5 mM</t>
  </si>
  <si>
    <t>% geinhibeerd</t>
  </si>
  <si>
    <t>5 mM Lysine</t>
  </si>
  <si>
    <t>150 μM Lysine</t>
  </si>
  <si>
    <t>Trial 1</t>
  </si>
  <si>
    <t xml:space="preserve">Trial 2 </t>
  </si>
  <si>
    <t>Trial 3</t>
  </si>
  <si>
    <t>Lys conc (uM)</t>
  </si>
  <si>
    <t>Standaarddeviation</t>
  </si>
  <si>
    <t>Average</t>
  </si>
  <si>
    <t>remaining activity</t>
  </si>
  <si>
    <t>1 replicate</t>
  </si>
  <si>
    <t xml:space="preserve">ApoA </t>
  </si>
  <si>
    <t>2 replicates</t>
  </si>
  <si>
    <t>ApoA-&gt;S</t>
  </si>
  <si>
    <t>ApoA</t>
  </si>
  <si>
    <t>ApoA-&gt;B</t>
  </si>
  <si>
    <t>ApoA-&gt;C</t>
  </si>
  <si>
    <t>ApoB</t>
  </si>
  <si>
    <t>ApoB-&gt;A</t>
  </si>
  <si>
    <t>ApoC</t>
  </si>
  <si>
    <t>ApoC-&gt;B</t>
  </si>
  <si>
    <t>0 μM Lysine</t>
  </si>
  <si>
    <t>fout gebeurd bij 0 μM lysine</t>
  </si>
  <si>
    <t>ApoB-&gt;C</t>
  </si>
  <si>
    <t>0 mM</t>
  </si>
  <si>
    <t>A-S</t>
  </si>
  <si>
    <t>Mean</t>
  </si>
  <si>
    <r>
      <t xml:space="preserve">S. Aureus </t>
    </r>
    <r>
      <rPr>
        <sz val="11"/>
        <color theme="1"/>
        <rFont val="Calibri"/>
        <family val="2"/>
        <scheme val="minor"/>
      </rPr>
      <t>DapA</t>
    </r>
  </si>
  <si>
    <t>stdv</t>
  </si>
  <si>
    <t>ApoA-&gt;Ser</t>
  </si>
  <si>
    <t>mean</t>
  </si>
  <si>
    <t>stdev</t>
  </si>
  <si>
    <t>Remaining activity</t>
  </si>
  <si>
    <t>x</t>
  </si>
  <si>
    <t>A4</t>
  </si>
  <si>
    <t>Sau</t>
  </si>
  <si>
    <t>T-&gt;S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</si>
  <si>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</si>
  <si>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</si>
  <si>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</si>
  <si>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</si>
  <si>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</si>
  <si>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</si>
  <si>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</si>
  <si>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</si>
  <si>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</si>
  <si>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</si>
  <si>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</si>
  <si>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F5</t>
  </si>
  <si>
    <t>F6</t>
  </si>
  <si>
    <t>H5</t>
  </si>
  <si>
    <t>H6</t>
  </si>
  <si>
    <t>protocol en volgorde</t>
  </si>
  <si>
    <t>BRAM (water, HEPES, NaPyr, water, Lys, o-ABA, eiwit)</t>
  </si>
  <si>
    <t>150 µM</t>
  </si>
  <si>
    <t>Sa</t>
  </si>
  <si>
    <t>gem</t>
  </si>
  <si>
    <t>SE</t>
  </si>
  <si>
    <t>mean of APoA</t>
  </si>
  <si>
    <t>SE of A</t>
  </si>
  <si>
    <t>GmDHDPSA-H80K</t>
  </si>
  <si>
    <t>GmDHDPSA-H80Q</t>
  </si>
  <si>
    <t>GmDHDPS-A</t>
  </si>
  <si>
    <t>GmDHDPS-A-H80K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</si>
</sst>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16" fontId="0" fillId="0" borderId="0" xfId="0" applyNumberFormat="1"/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/>
    <xf numFmtId="164" fontId="3" fillId="2" borderId="1" xfId="0" applyNumberFormat="1" applyFont="1" applyFill="1" applyBorder="1" applyAlignment="1">
      <alignment horizontal="center"/>
    </xf>
    <xf numFmtId="0" fontId="0" fillId="0" borderId="1" xfId="0" quotePrefix="1" applyBorder="1"/>
    <xf numFmtId="0" fontId="0" fillId="3" borderId="0" xfId="0" applyFill="1"/>
    <xf numFmtId="164" fontId="0" fillId="4" borderId="1" xfId="0" applyNumberFormat="1" applyFill="1" applyBorder="1"/>
    <xf numFmtId="0" fontId="0" fillId="4" borderId="1" xfId="0" applyFill="1" applyBorder="1"/>
    <xf numFmtId="0" fontId="0" fillId="4" borderId="1" xfId="0" quotePrefix="1" applyFill="1" applyBorder="1"/>
    <xf numFmtId="0" fontId="0" fillId="0" borderId="0" xfId="0" quotePrefix="1"/>
    <xf numFmtId="9" fontId="0" fillId="0" borderId="0" xfId="1" applyFon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0" borderId="0" xfId="0" applyFont="1"/>
    <xf numFmtId="1" fontId="0" fillId="0" borderId="1" xfId="0" applyNumberFormat="1" applyBorder="1" applyAlignment="1">
      <alignment horizontal="center"/>
    </xf>
    <xf numFmtId="0" fontId="0" fillId="0" borderId="7" xfId="0" applyFill="1" applyBorder="1"/>
    <xf numFmtId="165" fontId="0" fillId="4" borderId="1" xfId="0" applyNumberFormat="1" applyFill="1" applyBorder="1"/>
    <xf numFmtId="165" fontId="0" fillId="4" borderId="7" xfId="0" applyNumberFormat="1" applyFill="1" applyBorder="1"/>
    <xf numFmtId="0" fontId="0" fillId="5" borderId="0" xfId="0" applyFill="1"/>
    <xf numFmtId="0" fontId="0" fillId="6" borderId="0" xfId="0" applyFill="1"/>
    <xf numFmtId="0" fontId="3" fillId="2" borderId="2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1" fontId="0" fillId="0" borderId="0" xfId="0" applyNumberFormat="1"/>
    <xf numFmtId="165" fontId="0" fillId="0" borderId="0" xfId="0" applyNumberFormat="1"/>
    <xf numFmtId="165" fontId="0" fillId="0" borderId="3" xfId="0" applyNumberFormat="1" applyBorder="1" applyAlignment="1">
      <alignment horizontal="right"/>
    </xf>
    <xf numFmtId="2" fontId="0" fillId="0" borderId="0" xfId="0" applyNumberFormat="1"/>
    <xf numFmtId="0" fontId="0" fillId="0" borderId="9" xfId="0" applyBorder="1" applyAlignment="1">
      <alignment horizontal="right"/>
    </xf>
    <xf numFmtId="16" fontId="0" fillId="0" borderId="4" xfId="0" quotePrefix="1" applyNumberFormat="1" applyBorder="1" applyAlignment="1">
      <alignment horizontal="right"/>
    </xf>
    <xf numFmtId="0" fontId="0" fillId="0" borderId="10" xfId="0" applyBorder="1" applyAlignment="1">
      <alignment horizontal="right"/>
    </xf>
    <xf numFmtId="16" fontId="0" fillId="0" borderId="0" xfId="0" quotePrefix="1" applyNumberFormat="1"/>
    <xf numFmtId="165" fontId="0" fillId="2" borderId="2" xfId="0" applyNumberFormat="1" applyFill="1" applyBorder="1" applyAlignment="1">
      <alignment horizontal="right"/>
    </xf>
    <xf numFmtId="166" fontId="0" fillId="0" borderId="0" xfId="0" applyNumberFormat="1" applyFont="1"/>
    <xf numFmtId="9" fontId="0" fillId="2" borderId="2" xfId="1" applyFont="1" applyFill="1" applyBorder="1" applyAlignment="1">
      <alignment horizontal="right"/>
    </xf>
    <xf numFmtId="0" fontId="0" fillId="0" borderId="1" xfId="0" applyFill="1" applyBorder="1"/>
    <xf numFmtId="0" fontId="0" fillId="2" borderId="1" xfId="0" applyFill="1" applyBorder="1"/>
    <xf numFmtId="14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0" fillId="0" borderId="0" xfId="0" applyFont="1"/>
    <xf numFmtId="0" fontId="0" fillId="0" borderId="0" xfId="0" applyBorder="1" applyAlignment="1">
      <alignment horizontal="right"/>
    </xf>
    <xf numFmtId="17" fontId="0" fillId="0" borderId="6" xfId="0" quotePrefix="1" applyNumberForma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165" fontId="0" fillId="0" borderId="4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7" xfId="0" applyBorder="1"/>
    <xf numFmtId="0" fontId="0" fillId="4" borderId="11" xfId="0" applyFill="1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3" xfId="0" applyFill="1" applyBorder="1"/>
    <xf numFmtId="14" fontId="0" fillId="0" borderId="14" xfId="0" applyNumberFormat="1" applyBorder="1"/>
    <xf numFmtId="0" fontId="0" fillId="0" borderId="14" xfId="0" applyBorder="1"/>
    <xf numFmtId="0" fontId="0" fillId="4" borderId="15" xfId="0" applyFill="1" applyBorder="1"/>
    <xf numFmtId="0" fontId="0" fillId="0" borderId="15" xfId="0" applyBorder="1"/>
    <xf numFmtId="165" fontId="0" fillId="4" borderId="13" xfId="0" applyNumberFormat="1" applyFill="1" applyBorder="1"/>
    <xf numFmtId="0" fontId="0" fillId="0" borderId="15" xfId="0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17" xfId="0" applyBorder="1"/>
    <xf numFmtId="14" fontId="0" fillId="0" borderId="0" xfId="0" applyNumberFormat="1" applyBorder="1"/>
    <xf numFmtId="0" fontId="0" fillId="0" borderId="18" xfId="0" applyFill="1" applyBorder="1" applyAlignment="1">
      <alignment wrapText="1"/>
    </xf>
    <xf numFmtId="0" fontId="0" fillId="0" borderId="19" xfId="0" applyBorder="1"/>
    <xf numFmtId="0" fontId="0" fillId="0" borderId="20" xfId="0" applyFill="1" applyBorder="1"/>
    <xf numFmtId="14" fontId="0" fillId="0" borderId="21" xfId="0" applyNumberFormat="1" applyBorder="1"/>
    <xf numFmtId="0" fontId="0" fillId="0" borderId="21" xfId="0" applyBorder="1"/>
    <xf numFmtId="0" fontId="0" fillId="4" borderId="22" xfId="0" applyFill="1" applyBorder="1"/>
    <xf numFmtId="0" fontId="0" fillId="0" borderId="22" xfId="0" applyBorder="1"/>
    <xf numFmtId="165" fontId="0" fillId="4" borderId="20" xfId="0" applyNumberFormat="1" applyFill="1" applyBorder="1"/>
    <xf numFmtId="0" fontId="0" fillId="0" borderId="22" xfId="0" applyBorder="1" applyAlignment="1">
      <alignment wrapText="1"/>
    </xf>
    <xf numFmtId="0" fontId="0" fillId="0" borderId="23" xfId="0" applyFill="1" applyBorder="1" applyAlignment="1">
      <alignment wrapText="1"/>
    </xf>
    <xf numFmtId="1" fontId="0" fillId="2" borderId="1" xfId="0" applyNumberFormat="1" applyFill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0" borderId="0" xfId="0" applyFill="1" applyBorder="1"/>
    <xf numFmtId="0" fontId="3" fillId="0" borderId="0" xfId="0" applyFont="1"/>
    <xf numFmtId="0" fontId="0" fillId="4" borderId="0" xfId="0" applyFill="1" applyBorder="1"/>
    <xf numFmtId="1" fontId="0" fillId="2" borderId="7" xfId="0" applyNumberForma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BRADFORD RAKIE</a:t>
            </a:r>
          </a:p>
          <a:p>
            <a:pPr>
              <a:defRPr/>
            </a:pP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522843156576323E-2"/>
                  <c:y val="-0.15108317761106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'[1]End point'!$H$29:$H$34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</c:numCache>
            </c:numRef>
          </c:xVal>
          <c:yVal>
            <c:numRef>
              <c:f>'[1]End point'!$I$29:$I$34</c:f>
              <c:numCache>
                <c:formatCode>General</c:formatCode>
                <c:ptCount val="6"/>
                <c:pt idx="0">
                  <c:v>0.81300000000000006</c:v>
                </c:pt>
                <c:pt idx="1">
                  <c:v>0.54399999999999993</c:v>
                </c:pt>
                <c:pt idx="2">
                  <c:v>0.31599999999999995</c:v>
                </c:pt>
                <c:pt idx="3">
                  <c:v>0.19599999999999995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2-4B9A-859F-E282D9A24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8240"/>
        <c:axId val="201420160"/>
      </c:scatterChart>
      <c:valAx>
        <c:axId val="2014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BSA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0160"/>
        <c:crosses val="autoZero"/>
        <c:crossBetween val="midCat"/>
      </c:valAx>
      <c:valAx>
        <c:axId val="2014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OD 595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250</a:t>
            </a:r>
            <a:r>
              <a:rPr lang="en-US" baseline="0"/>
              <a:t> ng protein each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GRAPHS3PJ!$B$1</c:f>
              <c:strCache>
                <c:ptCount val="1"/>
                <c:pt idx="0">
                  <c:v>0 mM Lys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GRAPHS3PJ!$A$2:$A$5</c:f>
              <c:strCache>
                <c:ptCount val="4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  <c:pt idx="3">
                  <c:v>GmDHDPSC&gt;B</c:v>
                </c:pt>
              </c:strCache>
            </c:strRef>
          </c:cat>
          <c:val>
            <c:numRef>
              <c:f>GRAPHS3PJ!$B$2:$B$5</c:f>
              <c:numCache>
                <c:formatCode>General</c:formatCode>
                <c:ptCount val="4"/>
                <c:pt idx="0">
                  <c:v>51467</c:v>
                </c:pt>
                <c:pt idx="1">
                  <c:v>8623</c:v>
                </c:pt>
                <c:pt idx="2">
                  <c:v>3200</c:v>
                </c:pt>
                <c:pt idx="3">
                  <c:v>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6A-4F3D-ADBA-5152418D1E0B}"/>
            </c:ext>
          </c:extLst>
        </c:ser>
        <c:ser>
          <c:idx val="1"/>
          <c:order val="1"/>
          <c:tx>
            <c:strRef>
              <c:f>GRAPHS3PJ!$C$1</c:f>
              <c:strCache>
                <c:ptCount val="1"/>
                <c:pt idx="0">
                  <c:v>5 mM 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GRAPHS3PJ!$A$2:$A$5</c:f>
              <c:strCache>
                <c:ptCount val="4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  <c:pt idx="3">
                  <c:v>GmDHDPSC&gt;B</c:v>
                </c:pt>
              </c:strCache>
            </c:strRef>
          </c:cat>
          <c:val>
            <c:numRef>
              <c:f>GRAPHS3PJ!$C$2:$C$5</c:f>
              <c:numCache>
                <c:formatCode>General</c:formatCode>
                <c:ptCount val="4"/>
                <c:pt idx="0">
                  <c:v>20133</c:v>
                </c:pt>
                <c:pt idx="1">
                  <c:v>12536</c:v>
                </c:pt>
                <c:pt idx="2">
                  <c:v>6600</c:v>
                </c:pt>
                <c:pt idx="3">
                  <c:v>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6A-4F3D-ADBA-5152418D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2400"/>
        <c:axId val="202744192"/>
      </c:barChart>
      <c:catAx>
        <c:axId val="2027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4192"/>
        <c:crosses val="autoZero"/>
        <c:auto val="1"/>
        <c:lblAlgn val="ctr"/>
        <c:lblOffset val="100"/>
        <c:noMultiLvlLbl val="0"/>
      </c:catAx>
      <c:valAx>
        <c:axId val="2027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Specific activity (units/mg protein x min) 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8.30362350539515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ng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mM lysine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GRAPHS3PJ!$K$2:$K$5</c:f>
              <c:strCache>
                <c:ptCount val="4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  <c:pt idx="3">
                  <c:v>GmDHDPSC&gt;B</c:v>
                </c:pt>
              </c:strCache>
            </c:strRef>
          </c:cat>
          <c:val>
            <c:numRef>
              <c:f>GRAPHS3PJ!$L$2:$L$5</c:f>
              <c:numCache>
                <c:formatCode>General</c:formatCode>
                <c:ptCount val="4"/>
                <c:pt idx="0">
                  <c:v>90824</c:v>
                </c:pt>
                <c:pt idx="1">
                  <c:v>24585</c:v>
                </c:pt>
                <c:pt idx="2">
                  <c:v>23039</c:v>
                </c:pt>
                <c:pt idx="3">
                  <c:v>34222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77-9194-35B1EE82CA65}"/>
            </c:ext>
          </c:extLst>
        </c:ser>
        <c:ser>
          <c:idx val="1"/>
          <c:order val="1"/>
          <c:tx>
            <c:v>5 mM lysine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GRAPHS3PJ!$K$2:$K$5</c:f>
              <c:strCache>
                <c:ptCount val="4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  <c:pt idx="3">
                  <c:v>GmDHDPSC&gt;B</c:v>
                </c:pt>
              </c:strCache>
            </c:strRef>
          </c:cat>
          <c:val>
            <c:numRef>
              <c:f>GRAPHS3PJ!$M$2:$M$5</c:f>
              <c:numCache>
                <c:formatCode>General</c:formatCode>
                <c:ptCount val="4"/>
                <c:pt idx="0">
                  <c:v>31843</c:v>
                </c:pt>
                <c:pt idx="1">
                  <c:v>23422</c:v>
                </c:pt>
                <c:pt idx="2">
                  <c:v>22876</c:v>
                </c:pt>
                <c:pt idx="3">
                  <c:v>31889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77-9194-35B1EE82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41696"/>
        <c:axId val="202547584"/>
      </c:barChart>
      <c:catAx>
        <c:axId val="2025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7584"/>
        <c:crosses val="autoZero"/>
        <c:auto val="1"/>
        <c:lblAlgn val="ctr"/>
        <c:lblOffset val="100"/>
        <c:noMultiLvlLbl val="0"/>
      </c:catAx>
      <c:valAx>
        <c:axId val="2025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Specific activity (units/mg protein x min) </a:t>
                </a:r>
                <a:endParaRPr lang="en-US" sz="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16708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ng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GRAPHS3PJ!$B$22</c:f>
              <c:strCache>
                <c:ptCount val="1"/>
                <c:pt idx="0">
                  <c:v>0 mM Lys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GRAPHS3PJ!$A$23:$A$26</c15:sqref>
                  </c15:fullRef>
                </c:ext>
              </c:extLst>
              <c:f>GRAPHS3PJ!$A$23:$A$24</c:f>
              <c:strCache>
                <c:ptCount val="2"/>
                <c:pt idx="0">
                  <c:v>GmDHDPSA</c:v>
                </c:pt>
                <c:pt idx="1">
                  <c:v>PsDHDPSB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GRAPHS3PJ!$B$23:$B$26</c15:sqref>
                  </c15:fullRef>
                </c:ext>
              </c:extLst>
              <c:f>GRAPHS3PJ!$B$23:$B$24</c:f>
              <c:numCache>
                <c:formatCode>General</c:formatCode>
                <c:ptCount val="2"/>
                <c:pt idx="0">
                  <c:v>140364</c:v>
                </c:pt>
                <c:pt idx="1">
                  <c:v>32174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9-479E-9761-F93E44FDAEC7}"/>
            </c:ext>
          </c:extLst>
        </c:ser>
        <c:ser>
          <c:idx val="1"/>
          <c:order val="1"/>
          <c:tx>
            <c:strRef>
              <c:f>GRAPHS3PJ!$C$22</c:f>
              <c:strCache>
                <c:ptCount val="1"/>
                <c:pt idx="0">
                  <c:v>5 mM 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GRAPHS3PJ!$A$23:$A$26</c15:sqref>
                  </c15:fullRef>
                </c:ext>
              </c:extLst>
              <c:f>GRAPHS3PJ!$A$23:$A$24</c:f>
              <c:strCache>
                <c:ptCount val="2"/>
                <c:pt idx="0">
                  <c:v>GmDHDPSA</c:v>
                </c:pt>
                <c:pt idx="1">
                  <c:v>PsDHDPSB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GRAPHS3PJ!$C$23:$C$26</c15:sqref>
                  </c15:fullRef>
                </c:ext>
              </c:extLst>
              <c:f>GRAPHS3PJ!$C$23:$C$24</c:f>
              <c:numCache>
                <c:formatCode>General</c:formatCode>
                <c:ptCount val="2"/>
                <c:pt idx="0">
                  <c:v>49212</c:v>
                </c:pt>
                <c:pt idx="1">
                  <c:v>30652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9-479E-9761-F93E44FD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96736"/>
        <c:axId val="202598272"/>
      </c:barChart>
      <c:catAx>
        <c:axId val="2025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8272"/>
        <c:crosses val="autoZero"/>
        <c:auto val="1"/>
        <c:lblAlgn val="ctr"/>
        <c:lblOffset val="100"/>
        <c:noMultiLvlLbl val="0"/>
      </c:catAx>
      <c:valAx>
        <c:axId val="2025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Specific activity (units/mg protein x min) </a:t>
                </a:r>
                <a:endParaRPr lang="en-US" sz="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DHDPS A dilutions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GRAPHS3PJ!$L$27</c:f>
              <c:strCache>
                <c:ptCount val="1"/>
                <c:pt idx="0">
                  <c:v>0 mM Lys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GRAPHS3PJ!$K$28:$K$30</c:f>
              <c:strCache>
                <c:ptCount val="3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</c:strCache>
            </c:strRef>
          </c:cat>
          <c:val>
            <c:numRef>
              <c:f>GRAPHS3PJ!$L$28:$L$30</c:f>
              <c:numCache>
                <c:formatCode>General</c:formatCode>
                <c:ptCount val="3"/>
                <c:pt idx="0">
                  <c:v>1713</c:v>
                </c:pt>
                <c:pt idx="1">
                  <c:v>12697</c:v>
                </c:pt>
                <c:pt idx="2">
                  <c:v>116953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C-4D89-B0A0-54361D2EE754}"/>
            </c:ext>
          </c:extLst>
        </c:ser>
        <c:ser>
          <c:idx val="1"/>
          <c:order val="1"/>
          <c:tx>
            <c:strRef>
              <c:f>GRAPHS3PJ!$M$27</c:f>
              <c:strCache>
                <c:ptCount val="1"/>
                <c:pt idx="0">
                  <c:v>5 mM 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GRAPHS3PJ!$K$28:$K$30</c:f>
              <c:strCache>
                <c:ptCount val="3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</c:strCache>
            </c:strRef>
          </c:cat>
          <c:val>
            <c:numRef>
              <c:f>GRAPHS3PJ!$M$28:$M$30</c:f>
              <c:numCache>
                <c:formatCode>General</c:formatCode>
                <c:ptCount val="3"/>
                <c:pt idx="0">
                  <c:v>1717</c:v>
                </c:pt>
                <c:pt idx="1">
                  <c:v>8047</c:v>
                </c:pt>
                <c:pt idx="2">
                  <c:v>43276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C-4D89-B0A0-54361D2E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25792"/>
        <c:axId val="202627328"/>
      </c:barChart>
      <c:catAx>
        <c:axId val="2026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7328"/>
        <c:crosses val="autoZero"/>
        <c:auto val="1"/>
        <c:lblAlgn val="ctr"/>
        <c:lblOffset val="100"/>
        <c:noMultiLvlLbl val="0"/>
      </c:catAx>
      <c:valAx>
        <c:axId val="2026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Specific activity (units/mg protein x min) 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[7]Blad1!$G$1</c:f>
              <c:strCache>
                <c:ptCount val="1"/>
                <c:pt idx="0">
                  <c:v>Specific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[7]Blad1!$F$2:$F$4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[7]Blad1!$G$2:$G$4</c:f>
              <c:numCache>
                <c:formatCode>General</c:formatCode>
                <c:ptCount val="3"/>
                <c:pt idx="0">
                  <c:v>209114</c:v>
                </c:pt>
                <c:pt idx="1">
                  <c:v>7143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8-4DAC-B55F-AEBEB60A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7296"/>
        <c:axId val="203048832"/>
      </c:barChart>
      <c:catAx>
        <c:axId val="2030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8832"/>
        <c:crosses val="autoZero"/>
        <c:auto val="1"/>
        <c:lblAlgn val="ctr"/>
        <c:lblOffset val="100"/>
        <c:noMultiLvlLbl val="0"/>
      </c:catAx>
      <c:valAx>
        <c:axId val="2030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Lys inhibitie PJ 6mei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'6mei'!$G$1</c:f>
              <c:strCache>
                <c:ptCount val="1"/>
                <c:pt idx="0">
                  <c:v>0 µM Lys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'6mei'!$F$2:$F$4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'6mei'!$G$2:$G$4</c:f>
              <c:numCache>
                <c:formatCode>General</c:formatCode>
                <c:ptCount val="3"/>
                <c:pt idx="0">
                  <c:v>209114</c:v>
                </c:pt>
                <c:pt idx="1">
                  <c:v>7143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1-46EC-8CCE-644132D68B28}"/>
            </c:ext>
          </c:extLst>
        </c:ser>
        <c:ser>
          <c:idx val="1"/>
          <c:order val="1"/>
          <c:tx>
            <c:strRef>
              <c:f>'6mei'!$H$1</c:f>
              <c:strCache>
                <c:ptCount val="1"/>
                <c:pt idx="0">
                  <c:v>150 µM 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'6mei'!$F$2:$F$4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'6mei'!$H$2:$H$4</c:f>
              <c:numCache>
                <c:formatCode>General</c:formatCode>
                <c:ptCount val="3"/>
                <c:pt idx="0">
                  <c:v>17943</c:v>
                </c:pt>
                <c:pt idx="1">
                  <c:v>2857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1-46EC-8CCE-644132D68B28}"/>
            </c:ext>
          </c:extLst>
        </c:ser>
        <c:ser>
          <c:idx val="2"/>
          <c:order val="2"/>
          <c:tx>
            <c:strRef>
              <c:f>'6mei'!$I$1</c:f>
              <c:strCache>
                <c:ptCount val="1"/>
                <c:pt idx="0">
                  <c:v>5mM Lys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'6mei'!$F$2:$F$4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'6mei'!$I$2:$I$4</c:f>
              <c:numCache>
                <c:formatCode>General</c:formatCode>
                <c:ptCount val="3"/>
                <c:pt idx="0">
                  <c:v>-14086</c:v>
                </c:pt>
                <c:pt idx="1">
                  <c:v>-893</c:v>
                </c:pt>
                <c:pt idx="2">
                  <c:v>-1833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1-46EC-8CCE-644132D6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92736"/>
        <c:axId val="203094272"/>
      </c:barChart>
      <c:catAx>
        <c:axId val="2030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4272"/>
        <c:crosses val="autoZero"/>
        <c:auto val="1"/>
        <c:lblAlgn val="ctr"/>
        <c:lblOffset val="100"/>
        <c:noMultiLvlLbl val="0"/>
      </c:catAx>
      <c:valAx>
        <c:axId val="2030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100ng protein</a:t>
            </a:r>
            <a:r>
              <a:rPr lang="en-US" baseline="0"/>
              <a:t> each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 06_06'!$A$8</c:f>
              <c:strCache>
                <c:ptCount val="1"/>
                <c:pt idx="0">
                  <c:v>0 mM Lys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'ASA 06_06'!$B$7:$D$7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'ASA 06_06'!$B$8:$D$8</c:f>
              <c:numCache>
                <c:formatCode>General</c:formatCode>
                <c:ptCount val="3"/>
                <c:pt idx="0">
                  <c:v>245833</c:v>
                </c:pt>
                <c:pt idx="1">
                  <c:v>46207</c:v>
                </c:pt>
                <c:pt idx="2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7-4552-9CE4-74838CA3F395}"/>
            </c:ext>
          </c:extLst>
        </c:ser>
        <c:ser>
          <c:idx val="1"/>
          <c:order val="1"/>
          <c:tx>
            <c:strRef>
              <c:f>'ASA 06_06'!$A$9</c:f>
              <c:strCache>
                <c:ptCount val="1"/>
                <c:pt idx="0">
                  <c:v>0,15 mM 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'ASA 06_06'!$B$7:$D$7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'ASA 06_06'!$B$9:$D$9</c:f>
              <c:numCache>
                <c:formatCode>General</c:formatCode>
                <c:ptCount val="3"/>
                <c:pt idx="0">
                  <c:v>22167</c:v>
                </c:pt>
                <c:pt idx="1">
                  <c:v>7241</c:v>
                </c:pt>
                <c:pt idx="2">
                  <c:v>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7-4552-9CE4-74838CA3F395}"/>
            </c:ext>
          </c:extLst>
        </c:ser>
        <c:ser>
          <c:idx val="2"/>
          <c:order val="2"/>
          <c:tx>
            <c:strRef>
              <c:f>'ASA 06_06'!$A$10</c:f>
              <c:strCache>
                <c:ptCount val="1"/>
                <c:pt idx="0">
                  <c:v>5 mM Lys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'ASA 06_06'!$B$7:$D$7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'ASA 06_06'!$B$10:$D$10</c:f>
              <c:numCache>
                <c:formatCode>General</c:formatCode>
                <c:ptCount val="3"/>
                <c:pt idx="0">
                  <c:v>14000</c:v>
                </c:pt>
                <c:pt idx="1">
                  <c:v>28103</c:v>
                </c:pt>
                <c:pt idx="2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7-4552-9CE4-74838CA3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9936"/>
        <c:axId val="202841472"/>
      </c:barChart>
      <c:catAx>
        <c:axId val="2028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1472"/>
        <c:crosses val="autoZero"/>
        <c:auto val="1"/>
        <c:lblAlgn val="ctr"/>
        <c:lblOffset val="100"/>
        <c:noMultiLvlLbl val="0"/>
      </c:catAx>
      <c:valAx>
        <c:axId val="202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Specific activity (units/mg protein x min) 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100 ng protein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57790558438261"/>
          <c:y val="0.13401992136040466"/>
          <c:w val="0.82430074264910436"/>
          <c:h val="0.70927459498597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'ASA 18 mei'!$B$2</c:f>
              <c:strCache>
                <c:ptCount val="1"/>
                <c:pt idx="0">
                  <c:v>0 μM Lysine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'ASA 18 mei'!$A$3:$A$11</c:f>
              <c:strCache>
                <c:ptCount val="9"/>
                <c:pt idx="0">
                  <c:v>ApoA</c:v>
                </c:pt>
                <c:pt idx="1">
                  <c:v>ApoA-&gt;B</c:v>
                </c:pt>
                <c:pt idx="2">
                  <c:v>ApoA-&gt;C</c:v>
                </c:pt>
                <c:pt idx="3">
                  <c:v>ApoA-&gt;S</c:v>
                </c:pt>
                <c:pt idx="4">
                  <c:v>ApoB</c:v>
                </c:pt>
                <c:pt idx="5">
                  <c:v>ApoB-&gt;A</c:v>
                </c:pt>
                <c:pt idx="6">
                  <c:v>ApoB-&gt;C</c:v>
                </c:pt>
                <c:pt idx="7">
                  <c:v>ApoC</c:v>
                </c:pt>
                <c:pt idx="8">
                  <c:v>ApoC-&gt;B</c:v>
                </c:pt>
              </c:strCache>
            </c:strRef>
          </c:cat>
          <c:val>
            <c:numRef>
              <c:f>'ASA 18 mei'!$B$3:$B$11</c:f>
              <c:numCache>
                <c:formatCode>General</c:formatCode>
                <c:ptCount val="9"/>
                <c:pt idx="0">
                  <c:v>149346</c:v>
                </c:pt>
                <c:pt idx="1">
                  <c:v>175429</c:v>
                </c:pt>
                <c:pt idx="2">
                  <c:v>156333</c:v>
                </c:pt>
                <c:pt idx="3">
                  <c:v>-33059</c:v>
                </c:pt>
                <c:pt idx="4">
                  <c:v>5857</c:v>
                </c:pt>
                <c:pt idx="5">
                  <c:v>6333</c:v>
                </c:pt>
                <c:pt idx="6">
                  <c:v>6223</c:v>
                </c:pt>
                <c:pt idx="7">
                  <c:v>9833</c:v>
                </c:pt>
                <c:pt idx="8">
                  <c:v>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8-4E9C-BB87-330457CAB314}"/>
            </c:ext>
          </c:extLst>
        </c:ser>
        <c:ser>
          <c:idx val="1"/>
          <c:order val="1"/>
          <c:tx>
            <c:strRef>
              <c:f>'ASA 18 mei'!$C$2</c:f>
              <c:strCache>
                <c:ptCount val="1"/>
                <c:pt idx="0">
                  <c:v>150 μM Lysine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'ASA 18 mei'!$A$3:$A$11</c:f>
              <c:strCache>
                <c:ptCount val="9"/>
                <c:pt idx="0">
                  <c:v>ApoA</c:v>
                </c:pt>
                <c:pt idx="1">
                  <c:v>ApoA-&gt;B</c:v>
                </c:pt>
                <c:pt idx="2">
                  <c:v>ApoA-&gt;C</c:v>
                </c:pt>
                <c:pt idx="3">
                  <c:v>ApoA-&gt;S</c:v>
                </c:pt>
                <c:pt idx="4">
                  <c:v>ApoB</c:v>
                </c:pt>
                <c:pt idx="5">
                  <c:v>ApoB-&gt;A</c:v>
                </c:pt>
                <c:pt idx="6">
                  <c:v>ApoB-&gt;C</c:v>
                </c:pt>
                <c:pt idx="7">
                  <c:v>ApoC</c:v>
                </c:pt>
                <c:pt idx="8">
                  <c:v>ApoC-&gt;B</c:v>
                </c:pt>
              </c:strCache>
            </c:strRef>
          </c:cat>
          <c:val>
            <c:numRef>
              <c:f>'ASA 18 mei'!$C$3:$C$11</c:f>
              <c:numCache>
                <c:formatCode>General</c:formatCode>
                <c:ptCount val="9"/>
                <c:pt idx="0">
                  <c:v>14216</c:v>
                </c:pt>
                <c:pt idx="1">
                  <c:v>134202</c:v>
                </c:pt>
                <c:pt idx="2">
                  <c:v>18500</c:v>
                </c:pt>
                <c:pt idx="3">
                  <c:v>12250</c:v>
                </c:pt>
                <c:pt idx="4">
                  <c:v>-167</c:v>
                </c:pt>
                <c:pt idx="5">
                  <c:v>-3833</c:v>
                </c:pt>
                <c:pt idx="6">
                  <c:v>-5071</c:v>
                </c:pt>
                <c:pt idx="7">
                  <c:v>-2333</c:v>
                </c:pt>
                <c:pt idx="8">
                  <c:v>-3349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8-4E9C-BB87-330457CAB314}"/>
            </c:ext>
          </c:extLst>
        </c:ser>
        <c:ser>
          <c:idx val="2"/>
          <c:order val="2"/>
          <c:tx>
            <c:strRef>
              <c:f>'ASA 18 mei'!$D$2</c:f>
              <c:strCache>
                <c:ptCount val="1"/>
                <c:pt idx="0">
                  <c:v>5 mM Lysine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'ASA 18 mei'!$A$3:$A$11</c:f>
              <c:strCache>
                <c:ptCount val="9"/>
                <c:pt idx="0">
                  <c:v>ApoA</c:v>
                </c:pt>
                <c:pt idx="1">
                  <c:v>ApoA-&gt;B</c:v>
                </c:pt>
                <c:pt idx="2">
                  <c:v>ApoA-&gt;C</c:v>
                </c:pt>
                <c:pt idx="3">
                  <c:v>ApoA-&gt;S</c:v>
                </c:pt>
                <c:pt idx="4">
                  <c:v>ApoB</c:v>
                </c:pt>
                <c:pt idx="5">
                  <c:v>ApoB-&gt;A</c:v>
                </c:pt>
                <c:pt idx="6">
                  <c:v>ApoB-&gt;C</c:v>
                </c:pt>
                <c:pt idx="7">
                  <c:v>ApoC</c:v>
                </c:pt>
                <c:pt idx="8">
                  <c:v>ApoC-&gt;B</c:v>
                </c:pt>
              </c:strCache>
            </c:strRef>
          </c:cat>
          <c:val>
            <c:numRef>
              <c:f>'ASA 18 mei'!$D$3:$D$11</c:f>
              <c:numCache>
                <c:formatCode>General</c:formatCode>
                <c:ptCount val="9"/>
                <c:pt idx="0">
                  <c:v>10621</c:v>
                </c:pt>
                <c:pt idx="1">
                  <c:v>163383</c:v>
                </c:pt>
                <c:pt idx="2">
                  <c:v>22667</c:v>
                </c:pt>
                <c:pt idx="3">
                  <c:v>15439</c:v>
                </c:pt>
                <c:pt idx="4">
                  <c:v>4016</c:v>
                </c:pt>
                <c:pt idx="5">
                  <c:v>4000</c:v>
                </c:pt>
                <c:pt idx="6">
                  <c:v>6684</c:v>
                </c:pt>
                <c:pt idx="7">
                  <c:v>3500</c:v>
                </c:pt>
                <c:pt idx="8">
                  <c:v>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8-4E9C-BB87-330457CA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23392"/>
        <c:axId val="202937856"/>
      </c:barChart>
      <c:catAx>
        <c:axId val="202923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856"/>
        <c:crosses val="autoZero"/>
        <c:auto val="1"/>
        <c:lblAlgn val="ctr"/>
        <c:lblOffset val="100"/>
        <c:noMultiLvlLbl val="0"/>
      </c:catAx>
      <c:valAx>
        <c:axId val="202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Specific activity (units/mg protein x min) </a:t>
                </a:r>
                <a:endParaRPr lang="en-US" sz="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ApoA</a:t>
            </a:r>
            <a:r>
              <a:rPr lang="en-US" baseline="0"/>
              <a:t> and ApoA-&gt;B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'ASA 18 mei'!$G$26:$G$28</c:f>
                <c:numCache>
                  <c:formatCode>General</c:formatCode>
                  <c:ptCount val="3"/>
                  <c:pt idx="0">
                    <c:v>6620.3326200425909</c:v>
                  </c:pt>
                  <c:pt idx="1">
                    <c:v>2784.0361587690118</c:v>
                  </c:pt>
                  <c:pt idx="2">
                    <c:v>3255.5563272657409</c:v>
                  </c:pt>
                </c:numCache>
              </c:numRef>
            </c:plus>
            <c:minus>
              <c:numRef>
                <c:f>'ASA 18 mei'!$G$26:$G$28</c:f>
                <c:numCache>
                  <c:formatCode>General</c:formatCode>
                  <c:ptCount val="3"/>
                  <c:pt idx="0">
                    <c:v>6620.3326200425909</c:v>
                  </c:pt>
                  <c:pt idx="1">
                    <c:v>2784.0361587690118</c:v>
                  </c:pt>
                  <c:pt idx="2">
                    <c:v>3255.5563272657409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'ASA 18 mei'!$B$26:$B$28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5000</c:v>
                </c:pt>
              </c:numCache>
            </c:numRef>
          </c:cat>
          <c:val>
            <c:numRef>
              <c:f>'ASA 18 mei'!$F$26:$F$28</c:f>
              <c:numCache>
                <c:formatCode>General</c:formatCode>
                <c:ptCount val="3"/>
                <c:pt idx="0">
                  <c:v>154684</c:v>
                </c:pt>
                <c:pt idx="1">
                  <c:v>17429.333333333332</c:v>
                </c:pt>
                <c:pt idx="2">
                  <c:v>14379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3-461F-8687-93DBFEFD106A}"/>
            </c:ext>
          </c:extLst>
        </c:ser>
        <c:ser>
          <c:idx val="1"/>
          <c:order val="1"/>
          <c:tx>
            <c:v>APO A-&gt;B (Pos80)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'ASA 18 mei'!$G$29:$G$31</c:f>
                <c:numCache>
                  <c:formatCode>General</c:formatCode>
                  <c:ptCount val="3"/>
                  <c:pt idx="0">
                    <c:v>6173.3357541391933</c:v>
                  </c:pt>
                  <c:pt idx="1">
                    <c:v>13842.970430270136</c:v>
                  </c:pt>
                  <c:pt idx="2">
                    <c:v>9372.8998180925846</c:v>
                  </c:pt>
                </c:numCache>
              </c:numRef>
            </c:plus>
            <c:minus>
              <c:numRef>
                <c:f>'ASA 18 mei'!$G$29:$G$31</c:f>
                <c:numCache>
                  <c:formatCode>General</c:formatCode>
                  <c:ptCount val="3"/>
                  <c:pt idx="0">
                    <c:v>6173.3357541391933</c:v>
                  </c:pt>
                  <c:pt idx="1">
                    <c:v>13842.970430270136</c:v>
                  </c:pt>
                  <c:pt idx="2">
                    <c:v>9372.8998180925846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'ASA 18 mei'!$B$26:$B$28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5000</c:v>
                </c:pt>
              </c:numCache>
            </c:numRef>
          </c:cat>
          <c:val>
            <c:numRef>
              <c:f>'ASA 18 mei'!$F$29:$F$31</c:f>
              <c:numCache>
                <c:formatCode>General</c:formatCode>
                <c:ptCount val="3"/>
                <c:pt idx="0">
                  <c:v>171696.66666666666</c:v>
                </c:pt>
                <c:pt idx="1">
                  <c:v>148905.66666666666</c:v>
                </c:pt>
                <c:pt idx="2">
                  <c:v>152864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3-461F-8687-93DBFEFD1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86240"/>
        <c:axId val="202988160"/>
      </c:barChart>
      <c:catAx>
        <c:axId val="2029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Lysine concentration (</a:t>
                </a:r>
                <a:r>
                  <a:rPr lang="el-GR"/>
                  <a:t>μ</a:t>
                </a:r>
                <a:r>
                  <a:rPr lang="nl-BE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160"/>
        <c:crosses val="autoZero"/>
        <c:auto val="1"/>
        <c:lblAlgn val="ctr"/>
        <c:lblOffset val="100"/>
        <c:tickLblSkip val="1"/>
        <c:noMultiLvlLbl val="0"/>
      </c:catAx>
      <c:valAx>
        <c:axId val="2029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Specific activity (units/mg protein x min) 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624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ApoA and ApoA-S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 18 mei'!$A$41</c:f>
              <c:strCache>
                <c:ptCount val="1"/>
                <c:pt idx="0">
                  <c:v>ApoA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'ASA 18 mei'!$B$40:$C$40</c:f>
              <c:strCache>
                <c:ptCount val="2"/>
                <c:pt idx="0">
                  <c:v>0 uM Lysine</c:v>
                </c:pt>
                <c:pt idx="1">
                  <c:v>5 mM</c:v>
                </c:pt>
              </c:strCache>
            </c:strRef>
          </c:cat>
          <c:val>
            <c:numRef>
              <c:f>'ASA 18 mei'!$B$41:$C$41</c:f>
              <c:numCache>
                <c:formatCode>General</c:formatCode>
                <c:ptCount val="2"/>
                <c:pt idx="0">
                  <c:v>157353</c:v>
                </c:pt>
                <c:pt idx="1">
                  <c:v>16258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D-44BB-93D7-E6EE6EE87559}"/>
            </c:ext>
          </c:extLst>
        </c:ser>
        <c:ser>
          <c:idx val="1"/>
          <c:order val="1"/>
          <c:tx>
            <c:strRef>
              <c:f>'ASA 18 mei'!$A$42</c:f>
              <c:strCache>
                <c:ptCount val="1"/>
                <c:pt idx="0">
                  <c:v>ApoA-&gt;S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'ASA 18 mei'!$B$40:$C$40</c:f>
              <c:strCache>
                <c:ptCount val="2"/>
                <c:pt idx="0">
                  <c:v>0 uM Lysine</c:v>
                </c:pt>
                <c:pt idx="1">
                  <c:v>5 mM</c:v>
                </c:pt>
              </c:strCache>
            </c:strRef>
          </c:cat>
          <c:val>
            <c:numRef>
              <c:f>'ASA 18 mei'!$B$42:$C$42</c:f>
              <c:numCache>
                <c:formatCode>General</c:formatCode>
                <c:ptCount val="2"/>
                <c:pt idx="0">
                  <c:v>32220</c:v>
                </c:pt>
                <c:pt idx="1">
                  <c:v>41449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D-44BB-93D7-E6EE6EE8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28608"/>
        <c:axId val="203430144"/>
      </c:barChart>
      <c:catAx>
        <c:axId val="2034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0144"/>
        <c:crosses val="autoZero"/>
        <c:auto val="1"/>
        <c:lblAlgn val="ctr"/>
        <c:lblOffset val="100"/>
        <c:noMultiLvlLbl val="0"/>
      </c:catAx>
      <c:valAx>
        <c:axId val="2034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 assay PJ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22305041051362"/>
          <c:y val="0.12956281840916675"/>
          <c:w val="0.7919144226188809"/>
          <c:h val="0.66041217324898616"/>
        </c:manualLayout>
      </c:layout>
      <c:scatterChart>
        <c:scatterStyle val="lineMarker"/>
        <c:varyColors val="0"/>
        <c:ser>
          <c:idx val="0"/>
          <c:order val="0"/>
          <c:tx>
            <c:v>BSA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'[2]End point'!$O$15:$O$21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'[2]End point'!$P$15:$P$21</c:f>
              <c:numCache>
                <c:formatCode>General</c:formatCode>
                <c:ptCount val="7"/>
                <c:pt idx="0">
                  <c:v>0.245</c:v>
                </c:pt>
                <c:pt idx="1">
                  <c:v>0.254</c:v>
                </c:pt>
                <c:pt idx="2">
                  <c:v>0.307</c:v>
                </c:pt>
                <c:pt idx="3">
                  <c:v>0.35199999999999998</c:v>
                </c:pt>
                <c:pt idx="4">
                  <c:v>0.40799999999999997</c:v>
                </c:pt>
                <c:pt idx="5">
                  <c:v>0.45900000000000002</c:v>
                </c:pt>
                <c:pt idx="6">
                  <c:v>0.49199999999999999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F-4137-9A14-A343CA90FEA3}"/>
            </c:ext>
          </c:extLst>
        </c:ser>
        <c:ser>
          <c:idx val="1"/>
          <c:order val="1"/>
          <c:tx>
            <c:v>BSA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606710193254316E-3"/>
                  <c:y val="-6.4765069503926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'[2]End point'!$O$15:$O$21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'[2]End point'!$Q$15:$Q$21</c:f>
              <c:numCache>
                <c:formatCode>General</c:formatCode>
                <c:ptCount val="7"/>
                <c:pt idx="0">
                  <c:v>0</c:v>
                </c:pt>
                <c:pt idx="1">
                  <c:v>9.000000000000008E-3</c:v>
                </c:pt>
                <c:pt idx="2">
                  <c:v>6.2E-2</c:v>
                </c:pt>
                <c:pt idx="3">
                  <c:v>0.10699999999999998</c:v>
                </c:pt>
                <c:pt idx="4">
                  <c:v>0.16299999999999998</c:v>
                </c:pt>
                <c:pt idx="5">
                  <c:v>0.21400000000000002</c:v>
                </c:pt>
                <c:pt idx="6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F-4137-9A14-A343CA90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2992"/>
        <c:axId val="2013474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APO2-&gt;3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'[2]End point'!$O$15:$O$21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'[2]End point'!$N$15:$N$21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0.254</c:v>
                      </c:pt>
                      <c:pt idx="1">
                        <c:v>0.312</c:v>
                      </c:pt>
                      <c:pt idx="2">
                        <c:v>0.39</c:v>
                      </c:pt>
                      <c:pt idx="3">
                        <c:v>0.502</c:v>
                      </c:pt>
                      <c:pt idx="4">
                        <c:v>0.63900000000000001</c:v>
                      </c:pt>
                      <c:pt idx="5">
                        <c:v>0.72699999999999998</c:v>
                      </c:pt>
                      <c:pt idx="6">
                        <c:v>0.72199999999999998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29F-4137-9A14-A343CA90FEA3}"/>
                  </c:ext>
                </c:extLst>
              </c15:ser>
            </c15:filteredScatterSeries>
          </c:ext>
        </c:extLst>
      </c:scatterChart>
      <c:valAx>
        <c:axId val="2013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7456"/>
        <c:crosses val="autoZero"/>
        <c:crossBetween val="midCat"/>
      </c:valAx>
      <c:valAx>
        <c:axId val="2013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  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8-4FFF-B106-55E152EEF64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58-4FFF-B106-55E152EEF64B}"/>
              </c:ext>
            </c:extLst>
          </c:dPt>
          <c:errBars>
            <c:errBarType val="both"/>
            <c:errValType val="cust"/>
            <c:noEndCap val="0"/>
            <c:plus>
              <c:numRef>
                <c:f>'21 mei'!$P$4:$P$5</c:f>
                <c:numCache>
                  <c:formatCode>General</c:formatCode>
                  <c:ptCount val="2"/>
                  <c:pt idx="0">
                    <c:v>5314.6145673980909</c:v>
                  </c:pt>
                  <c:pt idx="1">
                    <c:v>6531.5453378201391</c:v>
                  </c:pt>
                </c:numCache>
              </c:numRef>
            </c:plus>
            <c:minus>
              <c:numRef>
                <c:f>'21 mei'!$P$4:$P$5</c:f>
                <c:numCache>
                  <c:formatCode>General</c:formatCode>
                  <c:ptCount val="2"/>
                  <c:pt idx="0">
                    <c:v>5314.6145673980909</c:v>
                  </c:pt>
                  <c:pt idx="1">
                    <c:v>6531.5453378201391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'21 mei'!$I$5:$I$6</c:f>
              <c:strCache>
                <c:ptCount val="2"/>
                <c:pt idx="0">
                  <c:v>ApoA</c:v>
                </c:pt>
                <c:pt idx="1">
                  <c:v>ApoA-&gt;Ser</c:v>
                </c:pt>
              </c:strCache>
            </c:strRef>
          </c:cat>
          <c:val>
            <c:numRef>
              <c:f>'21 mei'!$J$5:$J$6</c:f>
              <c:numCache>
                <c:formatCode>General</c:formatCode>
                <c:ptCount val="2"/>
                <c:pt idx="0">
                  <c:v>132680</c:v>
                </c:pt>
                <c:pt idx="1">
                  <c:v>114111.5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F-4D59-AA7C-DFD452E00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82624"/>
        <c:axId val="203484544"/>
      </c:barChart>
      <c:catAx>
        <c:axId val="20348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DHDPS</a:t>
                </a:r>
                <a:r>
                  <a:rPr lang="en-US" baseline="0"/>
                  <a:t> type A vs ApoA-&gt;Ser mutant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4544"/>
        <c:crosses val="autoZero"/>
        <c:auto val="1"/>
        <c:lblAlgn val="ctr"/>
        <c:lblOffset val="100"/>
        <c:noMultiLvlLbl val="0"/>
      </c:catAx>
      <c:valAx>
        <c:axId val="203484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units/(mg protein x min)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'ApoA-&gt;B'!$A$19</c:f>
              <c:strCache>
                <c:ptCount val="1"/>
                <c:pt idx="0">
                  <c:v>GmDHDPS-A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'ApoA-&gt;B'!$B$18:$G$18</c:f>
              <c:numCache>
                <c:formatCode>General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'ApoA-&gt;B'!$B$19:$G$19</c:f>
              <c:numCache>
                <c:formatCode>General</c:formatCode>
                <c:ptCount val="6"/>
                <c:pt idx="0">
                  <c:v>100</c:v>
                </c:pt>
                <c:pt idx="1">
                  <c:v>79.063913174555324</c:v>
                </c:pt>
                <c:pt idx="2">
                  <c:v>33.743593608682545</c:v>
                </c:pt>
                <c:pt idx="3">
                  <c:v>25.98507687669581</c:v>
                </c:pt>
                <c:pt idx="4">
                  <c:v>16.748567983117272</c:v>
                </c:pt>
                <c:pt idx="5">
                  <c:v>12.097640337330715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9-44AE-A27A-0FB6696F7B20}"/>
            </c:ext>
          </c:extLst>
        </c:ser>
        <c:ser>
          <c:idx val="1"/>
          <c:order val="1"/>
          <c:tx>
            <c:strRef>
              <c:f>'ApoA-&gt;B'!$A$20</c:f>
              <c:strCache>
                <c:ptCount val="1"/>
                <c:pt idx="0">
                  <c:v>GmDHDPS-A-H80K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'ApoA-&gt;B'!$B$18:$G$18</c:f>
              <c:numCache>
                <c:formatCode>General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'ApoA-&gt;B'!$B$20:$G$20</c:f>
              <c:numCache>
                <c:formatCode>General</c:formatCode>
                <c:ptCount val="6"/>
                <c:pt idx="0">
                  <c:v>100</c:v>
                </c:pt>
                <c:pt idx="1">
                  <c:v>96.659150814570168</c:v>
                </c:pt>
                <c:pt idx="2">
                  <c:v>95.689923465337102</c:v>
                </c:pt>
                <c:pt idx="3">
                  <c:v>92.672361777128515</c:v>
                </c:pt>
                <c:pt idx="4">
                  <c:v>95.474610181333162</c:v>
                </c:pt>
                <c:pt idx="5">
                  <c:v>92.007913772849989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9-44AE-A27A-0FB6696F7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5360"/>
        <c:axId val="202337280"/>
      </c:scatterChart>
      <c:valAx>
        <c:axId val="202335360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7280"/>
        <c:crosses val="autoZero"/>
        <c:crossBetween val="midCat"/>
        <c:majorUnit val="25"/>
      </c:valAx>
      <c:valAx>
        <c:axId val="2023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'ApoA-&gt;B'!$A$13</c:f>
              <c:strCache>
                <c:ptCount val="1"/>
                <c:pt idx="0">
                  <c:v>ApoA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'ApoA-&gt;B'!$C$14:$I$14</c:f>
                <c:numCache>
                  <c:formatCode>General</c:formatCode>
                  <c:ptCount val="7"/>
                  <c:pt idx="0">
                    <c:v>4.0055883082590373</c:v>
                  </c:pt>
                  <c:pt idx="1">
                    <c:v>4.8764147180109356</c:v>
                  </c:pt>
                  <c:pt idx="2">
                    <c:v>4.0055883082590373</c:v>
                  </c:pt>
                  <c:pt idx="3">
                    <c:v>5.3986973872623807</c:v>
                  </c:pt>
                  <c:pt idx="4">
                    <c:v>0.52228266925144451</c:v>
                  </c:pt>
                  <c:pt idx="5">
                    <c:v>7.3697681083038646E-2</c:v>
                  </c:pt>
                  <c:pt idx="6">
                    <c:v>7.3697681083038646E-2</c:v>
                  </c:pt>
                </c:numCache>
              </c:numRef>
            </c:plus>
            <c:minus>
              <c:numRef>
                <c:f>'ApoA-&gt;B'!$C$14:$I$14</c:f>
                <c:numCache>
                  <c:formatCode>General</c:formatCode>
                  <c:ptCount val="7"/>
                  <c:pt idx="0">
                    <c:v>4.0055883082590373</c:v>
                  </c:pt>
                  <c:pt idx="1">
                    <c:v>4.8764147180109356</c:v>
                  </c:pt>
                  <c:pt idx="2">
                    <c:v>4.0055883082590373</c:v>
                  </c:pt>
                  <c:pt idx="3">
                    <c:v>5.3986973872623807</c:v>
                  </c:pt>
                  <c:pt idx="4">
                    <c:v>0.52228266925144451</c:v>
                  </c:pt>
                  <c:pt idx="5">
                    <c:v>7.3697681083038646E-2</c:v>
                  </c:pt>
                  <c:pt idx="6">
                    <c:v>7.3697681083038646E-2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'ApoA-&gt;B'!$C$11:$I$11</c:f>
              <c:numCache>
                <c:formatCode>General</c:formatCode>
                <c:ptCount val="7"/>
                <c:pt idx="0">
                  <c:v>0</c:v>
                </c:pt>
                <c:pt idx="1">
                  <c:v>9.6910013008056461E-2</c:v>
                </c:pt>
                <c:pt idx="2">
                  <c:v>0.39794000867203771</c:v>
                </c:pt>
                <c:pt idx="3">
                  <c:v>0.69897000433601875</c:v>
                </c:pt>
                <c:pt idx="4">
                  <c:v>1</c:v>
                </c:pt>
                <c:pt idx="5">
                  <c:v>1.1760912590556813</c:v>
                </c:pt>
                <c:pt idx="6">
                  <c:v>2.6989700043360187</c:v>
                </c:pt>
              </c:numCache>
            </c:numRef>
          </c:xVal>
          <c:yVal>
            <c:numRef>
              <c:f>'ApoA-&gt;B'!$C$13:$I$13</c:f>
              <c:numCache>
                <c:formatCode>General</c:formatCode>
                <c:ptCount val="7"/>
                <c:pt idx="0">
                  <c:v>100</c:v>
                </c:pt>
                <c:pt idx="1">
                  <c:v>79.063913174555324</c:v>
                </c:pt>
                <c:pt idx="2">
                  <c:v>33.743593608682545</c:v>
                </c:pt>
                <c:pt idx="3">
                  <c:v>25.98507687669581</c:v>
                </c:pt>
                <c:pt idx="4">
                  <c:v>16.748567983117272</c:v>
                </c:pt>
                <c:pt idx="5">
                  <c:v>12.097640337330715</c:v>
                </c:pt>
                <c:pt idx="6">
                  <c:v>10.332183053389512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1E4-B470-39A30CC2BCCD}"/>
            </c:ext>
          </c:extLst>
        </c:ser>
        <c:ser>
          <c:idx val="1"/>
          <c:order val="1"/>
          <c:tx>
            <c:strRef>
              <c:f>'ApoA-&gt;B'!$A$15</c:f>
              <c:strCache>
                <c:ptCount val="1"/>
                <c:pt idx="0">
                  <c:v>ApoA-&gt;B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'ApoA-&gt;B'!$C$16:$I$16</c:f>
                <c:numCache>
                  <c:formatCode>General</c:formatCode>
                  <c:ptCount val="7"/>
                  <c:pt idx="0">
                    <c:v>7.6196599762526365</c:v>
                  </c:pt>
                  <c:pt idx="1">
                    <c:v>2.2859878155797433</c:v>
                  </c:pt>
                  <c:pt idx="2">
                    <c:v>1.2188940926293563</c:v>
                  </c:pt>
                  <c:pt idx="3">
                    <c:v>0.91439512623189734</c:v>
                  </c:pt>
                  <c:pt idx="4">
                    <c:v>6.400765883623281</c:v>
                  </c:pt>
                  <c:pt idx="5">
                    <c:v>4.5212565098169764</c:v>
                  </c:pt>
                  <c:pt idx="6">
                    <c:v>1.8365652882219985</c:v>
                  </c:pt>
                </c:numCache>
              </c:numRef>
            </c:plus>
            <c:minus>
              <c:numRef>
                <c:f>'ApoA-&gt;B'!$C$16:$I$16</c:f>
                <c:numCache>
                  <c:formatCode>General</c:formatCode>
                  <c:ptCount val="7"/>
                  <c:pt idx="0">
                    <c:v>7.6196599762526365</c:v>
                  </c:pt>
                  <c:pt idx="1">
                    <c:v>2.2859878155797433</c:v>
                  </c:pt>
                  <c:pt idx="2">
                    <c:v>1.2188940926293563</c:v>
                  </c:pt>
                  <c:pt idx="3">
                    <c:v>0.91439512623189734</c:v>
                  </c:pt>
                  <c:pt idx="4">
                    <c:v>6.400765883623281</c:v>
                  </c:pt>
                  <c:pt idx="5">
                    <c:v>4.5212565098169764</c:v>
                  </c:pt>
                  <c:pt idx="6">
                    <c:v>1.8365652882219985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'ApoA-&gt;B'!$C$11:$I$11</c:f>
              <c:numCache>
                <c:formatCode>General</c:formatCode>
                <c:ptCount val="7"/>
                <c:pt idx="0">
                  <c:v>0</c:v>
                </c:pt>
                <c:pt idx="1">
                  <c:v>9.6910013008056461E-2</c:v>
                </c:pt>
                <c:pt idx="2">
                  <c:v>0.39794000867203771</c:v>
                </c:pt>
                <c:pt idx="3">
                  <c:v>0.69897000433601875</c:v>
                </c:pt>
                <c:pt idx="4">
                  <c:v>1</c:v>
                </c:pt>
                <c:pt idx="5">
                  <c:v>1.1760912590556813</c:v>
                </c:pt>
                <c:pt idx="6">
                  <c:v>2.6989700043360187</c:v>
                </c:pt>
              </c:numCache>
            </c:numRef>
          </c:xVal>
          <c:yVal>
            <c:numRef>
              <c:f>'ApoA-&gt;B'!$C$15:$I$15</c:f>
              <c:numCache>
                <c:formatCode>General</c:formatCode>
                <c:ptCount val="7"/>
                <c:pt idx="0">
                  <c:v>100</c:v>
                </c:pt>
                <c:pt idx="1">
                  <c:v>96.659150814570168</c:v>
                </c:pt>
                <c:pt idx="2">
                  <c:v>95.689923465337102</c:v>
                </c:pt>
                <c:pt idx="3">
                  <c:v>92.672361777128515</c:v>
                </c:pt>
                <c:pt idx="4">
                  <c:v>95.474610181333162</c:v>
                </c:pt>
                <c:pt idx="5">
                  <c:v>92.007913772849989</c:v>
                </c:pt>
                <c:pt idx="6">
                  <c:v>86.912833678285111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BF-41E4-B470-39A30CC2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89376"/>
        <c:axId val="202403840"/>
      </c:scatterChart>
      <c:valAx>
        <c:axId val="2023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μM lysine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3840"/>
        <c:crosses val="autoZero"/>
        <c:crossBetween val="midCat"/>
        <c:majorUnit val="0.2"/>
      </c:valAx>
      <c:valAx>
        <c:axId val="2024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remaining 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3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5048118985127"/>
          <c:y val="8.0106724864938167E-2"/>
          <c:w val="0.79329396325459323"/>
          <c:h val="0.722281969363908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8A0-4CE7-9F1A-3234C388274F}"/>
              </c:ext>
            </c:extLst>
          </c:dPt>
          <c:dLbls>
            <c:dLbl>
              <c:idx val="0"/>
              <c:layout>
                <c:manualLayout>
                  <c:x val="2.8355205599300271E-3"/>
                  <c:y val="-0.107266619079207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A0-4CE7-9F1A-3234C388274F}"/>
                </c:ext>
              </c:extLst>
            </c:dLbl>
            <c:dLbl>
              <c:idx val="1"/>
              <c:layout>
                <c:manualLayout>
                  <c:x val="0"/>
                  <c:y val="-2.6702241621646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A0-4CE7-9F1A-3234C388274F}"/>
                </c:ext>
              </c:extLst>
            </c:dLbl>
            <c:dLbl>
              <c:idx val="2"/>
              <c:layout>
                <c:manualLayout>
                  <c:x val="-5.5555555555555558E-3"/>
                  <c:y val="-2.6702241621646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0-4CE7-9F1A-3234C3882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[8]Blad2!$W$11:$W$13</c:f>
                <c:numCache>
                  <c:formatCode>General</c:formatCode>
                  <c:ptCount val="3"/>
                  <c:pt idx="0">
                    <c:v>29883.999999999996</c:v>
                  </c:pt>
                  <c:pt idx="1">
                    <c:v>12353.5</c:v>
                  </c:pt>
                  <c:pt idx="2">
                    <c:v>642.99999999999989</c:v>
                  </c:pt>
                </c:numCache>
              </c:numRef>
            </c:plus>
            <c:minus>
              <c:numRef>
                <c:f>[8]Blad2!$W$11:$W$13</c:f>
                <c:numCache>
                  <c:formatCode>General</c:formatCode>
                  <c:ptCount val="3"/>
                  <c:pt idx="0">
                    <c:v>29883.999999999996</c:v>
                  </c:pt>
                  <c:pt idx="1">
                    <c:v>12353.5</c:v>
                  </c:pt>
                  <c:pt idx="2">
                    <c:v>642.99999999999989</c:v>
                  </c:pt>
                </c:numCache>
              </c:numRef>
            </c:minus>
            <c:spPr>
              <a:noFill/>
              <a:ln w="9528" cap="flat">
                <a:solidFill>
                  <a:srgbClr val="595959"/>
                </a:solidFill>
                <a:prstDash val="solid"/>
                <a:round/>
              </a:ln>
            </c:spPr>
          </c:errBars>
          <c:cat>
            <c:strRef>
              <c:f>[8]Blad2!$U$11:$U$13</c:f>
              <c:strCache>
                <c:ptCount val="3"/>
                <c:pt idx="0">
                  <c:v>GmDHDPSA</c:v>
                </c:pt>
                <c:pt idx="1">
                  <c:v>GmDHDPSB</c:v>
                </c:pt>
                <c:pt idx="2">
                  <c:v>GmDHDPSC</c:v>
                </c:pt>
              </c:strCache>
            </c:strRef>
          </c:cat>
          <c:val>
            <c:numRef>
              <c:f>[8]Blad2!$V$11:$V$13</c:f>
              <c:numCache>
                <c:formatCode>General</c:formatCode>
                <c:ptCount val="3"/>
                <c:pt idx="0">
                  <c:v>179230</c:v>
                </c:pt>
                <c:pt idx="1">
                  <c:v>6500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0-4CE7-9F1A-3234C388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219504"/>
        <c:axId val="630219176"/>
      </c:barChart>
      <c:valAx>
        <c:axId val="630219176"/>
        <c:scaling>
          <c:orientation val="minMax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units/(mg protein x 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0219504"/>
        <c:crosses val="autoZero"/>
        <c:crossBetween val="between"/>
        <c:majorUnit val="20000"/>
      </c:valAx>
      <c:catAx>
        <c:axId val="6302195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DHDPS isotype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02191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nl-NL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juni'!$C$2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juni'!$B$3:$B$11</c:f>
              <c:strCache>
                <c:ptCount val="9"/>
                <c:pt idx="0">
                  <c:v>APOA</c:v>
                </c:pt>
                <c:pt idx="1">
                  <c:v>ApoA-&gt;C</c:v>
                </c:pt>
                <c:pt idx="2">
                  <c:v>B</c:v>
                </c:pt>
                <c:pt idx="3">
                  <c:v>C</c:v>
                </c:pt>
                <c:pt idx="4">
                  <c:v>Sa</c:v>
                </c:pt>
                <c:pt idx="5">
                  <c:v>ApoA-&gt;B</c:v>
                </c:pt>
                <c:pt idx="6">
                  <c:v>ApoB-&gt;A</c:v>
                </c:pt>
                <c:pt idx="7">
                  <c:v>ApoA-&gt;C</c:v>
                </c:pt>
                <c:pt idx="8">
                  <c:v>ApoA-&gt;Ser</c:v>
                </c:pt>
              </c:strCache>
            </c:strRef>
          </c:cat>
          <c:val>
            <c:numRef>
              <c:f>'1 juni'!$C$3:$C$11</c:f>
              <c:numCache>
                <c:formatCode>General</c:formatCode>
                <c:ptCount val="9"/>
                <c:pt idx="0">
                  <c:v>41449</c:v>
                </c:pt>
                <c:pt idx="1">
                  <c:v>39056</c:v>
                </c:pt>
                <c:pt idx="2">
                  <c:v>-803</c:v>
                </c:pt>
                <c:pt idx="3">
                  <c:v>-408</c:v>
                </c:pt>
                <c:pt idx="4">
                  <c:v>39229</c:v>
                </c:pt>
                <c:pt idx="5">
                  <c:v>35593</c:v>
                </c:pt>
                <c:pt idx="6">
                  <c:v>-1402</c:v>
                </c:pt>
                <c:pt idx="7">
                  <c:v>39056</c:v>
                </c:pt>
                <c:pt idx="8">
                  <c:v>42603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9-45BC-A96C-DC893D3362E9}"/>
            </c:ext>
          </c:extLst>
        </c:ser>
        <c:ser>
          <c:idx val="1"/>
          <c:order val="1"/>
          <c:tx>
            <c:strRef>
              <c:f>'1 juni'!$D$2</c:f>
              <c:strCache>
                <c:ptCount val="1"/>
                <c:pt idx="0">
                  <c:v>150 µM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 juni'!$B$3:$B$11</c:f>
              <c:strCache>
                <c:ptCount val="9"/>
                <c:pt idx="0">
                  <c:v>APOA</c:v>
                </c:pt>
                <c:pt idx="1">
                  <c:v>ApoA-&gt;C</c:v>
                </c:pt>
                <c:pt idx="2">
                  <c:v>B</c:v>
                </c:pt>
                <c:pt idx="3">
                  <c:v>C</c:v>
                </c:pt>
                <c:pt idx="4">
                  <c:v>Sa</c:v>
                </c:pt>
                <c:pt idx="5">
                  <c:v>ApoA-&gt;B</c:v>
                </c:pt>
                <c:pt idx="6">
                  <c:v>ApoB-&gt;A</c:v>
                </c:pt>
                <c:pt idx="7">
                  <c:v>ApoA-&gt;C</c:v>
                </c:pt>
                <c:pt idx="8">
                  <c:v>ApoA-&gt;Ser</c:v>
                </c:pt>
              </c:strCache>
            </c:strRef>
          </c:cat>
          <c:val>
            <c:numRef>
              <c:f>'1 juni'!$D$3:$D$11</c:f>
              <c:numCache>
                <c:formatCode>General</c:formatCode>
                <c:ptCount val="9"/>
                <c:pt idx="0">
                  <c:v>11983</c:v>
                </c:pt>
                <c:pt idx="1">
                  <c:v>26426</c:v>
                </c:pt>
                <c:pt idx="2">
                  <c:v>45144</c:v>
                </c:pt>
                <c:pt idx="3">
                  <c:v>13257</c:v>
                </c:pt>
                <c:pt idx="4">
                  <c:v>45833</c:v>
                </c:pt>
                <c:pt idx="5">
                  <c:v>40806</c:v>
                </c:pt>
                <c:pt idx="6">
                  <c:v>5407</c:v>
                </c:pt>
                <c:pt idx="7">
                  <c:v>26426</c:v>
                </c:pt>
                <c:pt idx="8">
                  <c:v>15642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9-45BC-A96C-DC893D3362E9}"/>
            </c:ext>
          </c:extLst>
        </c:ser>
        <c:ser>
          <c:idx val="2"/>
          <c:order val="2"/>
          <c:tx>
            <c:strRef>
              <c:f>'1 juni'!$E$2</c:f>
              <c:strCache>
                <c:ptCount val="1"/>
                <c:pt idx="0">
                  <c:v>5 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 juni'!$B$3:$B$11</c:f>
              <c:strCache>
                <c:ptCount val="9"/>
                <c:pt idx="0">
                  <c:v>APOA</c:v>
                </c:pt>
                <c:pt idx="1">
                  <c:v>ApoA-&gt;C</c:v>
                </c:pt>
                <c:pt idx="2">
                  <c:v>B</c:v>
                </c:pt>
                <c:pt idx="3">
                  <c:v>C</c:v>
                </c:pt>
                <c:pt idx="4">
                  <c:v>Sa</c:v>
                </c:pt>
                <c:pt idx="5">
                  <c:v>ApoA-&gt;B</c:v>
                </c:pt>
                <c:pt idx="6">
                  <c:v>ApoB-&gt;A</c:v>
                </c:pt>
                <c:pt idx="7">
                  <c:v>ApoA-&gt;C</c:v>
                </c:pt>
                <c:pt idx="8">
                  <c:v>ApoA-&gt;Ser</c:v>
                </c:pt>
              </c:strCache>
            </c:strRef>
          </c:cat>
          <c:val>
            <c:numRef>
              <c:f>'1 juni'!$E$3:$E$11</c:f>
              <c:numCache>
                <c:formatCode>General</c:formatCode>
                <c:ptCount val="9"/>
                <c:pt idx="0">
                  <c:v>6875</c:v>
                </c:pt>
                <c:pt idx="1">
                  <c:v>18071</c:v>
                </c:pt>
                <c:pt idx="2">
                  <c:v>3210</c:v>
                </c:pt>
                <c:pt idx="3">
                  <c:v>2040</c:v>
                </c:pt>
                <c:pt idx="4">
                  <c:v>45833</c:v>
                </c:pt>
                <c:pt idx="5">
                  <c:v>40986</c:v>
                </c:pt>
                <c:pt idx="6">
                  <c:v>2603</c:v>
                </c:pt>
                <c:pt idx="7">
                  <c:v>18071</c:v>
                </c:pt>
                <c:pt idx="8">
                  <c:v>15847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9-45BC-A96C-DC893D33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299552"/>
        <c:axId val="534295944"/>
      </c:barChart>
      <c:catAx>
        <c:axId val="5342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95944"/>
        <c:crosses val="autoZero"/>
        <c:auto val="1"/>
        <c:lblAlgn val="ctr"/>
        <c:lblOffset val="100"/>
        <c:noMultiLvlLbl val="0"/>
      </c:catAx>
      <c:valAx>
        <c:axId val="5342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juni'!$B$16</c:f>
              <c:strCache>
                <c:ptCount val="1"/>
                <c:pt idx="0">
                  <c:v>ApoA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 juni'!$C$19:$E$19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13.711784475834911</c:v>
                  </c:pt>
                  <c:pt idx="2">
                    <c:v>6.6998191371171396</c:v>
                  </c:pt>
                </c:numCache>
              </c:numRef>
            </c:plus>
            <c:minus>
              <c:numRef>
                <c:f>'1 juni'!$C$19:$E$19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13.711784475834911</c:v>
                  </c:pt>
                  <c:pt idx="2">
                    <c:v>6.6998191371171396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 juni'!$C$13:$E$13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5000</c:v>
                </c:pt>
              </c:numCache>
            </c:numRef>
          </c:cat>
          <c:val>
            <c:numRef>
              <c:f>'1 juni'!$C$18:$E$18</c:f>
              <c:numCache>
                <c:formatCode>0</c:formatCode>
                <c:ptCount val="3"/>
                <c:pt idx="0">
                  <c:v>100</c:v>
                </c:pt>
                <c:pt idx="1">
                  <c:v>19.214531240952443</c:v>
                </c:pt>
                <c:pt idx="2">
                  <c:v>11.849161107982042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B-4F0B-871A-1C04B8995D11}"/>
            </c:ext>
          </c:extLst>
        </c:ser>
        <c:ser>
          <c:idx val="1"/>
          <c:order val="1"/>
          <c:tx>
            <c:v>ApoA-&gt;C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 juni'!$C$25:$E$25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39.476431623119424</c:v>
                  </c:pt>
                  <c:pt idx="2">
                    <c:v>22.464981277706546</c:v>
                  </c:pt>
                </c:numCache>
              </c:numRef>
            </c:plus>
            <c:minus>
              <c:numRef>
                <c:f>'1 juni'!$C$25:$E$25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39.476431623119424</c:v>
                  </c:pt>
                  <c:pt idx="2">
                    <c:v>22.464981277706546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 juni'!$C$24:$E$24</c:f>
              <c:numCache>
                <c:formatCode>0</c:formatCode>
                <c:ptCount val="3"/>
                <c:pt idx="0">
                  <c:v>100</c:v>
                </c:pt>
                <c:pt idx="1">
                  <c:v>39.747766428914581</c:v>
                </c:pt>
                <c:pt idx="2">
                  <c:v>30.384318637322075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B-4F0B-871A-1C04B899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223768"/>
        <c:axId val="630220160"/>
      </c:barChart>
      <c:catAx>
        <c:axId val="63022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Lysine</a:t>
                </a:r>
                <a:r>
                  <a:rPr lang="en-US" baseline="0"/>
                  <a:t> concentration (</a:t>
                </a:r>
                <a:r>
                  <a:rPr lang="el-GR" baseline="0"/>
                  <a:t>μ</a:t>
                </a:r>
                <a:r>
                  <a:rPr lang="nl-BE" baseline="0"/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7904636920384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20160"/>
        <c:crosses val="autoZero"/>
        <c:auto val="1"/>
        <c:lblAlgn val="ctr"/>
        <c:lblOffset val="100"/>
        <c:noMultiLvlLbl val="0"/>
      </c:catAx>
      <c:valAx>
        <c:axId val="630220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% remaining activity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2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89195100612426"/>
          <c:y val="0.88020778652668419"/>
          <c:w val="0.2386605424321959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'p80 graph'!$A$21</c:f>
              <c:strCache>
                <c:ptCount val="1"/>
                <c:pt idx="0">
                  <c:v>GmDHDPSA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4.3402777777777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0E-435C-AF24-763C03E2F453}"/>
                </c:ext>
              </c:extLst>
            </c:dLbl>
            <c:dLbl>
              <c:idx val="1"/>
              <c:layout>
                <c:manualLayout>
                  <c:x val="-2.7777777777777779E-3"/>
                  <c:y val="-1.7361111111111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0E-435C-AF24-763C03E2F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'p80 graph'!$B$19:$D$19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5.0562653045804477E-2</c:v>
                  </c:pt>
                  <c:pt idx="2">
                    <c:v>2.5505519120292364E-2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'p80 graph'!$B$20:$D$20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5000</c:v>
                </c:pt>
              </c:numCache>
            </c:numRef>
          </c:cat>
          <c:val>
            <c:numRef>
              <c:f>'p80 graph'!$B$21:$D$21</c:f>
              <c:numCache>
                <c:formatCode>0.00</c:formatCode>
                <c:ptCount val="3"/>
                <c:pt idx="0">
                  <c:v>1</c:v>
                </c:pt>
                <c:pt idx="1">
                  <c:v>0.15662362695942053</c:v>
                </c:pt>
                <c:pt idx="2">
                  <c:v>0.1109614759608254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E-435C-AF24-763C03E2F453}"/>
            </c:ext>
          </c:extLst>
        </c:ser>
        <c:ser>
          <c:idx val="1"/>
          <c:order val="1"/>
          <c:tx>
            <c:strRef>
              <c:f>'p80 graph'!$A$22</c:f>
              <c:strCache>
                <c:ptCount val="1"/>
                <c:pt idx="0">
                  <c:v>GmDHDPSA-H80K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925337632079971E-17"/>
                  <c:y val="-3.9062500000000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0E-435C-AF24-763C03E2F453}"/>
                </c:ext>
              </c:extLst>
            </c:dLbl>
            <c:dLbl>
              <c:idx val="1"/>
              <c:layout>
                <c:manualLayout>
                  <c:x val="0"/>
                  <c:y val="-2.60416666666666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0E-435C-AF24-763C03E2F453}"/>
                </c:ext>
              </c:extLst>
            </c:dLbl>
            <c:dLbl>
              <c:idx val="2"/>
              <c:layout>
                <c:manualLayout>
                  <c:x val="0"/>
                  <c:y val="-3.03819444444444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0E-435C-AF24-763C03E2F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'p80 graph'!$G$8:$I$8</c:f>
                <c:numCache>
                  <c:formatCode>General</c:formatCode>
                  <c:ptCount val="3"/>
                  <c:pt idx="0">
                    <c:v>6.5989864896534675E-2</c:v>
                  </c:pt>
                  <c:pt idx="1">
                    <c:v>6.4471020061444451E-2</c:v>
                  </c:pt>
                  <c:pt idx="2">
                    <c:v>4.2305787080686386E-2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'p80 graph'!$B$20:$D$20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5000</c:v>
                </c:pt>
              </c:numCache>
            </c:numRef>
          </c:cat>
          <c:val>
            <c:numRef>
              <c:f>'p80 graph'!$B$22:$D$22</c:f>
              <c:numCache>
                <c:formatCode>0.00</c:formatCode>
                <c:ptCount val="3"/>
                <c:pt idx="0">
                  <c:v>1.08</c:v>
                </c:pt>
                <c:pt idx="1">
                  <c:v>0.99</c:v>
                </c:pt>
                <c:pt idx="2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E-435C-AF24-763C03E2F453}"/>
            </c:ext>
          </c:extLst>
        </c:ser>
        <c:ser>
          <c:idx val="2"/>
          <c:order val="2"/>
          <c:tx>
            <c:strRef>
              <c:f>'p80 graph'!$A$23</c:f>
              <c:strCache>
                <c:ptCount val="1"/>
                <c:pt idx="0">
                  <c:v>GmDHDPSA-H80Q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7361111111111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0E-435C-AF24-763C03E2F453}"/>
                </c:ext>
              </c:extLst>
            </c:dLbl>
            <c:dLbl>
              <c:idx val="1"/>
              <c:layout>
                <c:manualLayout>
                  <c:x val="2.777777777777676E-3"/>
                  <c:y val="-0.108506944444444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0E-435C-AF24-763C03E2F453}"/>
                </c:ext>
              </c:extLst>
            </c:dLbl>
            <c:dLbl>
              <c:idx val="2"/>
              <c:layout>
                <c:manualLayout>
                  <c:x val="2.7777777777777779E-3"/>
                  <c:y val="-5.64236111111111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0E-435C-AF24-763C03E2F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'p80 graph'!$G$17:$I$17</c:f>
                <c:numCache>
                  <c:formatCode>General</c:formatCode>
                  <c:ptCount val="3"/>
                  <c:pt idx="0">
                    <c:v>5.2258789236412528E-2</c:v>
                  </c:pt>
                  <c:pt idx="1">
                    <c:v>0.25684058185098962</c:v>
                  </c:pt>
                  <c:pt idx="2">
                    <c:v>0.14210324752981385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'p80 graph'!$B$20:$D$20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5000</c:v>
                </c:pt>
              </c:numCache>
            </c:numRef>
          </c:cat>
          <c:val>
            <c:numRef>
              <c:f>'p80 graph'!$B$23:$D$23</c:f>
              <c:numCache>
                <c:formatCode>0.00</c:formatCode>
                <c:ptCount val="3"/>
                <c:pt idx="0">
                  <c:v>0.99452518890829844</c:v>
                </c:pt>
                <c:pt idx="1">
                  <c:v>0.38071400330184879</c:v>
                </c:pt>
                <c:pt idx="2">
                  <c:v>0.29387832017990168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E-435C-AF24-763C03E2F4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17320"/>
        <c:axId val="734318304"/>
      </c:barChart>
      <c:catAx>
        <c:axId val="73431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Lysine concentration (</a:t>
                </a:r>
                <a:r>
                  <a:rPr lang="el-GR"/>
                  <a:t>μ</a:t>
                </a:r>
                <a:r>
                  <a:rPr lang="nl-BE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18304"/>
        <c:crosses val="autoZero"/>
        <c:auto val="1"/>
        <c:lblAlgn val="ctr"/>
        <c:lblOffset val="100"/>
        <c:noMultiLvlLbl val="0"/>
      </c:catAx>
      <c:valAx>
        <c:axId val="7343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DHDPS activity compared to GmDHDPSA    </a:t>
                </a:r>
                <a:r>
                  <a:rPr lang="en-US" baseline="0"/>
                  <a:t>  </a:t>
                </a:r>
                <a:r>
                  <a:rPr lang="en-US"/>
                  <a:t>(0 </a:t>
                </a:r>
                <a:r>
                  <a:rPr lang="el-GR"/>
                  <a:t>μ</a:t>
                </a:r>
                <a:r>
                  <a:rPr lang="nl-BE"/>
                  <a:t>M lysine)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7.87037037037037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1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22305041051362"/>
          <c:y val="0.12956281840916675"/>
          <c:w val="0.7919144226188809"/>
          <c:h val="0.66041217324898616"/>
        </c:manualLayout>
      </c:layout>
      <c:scatterChart>
        <c:scatterStyle val="lineMarker"/>
        <c:varyColors val="0"/>
        <c:ser>
          <c:idx val="0"/>
          <c:order val="0"/>
          <c:tx>
            <c:v>BSA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'[2]End point'!$O$15:$O$21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'[2]End point'!$P$15:$P$21</c:f>
              <c:numCache>
                <c:formatCode>General</c:formatCode>
                <c:ptCount val="7"/>
                <c:pt idx="0">
                  <c:v>0.245</c:v>
                </c:pt>
                <c:pt idx="1">
                  <c:v>0.254</c:v>
                </c:pt>
                <c:pt idx="2">
                  <c:v>0.307</c:v>
                </c:pt>
                <c:pt idx="3">
                  <c:v>0.35199999999999998</c:v>
                </c:pt>
                <c:pt idx="4">
                  <c:v>0.40799999999999997</c:v>
                </c:pt>
                <c:pt idx="5">
                  <c:v>0.45900000000000002</c:v>
                </c:pt>
                <c:pt idx="6">
                  <c:v>0.49199999999999999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ED3-B154-E3C7A0F0431C}"/>
            </c:ext>
          </c:extLst>
        </c:ser>
        <c:ser>
          <c:idx val="1"/>
          <c:order val="1"/>
          <c:tx>
            <c:v>BSA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606710193254316E-3"/>
                  <c:y val="-6.4765069503926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'[2]End point'!$O$15:$O$21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'[2]End point'!$Q$15:$Q$21</c:f>
              <c:numCache>
                <c:formatCode>General</c:formatCode>
                <c:ptCount val="7"/>
                <c:pt idx="0">
                  <c:v>0</c:v>
                </c:pt>
                <c:pt idx="1">
                  <c:v>9.000000000000008E-3</c:v>
                </c:pt>
                <c:pt idx="2">
                  <c:v>6.2E-2</c:v>
                </c:pt>
                <c:pt idx="3">
                  <c:v>0.10699999999999998</c:v>
                </c:pt>
                <c:pt idx="4">
                  <c:v>0.16299999999999998</c:v>
                </c:pt>
                <c:pt idx="5">
                  <c:v>0.21400000000000002</c:v>
                </c:pt>
                <c:pt idx="6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A-4ED3-B154-E3C7A0F0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2240"/>
        <c:axId val="2014841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APO2-&gt;3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'[2]End point'!$O$15:$O$21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'[2]End point'!$N$15:$N$21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0.254</c:v>
                      </c:pt>
                      <c:pt idx="1">
                        <c:v>0.312</c:v>
                      </c:pt>
                      <c:pt idx="2">
                        <c:v>0.39</c:v>
                      </c:pt>
                      <c:pt idx="3">
                        <c:v>0.502</c:v>
                      </c:pt>
                      <c:pt idx="4">
                        <c:v>0.63900000000000001</c:v>
                      </c:pt>
                      <c:pt idx="5">
                        <c:v>0.72699999999999998</c:v>
                      </c:pt>
                      <c:pt idx="6">
                        <c:v>0.72199999999999998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70A-4ED3-B154-E3C7A0F0431C}"/>
                  </c:ext>
                </c:extLst>
              </c15:ser>
            </c15:filteredScatterSeries>
          </c:ext>
        </c:extLst>
      </c:scatterChart>
      <c:valAx>
        <c:axId val="2014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4160"/>
        <c:crosses val="autoZero"/>
        <c:crossBetween val="midCat"/>
      </c:valAx>
      <c:valAx>
        <c:axId val="2014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  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BRADFORD RAKIE</a:t>
            </a:r>
          </a:p>
          <a:p>
            <a:pPr>
              <a:defRPr/>
            </a:pP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522843156576323E-2"/>
                  <c:y val="-0.15108317761106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'[1]End point'!$H$29:$H$34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</c:numCache>
            </c:numRef>
          </c:xVal>
          <c:yVal>
            <c:numRef>
              <c:f>'[1]End point'!$I$29:$I$34</c:f>
              <c:numCache>
                <c:formatCode>General</c:formatCode>
                <c:ptCount val="6"/>
                <c:pt idx="0">
                  <c:v>0.81300000000000006</c:v>
                </c:pt>
                <c:pt idx="1">
                  <c:v>0.54399999999999993</c:v>
                </c:pt>
                <c:pt idx="2">
                  <c:v>0.31599999999999995</c:v>
                </c:pt>
                <c:pt idx="3">
                  <c:v>0.19599999999999995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4-4A5F-95FD-7CED270B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8112"/>
        <c:axId val="181268480"/>
      </c:scatterChart>
      <c:valAx>
        <c:axId val="181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BSA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480"/>
        <c:crosses val="autoZero"/>
        <c:crossBetween val="midCat"/>
      </c:valAx>
      <c:valAx>
        <c:axId val="1812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OD 595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'[3]End point'!$C$63:$J$63</c:f>
              <c:numCache>
                <c:formatCode>General</c:formatCode>
                <c:ptCount val="8"/>
                <c:pt idx="2">
                  <c:v>320</c:v>
                </c:pt>
                <c:pt idx="3">
                  <c:v>160</c:v>
                </c:pt>
                <c:pt idx="4">
                  <c:v>80</c:v>
                </c:pt>
                <c:pt idx="5">
                  <c:v>40</c:v>
                </c:pt>
                <c:pt idx="6">
                  <c:v>20</c:v>
                </c:pt>
              </c:numCache>
            </c:numRef>
          </c:xVal>
          <c:yVal>
            <c:numRef>
              <c:f>'[3]End point'!$C$64:$J$64</c:f>
              <c:numCache>
                <c:formatCode>General</c:formatCode>
                <c:ptCount val="8"/>
                <c:pt idx="2">
                  <c:v>0.61066666666666669</c:v>
                </c:pt>
                <c:pt idx="3">
                  <c:v>0.35833333333333334</c:v>
                </c:pt>
                <c:pt idx="4">
                  <c:v>0.18099999999999999</c:v>
                </c:pt>
                <c:pt idx="5">
                  <c:v>6.5000000000000002E-2</c:v>
                </c:pt>
                <c:pt idx="6">
                  <c:v>2.4333333333333373E-2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7-4D27-840E-CA44E21F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6752"/>
        <c:axId val="181148672"/>
      </c:scatterChart>
      <c:valAx>
        <c:axId val="1811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µg/ml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48672"/>
        <c:crosses val="autoZero"/>
        <c:crossBetween val="midCat"/>
      </c:valAx>
      <c:valAx>
        <c:axId val="18114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595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4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Concentration</a:t>
            </a:r>
            <a:r>
              <a:rPr lang="nl-BE" baseline="0"/>
              <a:t> protein (1:1;1:10;1:100) VS 5 mM lys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[5]GRAPHS!$C$1</c:f>
              <c:strCache>
                <c:ptCount val="1"/>
                <c:pt idx="0">
                  <c:v>0 mM Lys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[5]GRAPHS!$B$2:$B$4</c:f>
              <c:strCache>
                <c:ptCount val="3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</c:strCache>
            </c:strRef>
          </c:cat>
          <c:val>
            <c:numRef>
              <c:f>[5]GRAPHS!$C$2:$C$4</c:f>
              <c:numCache>
                <c:formatCode>General</c:formatCode>
                <c:ptCount val="3"/>
                <c:pt idx="0">
                  <c:v>1713</c:v>
                </c:pt>
                <c:pt idx="1">
                  <c:v>12697</c:v>
                </c:pt>
                <c:pt idx="2">
                  <c:v>116953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2-4852-B5F9-094781CA4E62}"/>
            </c:ext>
          </c:extLst>
        </c:ser>
        <c:ser>
          <c:idx val="1"/>
          <c:order val="1"/>
          <c:tx>
            <c:strRef>
              <c:f>[5]GRAPHS!$D$1</c:f>
              <c:strCache>
                <c:ptCount val="1"/>
                <c:pt idx="0">
                  <c:v>5 mM 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[5]GRAPHS!$B$2:$B$4</c:f>
              <c:strCache>
                <c:ptCount val="3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</c:strCache>
            </c:strRef>
          </c:cat>
          <c:val>
            <c:numRef>
              <c:f>[5]GRAPHS!$D$2:$D$4</c:f>
              <c:numCache>
                <c:formatCode>General</c:formatCode>
                <c:ptCount val="3"/>
                <c:pt idx="0">
                  <c:v>1717</c:v>
                </c:pt>
                <c:pt idx="1">
                  <c:v>8047</c:v>
                </c:pt>
                <c:pt idx="2">
                  <c:v>43276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2-4852-B5F9-094781CA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24576"/>
        <c:axId val="201683712"/>
      </c:barChart>
      <c:catAx>
        <c:axId val="2016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3712"/>
        <c:crosses val="autoZero"/>
        <c:auto val="1"/>
        <c:lblAlgn val="ctr"/>
        <c:lblOffset val="100"/>
        <c:noMultiLvlLbl val="0"/>
      </c:catAx>
      <c:valAx>
        <c:axId val="201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Specific</a:t>
                </a:r>
                <a:r>
                  <a:rPr lang="nl-BE" baseline="0"/>
                  <a:t> Activity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Concentration protein (1:1;1:10;1:100) VS 5 mM lys</a:t>
            </a:r>
            <a:endParaRPr lang="nl-BE">
              <a:effectLst/>
            </a:endParaRPr>
          </a:p>
        </c:rich>
      </c:tx>
      <c:layout>
        <c:manualLayout>
          <c:xMode val="edge"/>
          <c:yMode val="edge"/>
          <c:x val="0.17586825248242571"/>
          <c:y val="2.1730691950208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[5]GRAPHS!$C$6</c:f>
              <c:strCache>
                <c:ptCount val="1"/>
                <c:pt idx="0">
                  <c:v>0 mM Lys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[5]GRAPHS!$B$7:$B$9</c:f>
              <c:strCache>
                <c:ptCount val="3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</c:strCache>
            </c:strRef>
          </c:cat>
          <c:val>
            <c:numRef>
              <c:f>[5]GRAPHS!$C$7:$C$9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7-4FA4-A522-8FA154ACE532}"/>
            </c:ext>
          </c:extLst>
        </c:ser>
        <c:ser>
          <c:idx val="1"/>
          <c:order val="1"/>
          <c:tx>
            <c:strRef>
              <c:f>[5]GRAPHS!$D$6</c:f>
              <c:strCache>
                <c:ptCount val="1"/>
                <c:pt idx="0">
                  <c:v>5 mM 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[5]GRAPHS!$B$7:$B$9</c:f>
              <c:strCache>
                <c:ptCount val="3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</c:strCache>
            </c:strRef>
          </c:cat>
          <c:val>
            <c:numRef>
              <c:f>[5]GRAPHS!$D$7:$D$9</c:f>
              <c:numCache>
                <c:formatCode>General</c:formatCode>
                <c:ptCount val="3"/>
                <c:pt idx="0">
                  <c:v>1.0023350846468184</c:v>
                </c:pt>
                <c:pt idx="1">
                  <c:v>0.63377175710797828</c:v>
                </c:pt>
                <c:pt idx="2">
                  <c:v>0.37002898600292428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7-4FA4-A522-8FA154AC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18400"/>
        <c:axId val="201523584"/>
      </c:barChart>
      <c:catAx>
        <c:axId val="2017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3584"/>
        <c:crosses val="autoZero"/>
        <c:auto val="1"/>
        <c:lblAlgn val="ctr"/>
        <c:lblOffset val="100"/>
        <c:noMultiLvlLbl val="0"/>
      </c:catAx>
      <c:valAx>
        <c:axId val="20152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% remaining</a:t>
                </a:r>
                <a:r>
                  <a:rPr lang="nl-BE" baseline="0"/>
                  <a:t> activity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 ng protein each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[6]GRAPHS!$C$2</c:f>
              <c:strCache>
                <c:ptCount val="1"/>
                <c:pt idx="0">
                  <c:v>0 µM Lys</c:v>
                </c:pt>
              </c:strCache>
            </c:strRef>
          </c:tx>
          <c:invertIfNegative val="0"/>
          <c:cat>
            <c:strRef>
              <c:f>[6]GRAPHS!$B$3:$B$5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[6]GRAPHS!$C$3:$C$5</c:f>
              <c:numCache>
                <c:formatCode>General</c:formatCode>
                <c:ptCount val="3"/>
                <c:pt idx="0">
                  <c:v>127686</c:v>
                </c:pt>
                <c:pt idx="1">
                  <c:v>65116</c:v>
                </c:pt>
                <c:pt idx="2">
                  <c:v>66340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5-44BC-BA72-DECBD1055C41}"/>
            </c:ext>
          </c:extLst>
        </c:ser>
        <c:ser>
          <c:idx val="1"/>
          <c:order val="1"/>
          <c:tx>
            <c:strRef>
              <c:f>[6]GRAPHS!$D$2</c:f>
              <c:strCache>
                <c:ptCount val="1"/>
                <c:pt idx="0">
                  <c:v>5 mM Lys</c:v>
                </c:pt>
              </c:strCache>
            </c:strRef>
          </c:tx>
          <c:invertIfNegative val="0"/>
          <c:cat>
            <c:strRef>
              <c:f>[6]GRAPHS!$B$3:$B$5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[6]GRAPHS!$D$3:$D$5</c:f>
              <c:numCache>
                <c:formatCode>General</c:formatCode>
                <c:ptCount val="3"/>
                <c:pt idx="0">
                  <c:v>56471</c:v>
                </c:pt>
                <c:pt idx="1">
                  <c:v>57807</c:v>
                </c:pt>
                <c:pt idx="2">
                  <c:v>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5-44BC-BA72-DECBD10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87328"/>
        <c:axId val="202133888"/>
      </c:barChart>
      <c:catAx>
        <c:axId val="20158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2133888"/>
        <c:crosses val="autoZero"/>
        <c:auto val="1"/>
        <c:lblAlgn val="ctr"/>
        <c:lblOffset val="100"/>
        <c:noMultiLvlLbl val="0"/>
      </c:catAx>
      <c:valAx>
        <c:axId val="20213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Specific activity (units/mg protein x min)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5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ng protein each</a:t>
            </a:r>
          </a:p>
        </c:rich>
      </c:tx>
      <c:layout>
        <c:manualLayout>
          <c:xMode val="edge"/>
          <c:yMode val="edge"/>
          <c:x val="0.46168044619422571"/>
          <c:y val="3.240740740740740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GRAPHS2!$C$34</c:f>
              <c:strCache>
                <c:ptCount val="1"/>
                <c:pt idx="0">
                  <c:v>0 µM Lys</c:v>
                </c:pt>
              </c:strCache>
            </c:strRef>
          </c:tx>
          <c:invertIfNegative val="0"/>
          <c:cat>
            <c:strRef>
              <c:f>GRAPHS2!$B$35:$B$37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GRAPHS2!$C$35:$C$37</c:f>
              <c:numCache>
                <c:formatCode>General</c:formatCode>
                <c:ptCount val="3"/>
                <c:pt idx="0">
                  <c:v>94902</c:v>
                </c:pt>
                <c:pt idx="1">
                  <c:v>30731</c:v>
                </c:pt>
                <c:pt idx="2">
                  <c:v>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7-4E54-A4A9-F4701C9FDEA3}"/>
            </c:ext>
          </c:extLst>
        </c:ser>
        <c:ser>
          <c:idx val="1"/>
          <c:order val="1"/>
          <c:tx>
            <c:strRef>
              <c:f>GRAPHS2!$D$34</c:f>
              <c:strCache>
                <c:ptCount val="1"/>
                <c:pt idx="0">
                  <c:v>5 mM Lys</c:v>
                </c:pt>
              </c:strCache>
            </c:strRef>
          </c:tx>
          <c:invertIfNegative val="0"/>
          <c:cat>
            <c:strRef>
              <c:f>GRAPHS2!$B$35:$B$37</c:f>
              <c:strCache>
                <c:ptCount val="3"/>
                <c:pt idx="0">
                  <c:v>GmDHDPSA</c:v>
                </c:pt>
                <c:pt idx="1">
                  <c:v>PsDHDPSB</c:v>
                </c:pt>
                <c:pt idx="2">
                  <c:v>GmDHDPSC</c:v>
                </c:pt>
              </c:strCache>
            </c:strRef>
          </c:cat>
          <c:val>
            <c:numRef>
              <c:f>GRAPHS2!$D$35:$D$37</c:f>
              <c:numCache>
                <c:formatCode>General</c:formatCode>
                <c:ptCount val="3"/>
                <c:pt idx="0">
                  <c:v>34510</c:v>
                </c:pt>
                <c:pt idx="1">
                  <c:v>30565</c:v>
                </c:pt>
                <c:pt idx="2">
                  <c:v>26307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7-4E54-A4A9-F4701C9F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60384"/>
        <c:axId val="202166272"/>
      </c:barChart>
      <c:catAx>
        <c:axId val="2021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2166272"/>
        <c:crosses val="autoZero"/>
        <c:auto val="1"/>
        <c:lblAlgn val="ctr"/>
        <c:lblOffset val="100"/>
        <c:noMultiLvlLbl val="0"/>
      </c:catAx>
      <c:valAx>
        <c:axId val="20216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Specific activity (units/mg protein x min) </a:t>
                </a:r>
                <a:endParaRPr lang="en-US" sz="1200" b="1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1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4.png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34</xdr:row>
      <xdr:rowOff>14288</xdr:rowOff>
    </xdr:from>
    <xdr:to>
      <xdr:col>15</xdr:col>
      <xdr:colOff>542925</xdr:colOff>
      <xdr:row>50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32</xdr:row>
      <xdr:rowOff>171450</xdr:rowOff>
    </xdr:from>
    <xdr:to>
      <xdr:col>26</xdr:col>
      <xdr:colOff>396240</xdr:colOff>
      <xdr:row>48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11</xdr:row>
      <xdr:rowOff>64770</xdr:rowOff>
    </xdr:from>
    <xdr:to>
      <xdr:col>15</xdr:col>
      <xdr:colOff>251460</xdr:colOff>
      <xdr:row>26</xdr:row>
      <xdr:rowOff>64770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745BAA9-1C1F-4BEC-B85E-77B70AFD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392430</xdr:colOff>
      <xdr:row>15</xdr:row>
      <xdr:rowOff>49530</xdr:rowOff>
    </xdr:from>
    <xdr:to>
      <xdr:col>17</xdr:col>
      <xdr:colOff>87630</xdr:colOff>
      <xdr:row>30</xdr:row>
      <xdr:rowOff>49530</xdr:rowOff>
    </xdr:to>
    <xdr:graphicFrame macro="">
      <xdr:nvGraphicFramePr>
        <xdr:cNvPr id="4" name="Grafiek 1">
          <a:extLst>
            <a:ext uri="{FF2B5EF4-FFF2-40B4-BE49-F238E27FC236}">
              <a16:creationId xmlns:a16="http://schemas.microsoft.com/office/drawing/2014/main" id="{9E0F9EB1-0E4B-41CF-8BE8-0F30D242A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25</xdr:row>
      <xdr:rowOff>57150</xdr:rowOff>
    </xdr:from>
    <xdr:to>
      <xdr:col>8</xdr:col>
      <xdr:colOff>571500</xdr:colOff>
      <xdr:row>40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CA0910C-A99A-47BF-A3EC-202E50E2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0</xdr:colOff>
      <xdr:row>33</xdr:row>
      <xdr:rowOff>0</xdr:rowOff>
    </xdr:from>
    <xdr:ext cx="4572000" cy="2853693"/>
    <xdr:grpSp>
      <xdr:nvGrpSpPr>
        <xdr:cNvPr id="5" name="Grafiek 2">
          <a:extLst>
            <a:ext uri="{FF2B5EF4-FFF2-40B4-BE49-F238E27FC236}">
              <a16:creationId xmlns:a16="http://schemas.microsoft.com/office/drawing/2014/main" id="{A1B07B58-3757-4F41-B7AB-F179FDB2E3CA}"/>
            </a:ext>
          </a:extLst>
        </xdr:cNvPr>
        <xdr:cNvGrpSpPr/>
      </xdr:nvGrpSpPr>
      <xdr:grpSpPr>
        <a:xfrm>
          <a:off x="7924800" y="6035040"/>
          <a:ext cx="4572000" cy="2853693"/>
          <a:chOff x="8862063" y="2316480"/>
          <a:chExt cx="4572000" cy="2853693"/>
        </a:xfrm>
      </xdr:grpSpPr>
      <xdr:graphicFrame macro="">
        <xdr:nvGraphicFramePr>
          <xdr:cNvPr id="6" name="Grafiek 5">
            <a:extLst>
              <a:ext uri="{FF2B5EF4-FFF2-40B4-BE49-F238E27FC236}">
                <a16:creationId xmlns:a16="http://schemas.microsoft.com/office/drawing/2014/main" id="{73F9ED5E-173D-426D-872C-A701F57553AF}"/>
              </a:ext>
            </a:extLst>
          </xdr:cNvPr>
          <xdr:cNvGraphicFramePr/>
        </xdr:nvGraphicFramePr>
        <xdr:xfrm>
          <a:off x="8862063" y="2316480"/>
          <a:ext cx="4572000" cy="28536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Rechthoek 6">
            <a:extLst>
              <a:ext uri="{FF2B5EF4-FFF2-40B4-BE49-F238E27FC236}">
                <a16:creationId xmlns:a16="http://schemas.microsoft.com/office/drawing/2014/main" id="{76BE3CD3-CB8C-4C31-92A1-7503245F1CBF}"/>
              </a:ext>
            </a:extLst>
          </xdr:cNvPr>
          <xdr:cNvSpPr/>
        </xdr:nvSpPr>
        <xdr:spPr>
          <a:xfrm>
            <a:off x="10055857" y="2335533"/>
            <a:ext cx="441956" cy="213356"/>
          </a:xfrm>
          <a:prstGeom prst="rect">
            <a:avLst/>
          </a:prstGeom>
          <a:noFill/>
          <a:ln cap="flat">
            <a:noFill/>
            <a:prstDash val="solid"/>
          </a:ln>
        </xdr:spPr>
        <xdr:txBody>
          <a:bodyPr vert="horz" wrap="square" lIns="91440" tIns="45720" rIns="91440" bIns="45720" anchor="ctr" anchorCtr="1" compatLnSpc="1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500"/>
              </a:spcBef>
              <a:spcAft>
                <a:spcPts val="80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US" sz="1100" b="0" i="0" u="none" strike="noStrike" kern="0" cap="none" spc="0" baseline="0">
                <a:solidFill>
                  <a:srgbClr val="000000"/>
                </a:solidFill>
                <a:uFillTx/>
                <a:latin typeface="Calibri"/>
                <a:ea typeface="Calibri" pitchFamily="34"/>
                <a:cs typeface="Times New Roman" pitchFamily="18"/>
              </a:rPr>
              <a:t>*</a:t>
            </a:r>
          </a:p>
        </xdr:txBody>
      </xdr:sp>
    </xdr:grp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0</xdr:row>
      <xdr:rowOff>0</xdr:rowOff>
    </xdr:from>
    <xdr:to>
      <xdr:col>15</xdr:col>
      <xdr:colOff>274320</xdr:colOff>
      <xdr:row>18</xdr:row>
      <xdr:rowOff>175260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D012E8A-C7F3-42B0-8696-3848CEFFA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19</xdr:row>
      <xdr:rowOff>156210</xdr:rowOff>
    </xdr:from>
    <xdr:to>
      <xdr:col>15</xdr:col>
      <xdr:colOff>0</xdr:colOff>
      <xdr:row>34</xdr:row>
      <xdr:rowOff>163830</xdr:rowOff>
    </xdr:to>
    <xdr:graphicFrame macro="">
      <xdr:nvGraphicFramePr>
        <xdr:cNvPr id="6" name="Grafiek 2">
          <a:extLst>
            <a:ext uri="{FF2B5EF4-FFF2-40B4-BE49-F238E27FC236}">
              <a16:creationId xmlns:a16="http://schemas.microsoft.com/office/drawing/2014/main" id="{8AE07149-6D5C-44BB-B229-1D97E4286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7</xdr:row>
      <xdr:rowOff>114300</xdr:rowOff>
    </xdr:from>
    <xdr:to>
      <xdr:col>18</xdr:col>
      <xdr:colOff>251460</xdr:colOff>
      <xdr:row>24</xdr:row>
      <xdr:rowOff>49530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6436896-7C1C-4401-9CF3-7D95BF81A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251460</xdr:colOff>
      <xdr:row>16</xdr:row>
      <xdr:rowOff>53340</xdr:rowOff>
    </xdr:from>
    <xdr:to>
      <xdr:col>14</xdr:col>
      <xdr:colOff>563880</xdr:colOff>
      <xdr:row>17</xdr:row>
      <xdr:rowOff>60960</xdr:rowOff>
    </xdr:to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2DF95564-696D-4BF0-B0C7-6500D5E1A800}"/>
            </a:ext>
          </a:extLst>
        </xdr:cNvPr>
        <xdr:cNvSpPr/>
      </xdr:nvSpPr>
      <xdr:spPr>
        <a:xfrm>
          <a:off x="8785860" y="2979420"/>
          <a:ext cx="31242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Bef>
              <a:spcPts val="500"/>
            </a:spcBef>
            <a:spcAft>
              <a:spcPts val="800"/>
            </a:spcAft>
          </a:pPr>
          <a:r>
            <a:rPr lang="nl-BE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*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198120</xdr:colOff>
      <xdr:row>12</xdr:row>
      <xdr:rowOff>175260</xdr:rowOff>
    </xdr:from>
    <xdr:to>
      <xdr:col>15</xdr:col>
      <xdr:colOff>510540</xdr:colOff>
      <xdr:row>14</xdr:row>
      <xdr:rowOff>0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68739CBA-C9CE-4C0A-B221-B3F36A8A26CF}"/>
            </a:ext>
          </a:extLst>
        </xdr:cNvPr>
        <xdr:cNvSpPr/>
      </xdr:nvSpPr>
      <xdr:spPr>
        <a:xfrm>
          <a:off x="9342120" y="2369820"/>
          <a:ext cx="31242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Bef>
              <a:spcPts val="500"/>
            </a:spcBef>
            <a:spcAft>
              <a:spcPts val="800"/>
            </a:spcAft>
          </a:pPr>
          <a:r>
            <a:rPr lang="nl-BE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*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266700</xdr:colOff>
      <xdr:row>16</xdr:row>
      <xdr:rowOff>106680</xdr:rowOff>
    </xdr:from>
    <xdr:to>
      <xdr:col>16</xdr:col>
      <xdr:colOff>579120</xdr:colOff>
      <xdr:row>17</xdr:row>
      <xdr:rowOff>114300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C9C84528-EADF-4EFF-83FF-53EF02E14CFB}"/>
            </a:ext>
          </a:extLst>
        </xdr:cNvPr>
        <xdr:cNvSpPr/>
      </xdr:nvSpPr>
      <xdr:spPr>
        <a:xfrm>
          <a:off x="10020300" y="3032760"/>
          <a:ext cx="31242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Bef>
              <a:spcPts val="500"/>
            </a:spcBef>
            <a:spcAft>
              <a:spcPts val="800"/>
            </a:spcAft>
          </a:pPr>
          <a:r>
            <a:rPr lang="nl-BE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*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205740</xdr:colOff>
      <xdr:row>14</xdr:row>
      <xdr:rowOff>106680</xdr:rowOff>
    </xdr:from>
    <xdr:to>
      <xdr:col>17</xdr:col>
      <xdr:colOff>518160</xdr:colOff>
      <xdr:row>15</xdr:row>
      <xdr:rowOff>114300</xdr:rowOff>
    </xdr:to>
    <xdr:sp macro="" textlink="">
      <xdr:nvSpPr>
        <xdr:cNvPr id="6" name="Rechthoek 5">
          <a:extLst>
            <a:ext uri="{FF2B5EF4-FFF2-40B4-BE49-F238E27FC236}">
              <a16:creationId xmlns:a16="http://schemas.microsoft.com/office/drawing/2014/main" id="{11CD887A-7E68-4191-8289-DBCA94B26E34}"/>
            </a:ext>
          </a:extLst>
        </xdr:cNvPr>
        <xdr:cNvSpPr/>
      </xdr:nvSpPr>
      <xdr:spPr>
        <a:xfrm>
          <a:off x="10568940" y="2667000"/>
          <a:ext cx="31242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Bef>
              <a:spcPts val="500"/>
            </a:spcBef>
            <a:spcAft>
              <a:spcPts val="800"/>
            </a:spcAft>
          </a:pPr>
          <a:r>
            <a:rPr lang="nl-BE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*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586740</xdr:colOff>
      <xdr:row>15</xdr:row>
      <xdr:rowOff>114300</xdr:rowOff>
    </xdr:from>
    <xdr:to>
      <xdr:col>23</xdr:col>
      <xdr:colOff>601980</xdr:colOff>
      <xdr:row>31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409575</xdr:colOff>
      <xdr:row>9</xdr:row>
      <xdr:rowOff>66765</xdr:rowOff>
    </xdr:from>
    <xdr:to>
      <xdr:col>38</xdr:col>
      <xdr:colOff>28575</xdr:colOff>
      <xdr:row>22</xdr:row>
      <xdr:rowOff>28575</xdr:rowOff>
    </xdr:to>
    <xdr:pic>
      <xdr:nvPicPr>
        <xdr:cNvPr id="2" name="Afbeelding 1" descr="1: Bradford assay standard curve of concentration versus absorbance.... |  Download Scientific Diagra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1825" y="1781265"/>
          <a:ext cx="4495800" cy="243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47625</xdr:colOff>
      <xdr:row>20</xdr:row>
      <xdr:rowOff>19050</xdr:rowOff>
    </xdr:from>
    <xdr:to>
      <xdr:col>40</xdr:col>
      <xdr:colOff>390525</xdr:colOff>
      <xdr:row>35</xdr:row>
      <xdr:rowOff>111815</xdr:rowOff>
    </xdr:to>
    <xdr:pic>
      <xdr:nvPicPr>
        <xdr:cNvPr id="3" name="Afbeelding 2" descr="Protein quantitation assay according to Bradford with BRAND Liquid Handling  Station and Roti ®-Quant | Sigma-Aldrich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02375" y="3829050"/>
          <a:ext cx="5219700" cy="2950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923925</xdr:colOff>
      <xdr:row>21</xdr:row>
      <xdr:rowOff>76200</xdr:rowOff>
    </xdr:from>
    <xdr:to>
      <xdr:col>11</xdr:col>
      <xdr:colOff>333376</xdr:colOff>
      <xdr:row>37</xdr:row>
      <xdr:rowOff>119062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31</xdr:row>
      <xdr:rowOff>87288</xdr:rowOff>
    </xdr:from>
    <xdr:to>
      <xdr:col>29</xdr:col>
      <xdr:colOff>476250</xdr:colOff>
      <xdr:row>46</xdr:row>
      <xdr:rowOff>57150</xdr:rowOff>
    </xdr:to>
    <xdr:pic>
      <xdr:nvPicPr>
        <xdr:cNvPr id="5" name="Afbeelding 4" descr="Bradford Assay BSA Standard Curv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5992788"/>
          <a:ext cx="4857750" cy="2827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133350</xdr:colOff>
      <xdr:row>93</xdr:row>
      <xdr:rowOff>152400</xdr:rowOff>
    </xdr:from>
    <xdr:to>
      <xdr:col>18</xdr:col>
      <xdr:colOff>438150</xdr:colOff>
      <xdr:row>108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80962</xdr:rowOff>
    </xdr:from>
    <xdr:to>
      <xdr:col>9</xdr:col>
      <xdr:colOff>142875</xdr:colOff>
      <xdr:row>29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247651</xdr:colOff>
      <xdr:row>12</xdr:row>
      <xdr:rowOff>80962</xdr:rowOff>
    </xdr:from>
    <xdr:to>
      <xdr:col>18</xdr:col>
      <xdr:colOff>209551</xdr:colOff>
      <xdr:row>33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19049</xdr:rowOff>
    </xdr:from>
    <xdr:to>
      <xdr:col>4</xdr:col>
      <xdr:colOff>561975</xdr:colOff>
      <xdr:row>29</xdr:row>
      <xdr:rowOff>66674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10</xdr:row>
      <xdr:rowOff>114300</xdr:rowOff>
    </xdr:from>
    <xdr:to>
      <xdr:col>13</xdr:col>
      <xdr:colOff>66675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49530</xdr:rowOff>
    </xdr:from>
    <xdr:to>
      <xdr:col>7</xdr:col>
      <xdr:colOff>304800</xdr:colOff>
      <xdr:row>20</xdr:row>
      <xdr:rowOff>49530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6</xdr:row>
      <xdr:rowOff>102870</xdr:rowOff>
    </xdr:from>
    <xdr:to>
      <xdr:col>15</xdr:col>
      <xdr:colOff>426720</xdr:colOff>
      <xdr:row>21</xdr:row>
      <xdr:rowOff>102870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27</xdr:row>
      <xdr:rowOff>49530</xdr:rowOff>
    </xdr:from>
    <xdr:to>
      <xdr:col>8</xdr:col>
      <xdr:colOff>22860</xdr:colOff>
      <xdr:row>42</xdr:row>
      <xdr:rowOff>49530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358140</xdr:colOff>
      <xdr:row>30</xdr:row>
      <xdr:rowOff>118110</xdr:rowOff>
    </xdr:from>
    <xdr:to>
      <xdr:col>17</xdr:col>
      <xdr:colOff>53340</xdr:colOff>
      <xdr:row>45</xdr:row>
      <xdr:rowOff>118110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14</xdr:row>
      <xdr:rowOff>114301</xdr:rowOff>
    </xdr:from>
    <xdr:to>
      <xdr:col>14</xdr:col>
      <xdr:colOff>419100</xdr:colOff>
      <xdr:row>33</xdr:row>
      <xdr:rowOff>171451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98A8B3-7210-4DFE-84A1-B92FC3AA7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114300</xdr:colOff>
      <xdr:row>7</xdr:row>
      <xdr:rowOff>180975</xdr:rowOff>
    </xdr:from>
    <xdr:to>
      <xdr:col>25</xdr:col>
      <xdr:colOff>604590</xdr:colOff>
      <xdr:row>31</xdr:row>
      <xdr:rowOff>66675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A8AF24C-118E-419F-994D-22C79491C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0" y="1514475"/>
          <a:ext cx="6586290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695325</xdr:colOff>
      <xdr:row>34</xdr:row>
      <xdr:rowOff>119062</xdr:rowOff>
    </xdr:from>
    <xdr:to>
      <xdr:col>14</xdr:col>
      <xdr:colOff>38100</xdr:colOff>
      <xdr:row>48</xdr:row>
      <xdr:rowOff>114300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707B474-CE43-4D3E-A84C-5D5E340FA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6</xdr:row>
      <xdr:rowOff>179070</xdr:rowOff>
    </xdr:from>
    <xdr:to>
      <xdr:col>14</xdr:col>
      <xdr:colOff>586740</xdr:colOff>
      <xdr:row>21</xdr:row>
      <xdr:rowOff>179070</xdr:rowOff>
    </xdr:to>
    <xdr:graphicFrame macro="">
      <xdr:nvGraphicFramePr>
        <xdr:cNvPr id="32" name="Grafiek 1">
          <a:extLst>
            <a:ext uri="{FF2B5EF4-FFF2-40B4-BE49-F238E27FC236}">
              <a16:creationId xmlns:a16="http://schemas.microsoft.com/office/drawing/2014/main" id="{DADB1682-A5F2-43C3-8910-9C110357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0</xdr:row>
      <xdr:rowOff>0</xdr:rowOff>
    </xdr:from>
    <xdr:to>
      <xdr:col>20</xdr:col>
      <xdr:colOff>312420</xdr:colOff>
      <xdr:row>20</xdr:row>
      <xdr:rowOff>30480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7BCB117-FF90-4B49-A4B1-F0C2D8A5E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20</xdr:row>
      <xdr:rowOff>163830</xdr:rowOff>
    </xdr:from>
    <xdr:to>
      <xdr:col>17</xdr:col>
      <xdr:colOff>419100</xdr:colOff>
      <xdr:row>38</xdr:row>
      <xdr:rowOff>91440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AD29CCD-EF25-44A3-920A-C6CE01CE4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39</xdr:row>
      <xdr:rowOff>72390</xdr:rowOff>
    </xdr:from>
    <xdr:to>
      <xdr:col>17</xdr:col>
      <xdr:colOff>441960</xdr:colOff>
      <xdr:row>54</xdr:row>
      <xdr:rowOff>72390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AD5A983-C72A-4812-82E9-DC4C48C6A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JKCURVE_BRADFORD_06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ete/OneDrive%20-%20Vrije%20Universiteit%20Brussel/Documenten/Thesis/bradford/BRADFORD_APO123_2110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RADFORD3_0605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J\ASA_PJ_APO123_pos80_2_3_5mMLy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LL_CALCULU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LL_CALCULU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2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te\OneDrive%20-%20Vrije%20Universiteit%20Brussel\Documenten\Thesis\Thesisdocument\APOA%20B%20C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 point"/>
      <sheetName val="Linear regression fit"/>
    </sheetNames>
    <sheetDataSet>
      <sheetData sheetId="0">
        <row r="29">
          <cell r="H29">
            <v>80</v>
          </cell>
          <cell r="I29">
            <v>0.81300000000000006</v>
          </cell>
        </row>
        <row r="30">
          <cell r="H30">
            <v>40</v>
          </cell>
          <cell r="I30">
            <v>0.54399999999999993</v>
          </cell>
        </row>
        <row r="31">
          <cell r="H31">
            <v>20</v>
          </cell>
          <cell r="I31">
            <v>0.31599999999999995</v>
          </cell>
        </row>
        <row r="32">
          <cell r="H32">
            <v>10</v>
          </cell>
          <cell r="I32">
            <v>0.19599999999999995</v>
          </cell>
        </row>
        <row r="33">
          <cell r="H33"/>
          <cell r="I33"/>
        </row>
        <row r="34">
          <cell r="H34"/>
          <cell r="I34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 point"/>
      <sheetName val="Blad1"/>
    </sheetNames>
    <sheetDataSet>
      <sheetData sheetId="0">
        <row r="15">
          <cell r="N15">
            <v>0.254</v>
          </cell>
          <cell r="O15">
            <v>0</v>
          </cell>
          <cell r="P15">
            <v>0.245</v>
          </cell>
          <cell r="Q15">
            <v>0</v>
          </cell>
        </row>
        <row r="16">
          <cell r="N16">
            <v>0.312</v>
          </cell>
          <cell r="O16">
            <v>1</v>
          </cell>
          <cell r="P16">
            <v>0.254</v>
          </cell>
          <cell r="Q16">
            <v>9.000000000000008E-3</v>
          </cell>
        </row>
        <row r="17">
          <cell r="N17">
            <v>0.39</v>
          </cell>
          <cell r="O17">
            <v>2</v>
          </cell>
          <cell r="P17">
            <v>0.307</v>
          </cell>
          <cell r="Q17">
            <v>6.2E-2</v>
          </cell>
        </row>
        <row r="18">
          <cell r="N18">
            <v>0.502</v>
          </cell>
          <cell r="O18">
            <v>4</v>
          </cell>
          <cell r="P18">
            <v>0.35199999999999998</v>
          </cell>
          <cell r="Q18">
            <v>0.10699999999999998</v>
          </cell>
        </row>
        <row r="19">
          <cell r="N19">
            <v>0.63900000000000001</v>
          </cell>
          <cell r="O19">
            <v>6</v>
          </cell>
          <cell r="P19">
            <v>0.40799999999999997</v>
          </cell>
          <cell r="Q19">
            <v>0.16299999999999998</v>
          </cell>
        </row>
        <row r="20">
          <cell r="N20">
            <v>0.72699999999999998</v>
          </cell>
          <cell r="O20">
            <v>8</v>
          </cell>
          <cell r="P20">
            <v>0.45900000000000002</v>
          </cell>
          <cell r="Q20">
            <v>0.21400000000000002</v>
          </cell>
        </row>
        <row r="21">
          <cell r="N21">
            <v>0.72199999999999998</v>
          </cell>
          <cell r="O21">
            <v>10</v>
          </cell>
          <cell r="P21">
            <v>0.49199999999999999</v>
          </cell>
          <cell r="Q21">
            <v>0.247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 point"/>
      <sheetName val="Linear regression fit"/>
    </sheetNames>
    <sheetDataSet>
      <sheetData sheetId="0">
        <row r="63">
          <cell r="C63"/>
          <cell r="D63"/>
          <cell r="E63">
            <v>320</v>
          </cell>
          <cell r="F63">
            <v>160</v>
          </cell>
          <cell r="G63">
            <v>80</v>
          </cell>
          <cell r="H63">
            <v>40</v>
          </cell>
          <cell r="I63">
            <v>20</v>
          </cell>
          <cell r="J63"/>
        </row>
        <row r="64">
          <cell r="C64"/>
          <cell r="D64"/>
          <cell r="E64">
            <v>0.61066666666666669</v>
          </cell>
          <cell r="F64">
            <v>0.35833333333333334</v>
          </cell>
          <cell r="G64">
            <v>0.18099999999999999</v>
          </cell>
          <cell r="H64">
            <v>6.5000000000000002E-2</v>
          </cell>
          <cell r="I64">
            <v>2.4333333333333373E-2</v>
          </cell>
          <cell r="J64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 point"/>
    </sheetNames>
    <sheetDataSet>
      <sheetData sheetId="0">
        <row r="27">
          <cell r="B27">
            <v>0.20299999999999999</v>
          </cell>
          <cell r="C27">
            <v>0.57899999999999996</v>
          </cell>
        </row>
        <row r="28">
          <cell r="B28">
            <v>0.14099999999999999</v>
          </cell>
          <cell r="C28">
            <v>0.14799999999999999</v>
          </cell>
        </row>
        <row r="29">
          <cell r="B29">
            <v>0.14399999999999999</v>
          </cell>
          <cell r="C29">
            <v>0.14099999999999999</v>
          </cell>
        </row>
        <row r="30">
          <cell r="B30">
            <v>0.123</v>
          </cell>
          <cell r="C30">
            <v>0.13200000000000001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CALC2"/>
      <sheetName val="270321"/>
      <sheetName val="PROT_CONCENTRATION"/>
      <sheetName val="GRAPH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0 mM Lys</v>
          </cell>
          <cell r="D1" t="str">
            <v>5 mM Lys</v>
          </cell>
        </row>
        <row r="2">
          <cell r="B2" t="str">
            <v>1:1</v>
          </cell>
          <cell r="C2">
            <v>1713</v>
          </cell>
          <cell r="D2">
            <v>1717</v>
          </cell>
        </row>
        <row r="3">
          <cell r="B3" t="str">
            <v>1:10</v>
          </cell>
          <cell r="C3">
            <v>12697</v>
          </cell>
          <cell r="D3">
            <v>8047</v>
          </cell>
        </row>
        <row r="4">
          <cell r="B4" t="str">
            <v>1:100</v>
          </cell>
          <cell r="C4">
            <v>116953</v>
          </cell>
          <cell r="D4">
            <v>43276</v>
          </cell>
        </row>
        <row r="6">
          <cell r="C6" t="str">
            <v>0 mM Lys</v>
          </cell>
          <cell r="D6" t="str">
            <v>5 mM Lys</v>
          </cell>
        </row>
        <row r="7">
          <cell r="B7" t="str">
            <v>1:1</v>
          </cell>
          <cell r="C7">
            <v>1</v>
          </cell>
          <cell r="D7">
            <v>1.0023350846468184</v>
          </cell>
        </row>
        <row r="8">
          <cell r="B8" t="str">
            <v>1:10</v>
          </cell>
          <cell r="C8">
            <v>1</v>
          </cell>
          <cell r="D8">
            <v>0.63377175710797828</v>
          </cell>
        </row>
        <row r="9">
          <cell r="B9" t="str">
            <v>1:100</v>
          </cell>
          <cell r="C9">
            <v>1</v>
          </cell>
          <cell r="D9">
            <v>0.37002898600292428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CALC2"/>
      <sheetName val="GRAPHS"/>
    </sheetNames>
    <sheetDataSet>
      <sheetData sheetId="0" refreshError="1"/>
      <sheetData sheetId="1" refreshError="1"/>
      <sheetData sheetId="2">
        <row r="2">
          <cell r="C2" t="str">
            <v>0 µM Lys</v>
          </cell>
          <cell r="D2" t="str">
            <v>5 mM Lys</v>
          </cell>
        </row>
        <row r="3">
          <cell r="B3" t="str">
            <v>GmDHDPSA</v>
          </cell>
          <cell r="C3">
            <v>127686</v>
          </cell>
          <cell r="D3">
            <v>56471</v>
          </cell>
        </row>
        <row r="4">
          <cell r="B4" t="str">
            <v>PsDHDPSB</v>
          </cell>
          <cell r="C4">
            <v>65116</v>
          </cell>
          <cell r="D4">
            <v>57807</v>
          </cell>
        </row>
        <row r="5">
          <cell r="B5" t="str">
            <v>GmDHDPSC</v>
          </cell>
          <cell r="C5">
            <v>66340</v>
          </cell>
          <cell r="D5">
            <v>65359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G1" t="str">
            <v>Specific Activity</v>
          </cell>
        </row>
        <row r="2">
          <cell r="F2" t="str">
            <v>GmDHDPSA</v>
          </cell>
          <cell r="G2">
            <v>209114</v>
          </cell>
        </row>
        <row r="3">
          <cell r="F3" t="str">
            <v>PsDHDPSB</v>
          </cell>
          <cell r="G3">
            <v>7143</v>
          </cell>
        </row>
        <row r="4">
          <cell r="F4" t="str">
            <v>GmDHDPSC</v>
          </cell>
          <cell r="G4">
            <v>167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2"/>
      <sheetName val="T-tests"/>
      <sheetName val="Z-test"/>
    </sheetNames>
    <sheetDataSet>
      <sheetData sheetId="0">
        <row r="11">
          <cell r="U11" t="str">
            <v>GmDHDPSA</v>
          </cell>
          <cell r="V11">
            <v>179230</v>
          </cell>
          <cell r="W11">
            <v>29883.999999999996</v>
          </cell>
        </row>
        <row r="12">
          <cell r="U12" t="str">
            <v>GmDHDPSB</v>
          </cell>
          <cell r="V12">
            <v>6500</v>
          </cell>
          <cell r="W12">
            <v>12353.5</v>
          </cell>
        </row>
        <row r="13">
          <cell r="U13" t="str">
            <v>GmDHDPSC</v>
          </cell>
          <cell r="V13">
            <v>5000</v>
          </cell>
          <cell r="W13">
            <v>642.99999999999989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86"/>
  <sheetViews>
    <sheetView topLeftCell="A66" workbookViewId="0">
      <selection activeCell="D15" sqref="D15"/>
    </sheetView>
  </sheetViews>
  <sheetFormatPr defaultRowHeight="14.4" x14ac:dyDescent="0.3"/>
  <cols>
    <col min="1" max="1" width="7.33203125" customWidth="1"/>
    <col min="2" max="2" width="18.109375" bestFit="1" customWidth="1"/>
    <col min="3" max="7" width="7.33203125" customWidth="1"/>
  </cols>
  <sheetData>
    <row r="3" spans="1:7" x14ac:dyDescent="0.3">
      <c r="A3" t="s">
        <v>0</v>
      </c>
    </row>
    <row r="4" spans="1:7" x14ac:dyDescent="0.3">
      <c r="A4" t="s">
        <v>1</v>
      </c>
    </row>
    <row r="5" spans="1:7" x14ac:dyDescent="0.3">
      <c r="A5" t="s">
        <v>2</v>
      </c>
    </row>
    <row r="6" spans="1:7" x14ac:dyDescent="0.3">
      <c r="A6" t="s">
        <v>3</v>
      </c>
    </row>
    <row r="7" spans="1:7" x14ac:dyDescent="0.3">
      <c r="A7" t="s">
        <v>4</v>
      </c>
    </row>
    <row r="8" spans="1:7" x14ac:dyDescent="0.3">
      <c r="A8" t="s">
        <v>5</v>
      </c>
    </row>
    <row r="9" spans="1:7" x14ac:dyDescent="0.3">
      <c r="A9" t="s">
        <v>6</v>
      </c>
      <c r="D9" t="s">
        <v>7</v>
      </c>
    </row>
    <row r="14" spans="1:7" x14ac:dyDescent="0.3">
      <c r="B14" s="19">
        <v>1</v>
      </c>
      <c r="C14" s="19">
        <v>2</v>
      </c>
      <c r="D14" s="19">
        <v>3</v>
      </c>
      <c r="E14" s="19">
        <v>4</v>
      </c>
      <c r="F14" s="19">
        <v>5</v>
      </c>
      <c r="G14" s="19">
        <v>6</v>
      </c>
    </row>
    <row r="15" spans="1:7" x14ac:dyDescent="0.3">
      <c r="A15" s="19" t="s">
        <v>8</v>
      </c>
      <c r="B15" s="20" t="s">
        <v>9</v>
      </c>
      <c r="C15" s="21" t="s">
        <v>10</v>
      </c>
      <c r="D15" s="21" t="s">
        <v>11</v>
      </c>
      <c r="E15" s="21" t="s">
        <v>12</v>
      </c>
      <c r="F15" s="21" t="s">
        <v>13</v>
      </c>
      <c r="G15" s="21" t="s">
        <v>14</v>
      </c>
    </row>
    <row r="16" spans="1:7" x14ac:dyDescent="0.3">
      <c r="A16" s="19" t="s">
        <v>15</v>
      </c>
      <c r="B16" s="22" t="s">
        <v>16</v>
      </c>
      <c r="C16" s="23" t="s">
        <v>17</v>
      </c>
      <c r="D16" s="23" t="s">
        <v>18</v>
      </c>
      <c r="E16" s="23" t="s">
        <v>19</v>
      </c>
      <c r="F16" s="23"/>
      <c r="G16" s="23"/>
    </row>
    <row r="17" spans="1:12" x14ac:dyDescent="0.3">
      <c r="A17" s="19" t="s">
        <v>20</v>
      </c>
      <c r="B17" s="22" t="s">
        <v>16</v>
      </c>
      <c r="C17" s="23" t="s">
        <v>17</v>
      </c>
      <c r="D17" s="23" t="s">
        <v>18</v>
      </c>
      <c r="E17" s="23" t="s">
        <v>19</v>
      </c>
      <c r="F17" s="23"/>
      <c r="G17" s="23"/>
    </row>
    <row r="18" spans="1:12" x14ac:dyDescent="0.3">
      <c r="A18" s="19" t="s">
        <v>21</v>
      </c>
      <c r="B18" s="22" t="s">
        <v>16</v>
      </c>
      <c r="C18" s="23" t="s">
        <v>17</v>
      </c>
      <c r="D18" s="23" t="s">
        <v>18</v>
      </c>
      <c r="E18" s="23" t="s">
        <v>19</v>
      </c>
      <c r="F18" s="23"/>
      <c r="G18" s="23"/>
    </row>
    <row r="19" spans="1:12" x14ac:dyDescent="0.3">
      <c r="A19" s="19" t="s">
        <v>22</v>
      </c>
      <c r="B19" s="22" t="s">
        <v>16</v>
      </c>
      <c r="C19" s="23" t="s">
        <v>17</v>
      </c>
      <c r="D19" s="23" t="s">
        <v>18</v>
      </c>
      <c r="E19" s="23" t="s">
        <v>19</v>
      </c>
      <c r="F19" s="23"/>
      <c r="G19" s="23"/>
    </row>
    <row r="20" spans="1:12" x14ac:dyDescent="0.3">
      <c r="A20" s="19" t="s">
        <v>23</v>
      </c>
      <c r="B20" s="22" t="s">
        <v>16</v>
      </c>
      <c r="C20" s="23" t="s">
        <v>17</v>
      </c>
      <c r="D20" s="23" t="s">
        <v>18</v>
      </c>
      <c r="E20" s="23" t="s">
        <v>19</v>
      </c>
      <c r="F20" s="23"/>
      <c r="G20" s="23"/>
    </row>
    <row r="21" spans="1:12" x14ac:dyDescent="0.3">
      <c r="A21" s="19" t="s">
        <v>24</v>
      </c>
      <c r="B21" s="22" t="s">
        <v>16</v>
      </c>
      <c r="C21" s="23" t="s">
        <v>17</v>
      </c>
      <c r="D21" s="23" t="s">
        <v>18</v>
      </c>
      <c r="E21" s="23" t="s">
        <v>19</v>
      </c>
      <c r="F21" s="23"/>
      <c r="G21" s="23"/>
    </row>
    <row r="22" spans="1:12" x14ac:dyDescent="0.3">
      <c r="A22" s="19" t="s">
        <v>25</v>
      </c>
      <c r="B22" s="24"/>
      <c r="C22" s="25"/>
      <c r="D22" s="25"/>
      <c r="E22" s="25"/>
      <c r="F22" s="25"/>
      <c r="G22" s="25"/>
    </row>
    <row r="24" spans="1:12" x14ac:dyDescent="0.3">
      <c r="B24" t="s">
        <v>26</v>
      </c>
    </row>
    <row r="25" spans="1:12" x14ac:dyDescent="0.3">
      <c r="B25" s="19">
        <v>1</v>
      </c>
      <c r="C25" s="19">
        <v>2</v>
      </c>
      <c r="D25" s="19">
        <v>3</v>
      </c>
      <c r="E25" s="19">
        <v>4</v>
      </c>
      <c r="F25" s="19">
        <v>5</v>
      </c>
      <c r="G25" s="19">
        <v>6</v>
      </c>
    </row>
    <row r="26" spans="1:12" x14ac:dyDescent="0.3">
      <c r="A26" s="19" t="s">
        <v>8</v>
      </c>
      <c r="B26" s="20">
        <v>1.0880000000000001</v>
      </c>
      <c r="C26" s="21">
        <v>0.81899999999999995</v>
      </c>
      <c r="D26" s="21">
        <v>0.59099999999999997</v>
      </c>
      <c r="E26" s="21">
        <v>0.47099999999999997</v>
      </c>
      <c r="F26" s="21">
        <v>0.36599999999999999</v>
      </c>
      <c r="G26" s="21">
        <v>0.27500000000000002</v>
      </c>
    </row>
    <row r="27" spans="1:12" x14ac:dyDescent="0.3">
      <c r="A27" s="19" t="s">
        <v>15</v>
      </c>
      <c r="B27" s="22">
        <v>0.82199999999999995</v>
      </c>
      <c r="C27" s="23">
        <v>0.35499999999999998</v>
      </c>
      <c r="D27" s="23">
        <v>0.27800000000000002</v>
      </c>
      <c r="E27" s="23">
        <v>1.0920000000000001</v>
      </c>
      <c r="F27" s="23"/>
      <c r="H27" s="26" t="s">
        <v>27</v>
      </c>
      <c r="I27" s="26"/>
      <c r="J27" s="26" t="s">
        <v>28</v>
      </c>
      <c r="L27" s="26"/>
    </row>
    <row r="28" spans="1:12" x14ac:dyDescent="0.3">
      <c r="A28" s="19" t="s">
        <v>20</v>
      </c>
      <c r="B28" s="22">
        <v>0.67800000000000005</v>
      </c>
      <c r="C28" s="23">
        <v>0.35699999999999998</v>
      </c>
      <c r="D28" s="23">
        <v>0.27900000000000003</v>
      </c>
      <c r="E28" s="23">
        <v>1.0049999999999999</v>
      </c>
      <c r="F28" s="23"/>
      <c r="H28" s="15" t="s">
        <v>29</v>
      </c>
      <c r="I28" s="15" t="s">
        <v>30</v>
      </c>
      <c r="J28" s="26"/>
      <c r="L28" s="26"/>
    </row>
    <row r="29" spans="1:12" x14ac:dyDescent="0.3">
      <c r="A29" s="19" t="s">
        <v>21</v>
      </c>
      <c r="B29" s="22">
        <v>0.34200000000000003</v>
      </c>
      <c r="C29" s="23">
        <v>0.28399999999999997</v>
      </c>
      <c r="D29" s="23">
        <v>0.28100000000000003</v>
      </c>
      <c r="E29" s="23">
        <v>0.45900000000000002</v>
      </c>
      <c r="F29" s="23"/>
      <c r="H29" s="15">
        <v>80</v>
      </c>
      <c r="I29" s="15">
        <v>0.81300000000000006</v>
      </c>
      <c r="J29" s="26"/>
      <c r="L29" s="26"/>
    </row>
    <row r="30" spans="1:12" x14ac:dyDescent="0.3">
      <c r="A30" s="19" t="s">
        <v>22</v>
      </c>
      <c r="B30" s="22">
        <v>1.1559999999999999</v>
      </c>
      <c r="C30" s="23">
        <v>0.34</v>
      </c>
      <c r="D30" s="23">
        <v>0.29499999999999998</v>
      </c>
      <c r="E30" s="23">
        <v>1.232</v>
      </c>
      <c r="F30" s="23"/>
      <c r="H30" s="15">
        <v>40</v>
      </c>
      <c r="I30" s="15">
        <v>0.54399999999999993</v>
      </c>
      <c r="J30" s="26"/>
      <c r="L30" s="26"/>
    </row>
    <row r="31" spans="1:12" x14ac:dyDescent="0.3">
      <c r="A31" s="19" t="s">
        <v>23</v>
      </c>
      <c r="B31" s="22">
        <v>0.39700000000000002</v>
      </c>
      <c r="C31" s="23">
        <v>0.28999999999999998</v>
      </c>
      <c r="D31" s="23">
        <v>0.27700000000000002</v>
      </c>
      <c r="E31" s="23">
        <v>0.54100000000000004</v>
      </c>
      <c r="F31" s="23"/>
      <c r="H31" s="15">
        <v>20</v>
      </c>
      <c r="I31" s="15">
        <v>0.31599999999999995</v>
      </c>
      <c r="J31" s="26"/>
      <c r="L31" s="26"/>
    </row>
    <row r="32" spans="1:12" x14ac:dyDescent="0.3">
      <c r="A32" s="19" t="s">
        <v>24</v>
      </c>
      <c r="B32" s="22">
        <v>0.45100000000000001</v>
      </c>
      <c r="C32" s="23">
        <v>0.30499999999999999</v>
      </c>
      <c r="D32" s="23">
        <v>0.29799999999999999</v>
      </c>
      <c r="E32" s="23">
        <v>0.59399999999999997</v>
      </c>
      <c r="F32" s="23"/>
      <c r="H32" s="15">
        <v>10</v>
      </c>
      <c r="I32" s="15">
        <v>0.19599999999999995</v>
      </c>
      <c r="J32" s="26"/>
      <c r="L32" s="26"/>
    </row>
    <row r="33" spans="1:14" x14ac:dyDescent="0.3">
      <c r="A33" s="19" t="s">
        <v>25</v>
      </c>
      <c r="B33" s="24"/>
      <c r="C33" s="25"/>
      <c r="D33" s="25"/>
      <c r="E33" s="25"/>
      <c r="F33" s="25"/>
      <c r="H33" s="26"/>
      <c r="I33" s="26"/>
      <c r="J33" s="26"/>
      <c r="L33" s="26"/>
    </row>
    <row r="34" spans="1:14" x14ac:dyDescent="0.3">
      <c r="H34" s="26"/>
      <c r="I34" s="26"/>
      <c r="J34" s="26"/>
      <c r="L34" s="26"/>
      <c r="M34" s="23"/>
      <c r="N34" s="23"/>
    </row>
    <row r="35" spans="1:14" x14ac:dyDescent="0.3">
      <c r="B35" s="19">
        <v>1</v>
      </c>
      <c r="C35" s="19">
        <v>2</v>
      </c>
      <c r="D35" s="19">
        <v>3</v>
      </c>
      <c r="E35" s="19">
        <v>4</v>
      </c>
      <c r="F35" s="19">
        <v>5</v>
      </c>
      <c r="G35" s="19">
        <v>6</v>
      </c>
      <c r="I35" s="26"/>
      <c r="J35" s="26"/>
      <c r="K35" s="26"/>
      <c r="L35" s="26"/>
    </row>
    <row r="36" spans="1:14" x14ac:dyDescent="0.3">
      <c r="A36" s="19" t="s">
        <v>8</v>
      </c>
      <c r="B36" s="20" t="s">
        <v>31</v>
      </c>
      <c r="C36" s="20" t="s">
        <v>31</v>
      </c>
      <c r="D36" s="20" t="s">
        <v>31</v>
      </c>
      <c r="E36" s="20" t="s">
        <v>31</v>
      </c>
      <c r="F36" s="20" t="s">
        <v>31</v>
      </c>
      <c r="G36" s="20" t="s">
        <v>31</v>
      </c>
    </row>
    <row r="37" spans="1:14" x14ac:dyDescent="0.3">
      <c r="A37" s="19" t="s">
        <v>15</v>
      </c>
      <c r="B37" s="22" t="s">
        <v>32</v>
      </c>
      <c r="C37" s="22" t="s">
        <v>32</v>
      </c>
      <c r="D37" s="22" t="s">
        <v>32</v>
      </c>
      <c r="E37" s="22" t="s">
        <v>32</v>
      </c>
      <c r="F37" s="23" t="s">
        <v>33</v>
      </c>
      <c r="G37" s="23"/>
    </row>
    <row r="38" spans="1:14" x14ac:dyDescent="0.3">
      <c r="A38" s="19" t="s">
        <v>20</v>
      </c>
      <c r="B38" s="22" t="s">
        <v>34</v>
      </c>
      <c r="C38" s="22" t="s">
        <v>34</v>
      </c>
      <c r="D38" s="22" t="s">
        <v>34</v>
      </c>
      <c r="E38" s="22" t="s">
        <v>34</v>
      </c>
      <c r="F38" s="23" t="s">
        <v>33</v>
      </c>
      <c r="G38" s="23"/>
    </row>
    <row r="39" spans="1:14" x14ac:dyDescent="0.3">
      <c r="A39" s="19" t="s">
        <v>21</v>
      </c>
      <c r="B39" s="22" t="s">
        <v>35</v>
      </c>
      <c r="C39" s="22" t="s">
        <v>35</v>
      </c>
      <c r="D39" s="22" t="s">
        <v>35</v>
      </c>
      <c r="E39" s="22" t="s">
        <v>35</v>
      </c>
      <c r="F39" s="23" t="s">
        <v>33</v>
      </c>
      <c r="G39" s="23"/>
    </row>
    <row r="40" spans="1:14" x14ac:dyDescent="0.3">
      <c r="A40" s="19" t="s">
        <v>22</v>
      </c>
      <c r="B40" s="22" t="s">
        <v>32</v>
      </c>
      <c r="C40" s="22" t="s">
        <v>32</v>
      </c>
      <c r="D40" s="22" t="s">
        <v>32</v>
      </c>
      <c r="E40" s="22" t="s">
        <v>32</v>
      </c>
      <c r="F40" s="23" t="s">
        <v>36</v>
      </c>
      <c r="G40" s="23"/>
    </row>
    <row r="41" spans="1:14" x14ac:dyDescent="0.3">
      <c r="A41" s="19" t="s">
        <v>23</v>
      </c>
      <c r="B41" s="22" t="s">
        <v>34</v>
      </c>
      <c r="C41" s="22" t="s">
        <v>34</v>
      </c>
      <c r="D41" s="22" t="s">
        <v>34</v>
      </c>
      <c r="E41" s="22" t="s">
        <v>34</v>
      </c>
      <c r="F41" s="23" t="s">
        <v>36</v>
      </c>
      <c r="G41" s="23"/>
    </row>
    <row r="42" spans="1:14" x14ac:dyDescent="0.3">
      <c r="A42" s="19" t="s">
        <v>24</v>
      </c>
      <c r="B42" s="22" t="s">
        <v>35</v>
      </c>
      <c r="C42" s="22" t="s">
        <v>35</v>
      </c>
      <c r="D42" s="22" t="s">
        <v>35</v>
      </c>
      <c r="E42" s="22" t="s">
        <v>35</v>
      </c>
      <c r="F42" s="23" t="s">
        <v>36</v>
      </c>
      <c r="G42" s="23"/>
    </row>
    <row r="43" spans="1:14" x14ac:dyDescent="0.3">
      <c r="A43" s="19" t="s">
        <v>25</v>
      </c>
      <c r="B43" s="24"/>
      <c r="C43" s="25"/>
      <c r="D43" s="25"/>
      <c r="E43" s="25"/>
      <c r="F43" s="25"/>
      <c r="G43" s="25"/>
    </row>
    <row r="44" spans="1:14" x14ac:dyDescent="0.3">
      <c r="B44" s="22" t="s">
        <v>37</v>
      </c>
    </row>
    <row r="45" spans="1:14" x14ac:dyDescent="0.3">
      <c r="B45" s="19">
        <v>1</v>
      </c>
      <c r="C45" s="19">
        <v>2</v>
      </c>
      <c r="D45" s="19">
        <v>3</v>
      </c>
      <c r="E45" s="19">
        <v>4</v>
      </c>
      <c r="F45" s="19">
        <v>5</v>
      </c>
      <c r="G45" s="19">
        <v>6</v>
      </c>
    </row>
    <row r="46" spans="1:14" x14ac:dyDescent="0.3">
      <c r="A46" s="19" t="s">
        <v>8</v>
      </c>
      <c r="B46" s="20">
        <f>B26-$G$26</f>
        <v>0.81300000000000006</v>
      </c>
      <c r="C46" s="20">
        <f t="shared" ref="C46:G46" si="0">C26-$G$26</f>
        <v>0.54399999999999993</v>
      </c>
      <c r="D46" s="20">
        <f t="shared" si="0"/>
        <v>0.31599999999999995</v>
      </c>
      <c r="E46" s="20">
        <f t="shared" si="0"/>
        <v>0.19599999999999995</v>
      </c>
      <c r="F46" s="20">
        <f>F26-$G$26</f>
        <v>9.099999999999997E-2</v>
      </c>
      <c r="G46" s="20">
        <f t="shared" si="0"/>
        <v>0</v>
      </c>
    </row>
    <row r="47" spans="1:14" x14ac:dyDescent="0.3">
      <c r="A47" s="19" t="s">
        <v>15</v>
      </c>
      <c r="B47" s="27">
        <f t="shared" ref="B47:E49" si="1">B27-$G$26</f>
        <v>0.54699999999999993</v>
      </c>
      <c r="C47" s="27">
        <f t="shared" si="1"/>
        <v>7.999999999999996E-2</v>
      </c>
      <c r="D47" s="27">
        <f>D27-$G$26</f>
        <v>3.0000000000000027E-3</v>
      </c>
      <c r="E47" s="27">
        <f>E27-$G$26</f>
        <v>0.81700000000000006</v>
      </c>
      <c r="F47" s="23"/>
      <c r="G47" s="23"/>
    </row>
    <row r="48" spans="1:14" x14ac:dyDescent="0.3">
      <c r="A48" s="19" t="s">
        <v>20</v>
      </c>
      <c r="B48" s="27">
        <f t="shared" si="1"/>
        <v>0.40300000000000002</v>
      </c>
      <c r="C48" s="27">
        <f t="shared" si="1"/>
        <v>8.1999999999999962E-2</v>
      </c>
      <c r="D48" s="27">
        <f t="shared" si="1"/>
        <v>4.0000000000000036E-3</v>
      </c>
      <c r="E48" s="27">
        <f t="shared" si="1"/>
        <v>0.72999999999999987</v>
      </c>
      <c r="F48" s="23"/>
      <c r="G48" s="23"/>
    </row>
    <row r="49" spans="1:24" x14ac:dyDescent="0.3">
      <c r="A49" s="19" t="s">
        <v>21</v>
      </c>
      <c r="B49" s="27">
        <f>B29-$G$26</f>
        <v>6.7000000000000004E-2</v>
      </c>
      <c r="C49" s="27">
        <f t="shared" si="1"/>
        <v>8.9999999999999525E-3</v>
      </c>
      <c r="D49" s="27">
        <f t="shared" si="1"/>
        <v>6.0000000000000053E-3</v>
      </c>
      <c r="E49" s="27">
        <f t="shared" si="1"/>
        <v>0.184</v>
      </c>
      <c r="F49" s="23"/>
      <c r="G49" s="23"/>
    </row>
    <row r="50" spans="1:24" x14ac:dyDescent="0.3">
      <c r="A50" s="19" t="s">
        <v>22</v>
      </c>
      <c r="B50" s="27">
        <f t="shared" ref="B50:E52" si="2">B30-$G$26</f>
        <v>0.88099999999999989</v>
      </c>
      <c r="C50" s="27">
        <f t="shared" si="2"/>
        <v>6.5000000000000002E-2</v>
      </c>
      <c r="D50" s="27">
        <f t="shared" si="2"/>
        <v>1.9999999999999962E-2</v>
      </c>
      <c r="E50" s="27">
        <f t="shared" si="2"/>
        <v>0.95699999999999996</v>
      </c>
      <c r="F50" s="23"/>
      <c r="G50" s="23"/>
    </row>
    <row r="51" spans="1:24" x14ac:dyDescent="0.3">
      <c r="A51" s="19" t="s">
        <v>23</v>
      </c>
      <c r="B51" s="27">
        <f t="shared" si="2"/>
        <v>0.122</v>
      </c>
      <c r="C51" s="27">
        <f t="shared" si="2"/>
        <v>1.4999999999999958E-2</v>
      </c>
      <c r="D51" s="27">
        <f t="shared" si="2"/>
        <v>2.0000000000000018E-3</v>
      </c>
      <c r="E51" s="27">
        <f t="shared" si="2"/>
        <v>0.26600000000000001</v>
      </c>
      <c r="F51" s="23"/>
      <c r="G51" s="23"/>
    </row>
    <row r="52" spans="1:24" x14ac:dyDescent="0.3">
      <c r="A52" s="19" t="s">
        <v>24</v>
      </c>
      <c r="B52" s="27">
        <f t="shared" si="2"/>
        <v>0.17599999999999999</v>
      </c>
      <c r="C52" s="27">
        <f t="shared" si="2"/>
        <v>2.9999999999999971E-2</v>
      </c>
      <c r="D52" s="27">
        <f>D32-$G$26</f>
        <v>2.2999999999999965E-2</v>
      </c>
      <c r="E52" s="27">
        <f>E32-$G$26</f>
        <v>0.31899999999999995</v>
      </c>
      <c r="F52" s="23"/>
      <c r="G52" s="23"/>
    </row>
    <row r="53" spans="1:24" x14ac:dyDescent="0.3">
      <c r="A53" s="19" t="s">
        <v>25</v>
      </c>
      <c r="B53" s="24"/>
      <c r="C53" s="25"/>
      <c r="D53" s="25"/>
      <c r="E53" s="25"/>
      <c r="F53" s="25"/>
      <c r="G53" s="25"/>
    </row>
    <row r="54" spans="1:24" x14ac:dyDescent="0.3">
      <c r="B54" t="s">
        <v>38</v>
      </c>
      <c r="I54" t="s">
        <v>39</v>
      </c>
    </row>
    <row r="55" spans="1:24" x14ac:dyDescent="0.3">
      <c r="B55" t="s">
        <v>40</v>
      </c>
      <c r="I55" t="s">
        <v>41</v>
      </c>
      <c r="R55" t="s">
        <v>42</v>
      </c>
    </row>
    <row r="56" spans="1:24" x14ac:dyDescent="0.3">
      <c r="B56" s="19">
        <v>1</v>
      </c>
      <c r="C56" s="19">
        <v>2</v>
      </c>
      <c r="D56" s="19">
        <v>3</v>
      </c>
      <c r="E56" s="19">
        <v>4</v>
      </c>
      <c r="F56" s="19">
        <v>5</v>
      </c>
      <c r="G56" s="19">
        <v>6</v>
      </c>
      <c r="J56" s="19">
        <v>1</v>
      </c>
      <c r="K56" s="19">
        <v>2</v>
      </c>
      <c r="L56" s="19">
        <v>3</v>
      </c>
      <c r="M56" s="19">
        <v>4</v>
      </c>
      <c r="N56" s="19">
        <v>5</v>
      </c>
      <c r="O56" s="19">
        <v>6</v>
      </c>
    </row>
    <row r="57" spans="1:24" x14ac:dyDescent="0.3">
      <c r="A57" s="19" t="s">
        <v>8</v>
      </c>
      <c r="B57" s="20" t="s">
        <v>16</v>
      </c>
      <c r="C57" s="20" t="s">
        <v>17</v>
      </c>
      <c r="D57" s="20" t="s">
        <v>18</v>
      </c>
      <c r="E57" s="20" t="s">
        <v>19</v>
      </c>
      <c r="F57" s="20"/>
      <c r="G57" s="20"/>
      <c r="I57" s="19" t="s">
        <v>8</v>
      </c>
      <c r="J57" s="20" t="s">
        <v>16</v>
      </c>
      <c r="K57" s="20" t="s">
        <v>17</v>
      </c>
      <c r="L57" s="20" t="s">
        <v>18</v>
      </c>
      <c r="M57" s="20" t="s">
        <v>19</v>
      </c>
      <c r="N57" s="20"/>
      <c r="O57" s="20"/>
      <c r="S57" s="19">
        <v>1</v>
      </c>
      <c r="T57" s="19">
        <v>2</v>
      </c>
      <c r="U57" s="19">
        <v>3</v>
      </c>
      <c r="V57" s="19">
        <v>4</v>
      </c>
      <c r="W57" s="19">
        <v>5</v>
      </c>
      <c r="X57" s="19">
        <v>6</v>
      </c>
    </row>
    <row r="58" spans="1:24" x14ac:dyDescent="0.3">
      <c r="A58" s="19" t="s">
        <v>15</v>
      </c>
      <c r="B58" s="27">
        <f>(B47-0.1413)/0.0087</f>
        <v>46.632183908045974</v>
      </c>
      <c r="C58" s="28">
        <f>(C47-0.1413)/0.0087</f>
        <v>-7.0459770114942586</v>
      </c>
      <c r="D58" s="28">
        <f>(D47-0.1413)/0.0087</f>
        <v>-15.896551724137932</v>
      </c>
      <c r="E58" s="27">
        <f>(E47-0.1413)/0.0087</f>
        <v>77.666666666666686</v>
      </c>
      <c r="F58" s="23"/>
      <c r="G58" s="23"/>
      <c r="I58" s="19" t="s">
        <v>15</v>
      </c>
      <c r="J58" s="46">
        <f>(B47-0.0002)/0.0259</f>
        <v>21.11196911196911</v>
      </c>
      <c r="K58" s="46">
        <f t="shared" ref="K58:M58" si="3">(C47-0.0002)/0.0259</f>
        <v>3.0810810810810794</v>
      </c>
      <c r="L58" s="46">
        <f t="shared" si="3"/>
        <v>0.10810810810810821</v>
      </c>
      <c r="M58" s="46">
        <f t="shared" si="3"/>
        <v>31.536679536679539</v>
      </c>
      <c r="N58" s="23"/>
      <c r="O58" s="23"/>
      <c r="R58" s="19" t="s">
        <v>8</v>
      </c>
      <c r="S58" s="20">
        <f>B46</f>
        <v>0.81300000000000006</v>
      </c>
      <c r="T58" s="20">
        <f t="shared" ref="T58:X58" si="4">C46</f>
        <v>0.54399999999999993</v>
      </c>
      <c r="U58" s="20">
        <f t="shared" si="4"/>
        <v>0.31599999999999995</v>
      </c>
      <c r="V58" s="20">
        <f t="shared" si="4"/>
        <v>0.19599999999999995</v>
      </c>
      <c r="W58" s="20">
        <f t="shared" si="4"/>
        <v>9.099999999999997E-2</v>
      </c>
      <c r="X58" s="20">
        <f t="shared" si="4"/>
        <v>0</v>
      </c>
    </row>
    <row r="59" spans="1:24" x14ac:dyDescent="0.3">
      <c r="A59" s="19" t="s">
        <v>20</v>
      </c>
      <c r="B59" s="27">
        <f t="shared" ref="B59:E63" si="5">(B48-0.1413)/0.0087</f>
        <v>30.080459770114949</v>
      </c>
      <c r="C59" s="28">
        <f t="shared" si="5"/>
        <v>-6.8160919540229941</v>
      </c>
      <c r="D59" s="28">
        <f t="shared" si="5"/>
        <v>-15.7816091954023</v>
      </c>
      <c r="E59" s="27">
        <f t="shared" si="5"/>
        <v>67.666666666666657</v>
      </c>
      <c r="F59" s="23"/>
      <c r="G59" s="23"/>
      <c r="I59" s="19" t="s">
        <v>20</v>
      </c>
      <c r="J59" s="46">
        <f t="shared" ref="J59:J63" si="6">(B48-0.0002)/0.0259</f>
        <v>15.552123552123554</v>
      </c>
      <c r="K59" s="46">
        <f t="shared" ref="K59:K63" si="7">(C48-0.0002)/0.0259</f>
        <v>3.1583011583011569</v>
      </c>
      <c r="L59" s="46">
        <f t="shared" ref="L59:L63" si="8">(D48-0.0002)/0.0259</f>
        <v>0.14671814671814684</v>
      </c>
      <c r="M59" s="46">
        <f t="shared" ref="M59:M63" si="9">(E48-0.0002)/0.0259</f>
        <v>28.177606177606172</v>
      </c>
      <c r="N59" s="23"/>
      <c r="O59" s="23"/>
      <c r="R59" s="19" t="s">
        <v>15</v>
      </c>
      <c r="S59" s="48">
        <f>B47/B50</f>
        <v>0.62088535754824059</v>
      </c>
      <c r="T59" s="48">
        <f>C47/C50</f>
        <v>1.2307692307692302</v>
      </c>
      <c r="U59" s="48">
        <f t="shared" ref="U59:V59" si="10">D47/D50</f>
        <v>0.15000000000000041</v>
      </c>
      <c r="V59" s="48">
        <f t="shared" si="10"/>
        <v>0.85370950888192276</v>
      </c>
      <c r="W59" s="23"/>
      <c r="X59" s="23" t="s">
        <v>33</v>
      </c>
    </row>
    <row r="60" spans="1:24" x14ac:dyDescent="0.3">
      <c r="A60" s="19" t="s">
        <v>21</v>
      </c>
      <c r="B60" s="28">
        <f t="shared" si="5"/>
        <v>-8.5402298850574727</v>
      </c>
      <c r="C60" s="28">
        <f t="shared" si="5"/>
        <v>-15.206896551724146</v>
      </c>
      <c r="D60" s="28">
        <f t="shared" si="5"/>
        <v>-15.551724137931036</v>
      </c>
      <c r="E60" s="27">
        <f t="shared" si="5"/>
        <v>4.9080459770114935</v>
      </c>
      <c r="F60" s="23"/>
      <c r="G60" s="23"/>
      <c r="I60" s="19" t="s">
        <v>21</v>
      </c>
      <c r="J60" s="46">
        <f t="shared" si="6"/>
        <v>2.5791505791505793</v>
      </c>
      <c r="K60" s="46">
        <f t="shared" si="7"/>
        <v>0.33976833976833792</v>
      </c>
      <c r="L60" s="46">
        <f t="shared" si="8"/>
        <v>0.22393822393822416</v>
      </c>
      <c r="M60" s="46">
        <f t="shared" si="9"/>
        <v>7.0965250965250961</v>
      </c>
      <c r="N60" s="23"/>
      <c r="O60" s="23"/>
      <c r="R60" s="19" t="s">
        <v>20</v>
      </c>
      <c r="S60" s="48">
        <f>B48/$B47</f>
        <v>0.73674588665447915</v>
      </c>
      <c r="T60" s="48">
        <f t="shared" ref="T60:V60" si="11">C48/$B47</f>
        <v>0.14990859232175496</v>
      </c>
      <c r="U60" s="48">
        <f t="shared" si="11"/>
        <v>7.312614259597814E-3</v>
      </c>
      <c r="V60" s="48">
        <f t="shared" si="11"/>
        <v>1.3345521023765996</v>
      </c>
      <c r="W60" s="23"/>
      <c r="X60" s="23" t="s">
        <v>33</v>
      </c>
    </row>
    <row r="61" spans="1:24" x14ac:dyDescent="0.3">
      <c r="A61" s="19" t="s">
        <v>22</v>
      </c>
      <c r="B61" s="27">
        <f t="shared" si="5"/>
        <v>85.022988505747122</v>
      </c>
      <c r="C61" s="28">
        <f t="shared" si="5"/>
        <v>-8.7701149425287372</v>
      </c>
      <c r="D61" s="28">
        <f t="shared" si="5"/>
        <v>-13.942528735632191</v>
      </c>
      <c r="E61" s="27">
        <f t="shared" si="5"/>
        <v>93.758620689655174</v>
      </c>
      <c r="F61" s="23"/>
      <c r="G61" s="23"/>
      <c r="I61" s="19" t="s">
        <v>22</v>
      </c>
      <c r="J61" s="46">
        <f t="shared" si="6"/>
        <v>34.007722007722002</v>
      </c>
      <c r="K61" s="46">
        <f t="shared" si="7"/>
        <v>2.5019305019305018</v>
      </c>
      <c r="L61" s="46">
        <f t="shared" si="8"/>
        <v>0.76447876447876306</v>
      </c>
      <c r="M61" s="46">
        <f t="shared" si="9"/>
        <v>36.942084942084939</v>
      </c>
      <c r="N61" s="23"/>
      <c r="O61" s="23"/>
      <c r="R61" s="19" t="s">
        <v>21</v>
      </c>
      <c r="S61" s="48">
        <f>B49/$B47</f>
        <v>0.12248628884826328</v>
      </c>
      <c r="T61" s="48">
        <f t="shared" ref="T61:V61" si="12">C49/$B47</f>
        <v>1.645338208409498E-2</v>
      </c>
      <c r="U61" s="48">
        <f t="shared" si="12"/>
        <v>1.0968921389396721E-2</v>
      </c>
      <c r="V61" s="48">
        <f t="shared" si="12"/>
        <v>0.33638025594149912</v>
      </c>
      <c r="W61" s="23"/>
      <c r="X61" s="23" t="s">
        <v>33</v>
      </c>
    </row>
    <row r="62" spans="1:24" x14ac:dyDescent="0.3">
      <c r="A62" s="19" t="s">
        <v>23</v>
      </c>
      <c r="B62" s="27">
        <f t="shared" si="5"/>
        <v>-2.2183908045977025</v>
      </c>
      <c r="C62" s="28">
        <f t="shared" si="5"/>
        <v>-14.517241379310352</v>
      </c>
      <c r="D62" s="28">
        <f t="shared" si="5"/>
        <v>-16.011494252873565</v>
      </c>
      <c r="E62" s="27">
        <f t="shared" si="5"/>
        <v>14.333333333333336</v>
      </c>
      <c r="F62" s="23"/>
      <c r="G62" s="23"/>
      <c r="I62" s="19" t="s">
        <v>23</v>
      </c>
      <c r="J62" s="46">
        <f t="shared" si="6"/>
        <v>4.7027027027027026</v>
      </c>
      <c r="K62" s="46">
        <f t="shared" si="7"/>
        <v>0.57142857142856984</v>
      </c>
      <c r="L62" s="46">
        <f t="shared" si="8"/>
        <v>6.9498069498069567E-2</v>
      </c>
      <c r="M62" s="46">
        <f t="shared" si="9"/>
        <v>10.262548262548265</v>
      </c>
      <c r="N62" s="23"/>
      <c r="O62" s="23"/>
      <c r="R62" s="19" t="s">
        <v>22</v>
      </c>
      <c r="S62" s="27">
        <f>1</f>
        <v>1</v>
      </c>
      <c r="T62" s="27">
        <v>1</v>
      </c>
      <c r="U62" s="27">
        <v>1</v>
      </c>
      <c r="V62" s="27">
        <v>1</v>
      </c>
      <c r="W62" s="23"/>
      <c r="X62" s="23" t="s">
        <v>36</v>
      </c>
    </row>
    <row r="63" spans="1:24" x14ac:dyDescent="0.3">
      <c r="A63" s="19" t="s">
        <v>24</v>
      </c>
      <c r="B63" s="28">
        <f t="shared" si="5"/>
        <v>3.9885057471264349</v>
      </c>
      <c r="C63" s="28">
        <f t="shared" si="5"/>
        <v>-12.793103448275867</v>
      </c>
      <c r="D63" s="28">
        <f>(D52-0.1413)/0.0087</f>
        <v>-13.597701149425294</v>
      </c>
      <c r="E63" s="27">
        <f t="shared" si="5"/>
        <v>20.425287356321835</v>
      </c>
      <c r="F63" s="23"/>
      <c r="G63" s="23"/>
      <c r="I63" s="19" t="s">
        <v>24</v>
      </c>
      <c r="J63" s="46">
        <f t="shared" si="6"/>
        <v>6.787644787644787</v>
      </c>
      <c r="K63" s="46">
        <f t="shared" si="7"/>
        <v>1.1505791505791496</v>
      </c>
      <c r="L63" s="46">
        <f t="shared" si="8"/>
        <v>0.88030888030887899</v>
      </c>
      <c r="M63" s="46">
        <f t="shared" si="9"/>
        <v>12.308880308880308</v>
      </c>
      <c r="N63" s="23"/>
      <c r="O63" s="23"/>
      <c r="R63" s="19" t="s">
        <v>23</v>
      </c>
      <c r="S63" s="48">
        <f>B51/$B50</f>
        <v>0.1384790011350738</v>
      </c>
      <c r="T63" s="48">
        <f t="shared" ref="T63:V63" si="13">C51/$B50</f>
        <v>1.7026106696935255E-2</v>
      </c>
      <c r="U63" s="48">
        <f t="shared" si="13"/>
        <v>2.2701475595913755E-3</v>
      </c>
      <c r="V63" s="48">
        <f t="shared" si="13"/>
        <v>0.30192962542565271</v>
      </c>
      <c r="W63" s="23"/>
      <c r="X63" s="23" t="s">
        <v>36</v>
      </c>
    </row>
    <row r="64" spans="1:24" x14ac:dyDescent="0.3">
      <c r="A64" s="19" t="s">
        <v>25</v>
      </c>
      <c r="B64" s="24"/>
      <c r="C64" s="25"/>
      <c r="D64" s="25"/>
      <c r="E64" s="25"/>
      <c r="F64" s="25"/>
      <c r="G64" s="25"/>
      <c r="I64" s="19" t="s">
        <v>25</v>
      </c>
      <c r="J64" s="24"/>
      <c r="K64" s="25"/>
      <c r="L64" s="25"/>
      <c r="M64" s="25"/>
      <c r="N64" s="25"/>
      <c r="O64" s="25"/>
      <c r="R64" s="19" t="s">
        <v>24</v>
      </c>
      <c r="S64" s="48">
        <f>B52/$B50</f>
        <v>0.19977298524404088</v>
      </c>
      <c r="T64" s="48">
        <f t="shared" ref="T64:V64" si="14">C52/$B50</f>
        <v>3.4052213393870573E-2</v>
      </c>
      <c r="U64" s="48">
        <f t="shared" si="14"/>
        <v>2.6106696935300759E-2</v>
      </c>
      <c r="V64" s="48">
        <f t="shared" si="14"/>
        <v>0.36208853575482403</v>
      </c>
      <c r="W64" s="23"/>
      <c r="X64" s="23" t="s">
        <v>36</v>
      </c>
    </row>
    <row r="65" spans="1:23" x14ac:dyDescent="0.3">
      <c r="R65" s="19" t="s">
        <v>25</v>
      </c>
      <c r="S65" s="24"/>
      <c r="T65" s="25"/>
      <c r="U65" s="25"/>
      <c r="V65" s="25"/>
      <c r="W65" s="25"/>
    </row>
    <row r="67" spans="1:23" x14ac:dyDescent="0.3"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J67">
        <v>1</v>
      </c>
      <c r="K67">
        <v>2</v>
      </c>
      <c r="L67">
        <v>3</v>
      </c>
      <c r="M67">
        <v>4</v>
      </c>
      <c r="N67">
        <v>5</v>
      </c>
      <c r="O67">
        <v>6</v>
      </c>
    </row>
    <row r="68" spans="1:23" x14ac:dyDescent="0.3">
      <c r="A68" t="s">
        <v>8</v>
      </c>
      <c r="B68" t="s">
        <v>29</v>
      </c>
      <c r="C68" t="s">
        <v>29</v>
      </c>
      <c r="D68" t="s">
        <v>29</v>
      </c>
      <c r="E68" t="s">
        <v>29</v>
      </c>
      <c r="I68" t="s">
        <v>8</v>
      </c>
      <c r="J68" t="s">
        <v>29</v>
      </c>
      <c r="K68" t="s">
        <v>29</v>
      </c>
      <c r="L68" t="s">
        <v>29</v>
      </c>
      <c r="M68" t="s">
        <v>29</v>
      </c>
    </row>
    <row r="69" spans="1:23" x14ac:dyDescent="0.3">
      <c r="A69" t="s">
        <v>15</v>
      </c>
      <c r="B69">
        <f>B58*10</f>
        <v>466.32183908045977</v>
      </c>
      <c r="C69" s="29">
        <f>C58*100</f>
        <v>-704.5977011494258</v>
      </c>
      <c r="D69" s="29">
        <f>D58*1000</f>
        <v>-15896.551724137933</v>
      </c>
      <c r="E69">
        <f>E58*5</f>
        <v>388.33333333333343</v>
      </c>
      <c r="F69" s="22" t="s">
        <v>32</v>
      </c>
      <c r="G69" s="23" t="s">
        <v>33</v>
      </c>
      <c r="I69" t="s">
        <v>15</v>
      </c>
      <c r="J69" s="47">
        <f t="shared" ref="J69:J74" si="15">J58*10</f>
        <v>211.11969111969108</v>
      </c>
      <c r="K69" s="47">
        <f>K58*100</f>
        <v>308.10810810810796</v>
      </c>
      <c r="L69" s="47">
        <f>L58*1000</f>
        <v>108.10810810810821</v>
      </c>
      <c r="M69" s="47">
        <f>M58*5</f>
        <v>157.68339768339769</v>
      </c>
      <c r="N69" s="22" t="s">
        <v>32</v>
      </c>
      <c r="O69" s="23" t="s">
        <v>33</v>
      </c>
    </row>
    <row r="70" spans="1:23" x14ac:dyDescent="0.3">
      <c r="A70" t="s">
        <v>20</v>
      </c>
      <c r="B70">
        <f t="shared" ref="B70:B74" si="16">B59*10</f>
        <v>300.80459770114948</v>
      </c>
      <c r="C70" s="29">
        <f t="shared" ref="C70:C74" si="17">C59*100</f>
        <v>-681.60919540229941</v>
      </c>
      <c r="D70" s="29">
        <f t="shared" ref="D70:D74" si="18">D59*1000</f>
        <v>-15781.6091954023</v>
      </c>
      <c r="E70">
        <f t="shared" ref="E70:E74" si="19">E59*5</f>
        <v>338.33333333333326</v>
      </c>
      <c r="F70" s="22" t="s">
        <v>34</v>
      </c>
      <c r="G70" s="23" t="s">
        <v>33</v>
      </c>
      <c r="I70" t="s">
        <v>20</v>
      </c>
      <c r="J70" s="47">
        <f t="shared" si="15"/>
        <v>155.52123552123555</v>
      </c>
      <c r="K70" s="47">
        <f t="shared" ref="K70:K74" si="20">K59*100</f>
        <v>315.83011583011569</v>
      </c>
      <c r="L70" s="47">
        <f t="shared" ref="L70:L74" si="21">L59*1000</f>
        <v>146.71814671814684</v>
      </c>
      <c r="M70" s="47">
        <f t="shared" ref="M70:M74" si="22">M59*5</f>
        <v>140.88803088803087</v>
      </c>
      <c r="N70" s="22" t="s">
        <v>34</v>
      </c>
      <c r="O70" s="23" t="s">
        <v>33</v>
      </c>
    </row>
    <row r="71" spans="1:23" x14ac:dyDescent="0.3">
      <c r="A71" t="s">
        <v>21</v>
      </c>
      <c r="B71" s="29">
        <f t="shared" si="16"/>
        <v>-85.402298850574724</v>
      </c>
      <c r="C71" s="29">
        <f t="shared" si="17"/>
        <v>-1520.6896551724146</v>
      </c>
      <c r="D71" s="29">
        <f t="shared" si="18"/>
        <v>-15551.724137931036</v>
      </c>
      <c r="E71">
        <f t="shared" si="19"/>
        <v>24.540229885057467</v>
      </c>
      <c r="F71" s="22" t="s">
        <v>35</v>
      </c>
      <c r="G71" s="23" t="s">
        <v>33</v>
      </c>
      <c r="I71" t="s">
        <v>21</v>
      </c>
      <c r="J71" s="47">
        <f t="shared" si="15"/>
        <v>25.791505791505791</v>
      </c>
      <c r="K71" s="47">
        <f t="shared" si="20"/>
        <v>33.976833976833795</v>
      </c>
      <c r="L71" s="47">
        <f t="shared" si="21"/>
        <v>223.93822393822416</v>
      </c>
      <c r="M71" s="47">
        <f t="shared" si="22"/>
        <v>35.48262548262548</v>
      </c>
      <c r="N71" s="22" t="s">
        <v>35</v>
      </c>
      <c r="O71" s="23" t="s">
        <v>33</v>
      </c>
    </row>
    <row r="72" spans="1:23" x14ac:dyDescent="0.3">
      <c r="A72" t="s">
        <v>22</v>
      </c>
      <c r="B72">
        <f t="shared" si="16"/>
        <v>850.22988505747117</v>
      </c>
      <c r="C72" s="29">
        <f t="shared" si="17"/>
        <v>-877.01149425287372</v>
      </c>
      <c r="D72" s="29">
        <f t="shared" si="18"/>
        <v>-13942.528735632191</v>
      </c>
      <c r="E72">
        <f t="shared" si="19"/>
        <v>468.79310344827587</v>
      </c>
      <c r="F72" s="22" t="s">
        <v>32</v>
      </c>
      <c r="G72" s="23" t="s">
        <v>36</v>
      </c>
      <c r="I72" t="s">
        <v>22</v>
      </c>
      <c r="J72" s="47">
        <f t="shared" si="15"/>
        <v>340.07722007722003</v>
      </c>
      <c r="K72" s="47">
        <f t="shared" si="20"/>
        <v>250.19305019305017</v>
      </c>
      <c r="L72" s="47">
        <f t="shared" si="21"/>
        <v>764.47876447876308</v>
      </c>
      <c r="M72" s="47">
        <f t="shared" si="22"/>
        <v>184.71042471042469</v>
      </c>
      <c r="N72" s="22" t="s">
        <v>32</v>
      </c>
      <c r="O72" s="23" t="s">
        <v>36</v>
      </c>
    </row>
    <row r="73" spans="1:23" x14ac:dyDescent="0.3">
      <c r="A73" t="s">
        <v>23</v>
      </c>
      <c r="B73" s="29">
        <f t="shared" si="16"/>
        <v>-22.183908045977027</v>
      </c>
      <c r="C73" s="29">
        <f t="shared" si="17"/>
        <v>-1451.7241379310353</v>
      </c>
      <c r="D73" s="29">
        <f t="shared" si="18"/>
        <v>-16011.494252873565</v>
      </c>
      <c r="E73">
        <f t="shared" si="19"/>
        <v>71.666666666666686</v>
      </c>
      <c r="F73" s="22" t="s">
        <v>34</v>
      </c>
      <c r="G73" s="23" t="s">
        <v>36</v>
      </c>
      <c r="I73" t="s">
        <v>23</v>
      </c>
      <c r="J73" s="47">
        <f t="shared" si="15"/>
        <v>47.027027027027025</v>
      </c>
      <c r="K73" s="47">
        <f t="shared" si="20"/>
        <v>57.142857142856982</v>
      </c>
      <c r="L73" s="47">
        <f t="shared" si="21"/>
        <v>69.498069498069569</v>
      </c>
      <c r="M73" s="47">
        <f t="shared" si="22"/>
        <v>51.312741312741323</v>
      </c>
      <c r="N73" s="22" t="s">
        <v>34</v>
      </c>
      <c r="O73" s="23" t="s">
        <v>36</v>
      </c>
    </row>
    <row r="74" spans="1:23" x14ac:dyDescent="0.3">
      <c r="A74" t="s">
        <v>24</v>
      </c>
      <c r="B74" s="29">
        <f t="shared" si="16"/>
        <v>39.885057471264346</v>
      </c>
      <c r="C74" s="29">
        <f t="shared" si="17"/>
        <v>-1279.3103448275867</v>
      </c>
      <c r="D74" s="29">
        <f t="shared" si="18"/>
        <v>-13597.701149425295</v>
      </c>
      <c r="E74">
        <f t="shared" si="19"/>
        <v>102.12643678160917</v>
      </c>
      <c r="F74" s="22" t="s">
        <v>35</v>
      </c>
      <c r="G74" s="23" t="s">
        <v>36</v>
      </c>
      <c r="I74" t="s">
        <v>24</v>
      </c>
      <c r="J74" s="47">
        <f t="shared" si="15"/>
        <v>67.87644787644787</v>
      </c>
      <c r="K74" s="47">
        <f t="shared" si="20"/>
        <v>115.05791505791495</v>
      </c>
      <c r="L74" s="47">
        <f t="shared" si="21"/>
        <v>880.308880308879</v>
      </c>
      <c r="M74" s="47">
        <f t="shared" si="22"/>
        <v>61.544401544401538</v>
      </c>
      <c r="N74" s="22" t="s">
        <v>35</v>
      </c>
      <c r="O74" s="23" t="s">
        <v>36</v>
      </c>
    </row>
    <row r="75" spans="1:23" x14ac:dyDescent="0.3">
      <c r="A75" t="s">
        <v>25</v>
      </c>
      <c r="I75" t="s">
        <v>25</v>
      </c>
    </row>
    <row r="76" spans="1:23" x14ac:dyDescent="0.3">
      <c r="B76" s="1" t="s">
        <v>43</v>
      </c>
      <c r="C76" s="15" t="s">
        <v>29</v>
      </c>
      <c r="D76" s="15"/>
      <c r="E76" s="15"/>
      <c r="J76" s="1" t="s">
        <v>43</v>
      </c>
      <c r="K76" s="15" t="s">
        <v>29</v>
      </c>
      <c r="L76" s="15"/>
      <c r="M76" s="15"/>
      <c r="P76" t="s">
        <v>44</v>
      </c>
    </row>
    <row r="77" spans="1:23" x14ac:dyDescent="0.3">
      <c r="C77" s="30">
        <v>466.32183908045977</v>
      </c>
      <c r="D77" s="15" t="s">
        <v>32</v>
      </c>
      <c r="E77" s="15" t="s">
        <v>33</v>
      </c>
      <c r="K77" s="47">
        <v>308.10810810810796</v>
      </c>
      <c r="L77" s="15" t="s">
        <v>32</v>
      </c>
      <c r="M77" s="15" t="s">
        <v>33</v>
      </c>
      <c r="Q77" t="s">
        <v>36</v>
      </c>
      <c r="R77" t="s">
        <v>33</v>
      </c>
    </row>
    <row r="78" spans="1:23" x14ac:dyDescent="0.3">
      <c r="C78" s="30">
        <v>300.80459770114948</v>
      </c>
      <c r="D78" s="15" t="s">
        <v>34</v>
      </c>
      <c r="E78" s="15" t="s">
        <v>33</v>
      </c>
      <c r="K78" s="47">
        <v>315.83011583011569</v>
      </c>
      <c r="L78" s="15" t="s">
        <v>34</v>
      </c>
      <c r="M78" s="15" t="s">
        <v>33</v>
      </c>
      <c r="P78" t="s">
        <v>45</v>
      </c>
      <c r="Q78">
        <v>550</v>
      </c>
      <c r="R78">
        <v>270</v>
      </c>
    </row>
    <row r="79" spans="1:23" x14ac:dyDescent="0.3">
      <c r="C79" s="30">
        <v>24.540229885057467</v>
      </c>
      <c r="D79" s="15" t="s">
        <v>35</v>
      </c>
      <c r="E79" s="15" t="s">
        <v>33</v>
      </c>
      <c r="K79" s="47">
        <v>33.976833976833795</v>
      </c>
      <c r="L79" s="15" t="s">
        <v>35</v>
      </c>
      <c r="M79" s="15" t="s">
        <v>33</v>
      </c>
      <c r="P79" t="s">
        <v>46</v>
      </c>
      <c r="Q79">
        <v>100</v>
      </c>
      <c r="R79">
        <v>230</v>
      </c>
    </row>
    <row r="80" spans="1:23" x14ac:dyDescent="0.3">
      <c r="C80" s="30">
        <v>850.22988505747117</v>
      </c>
      <c r="D80" s="15" t="s">
        <v>32</v>
      </c>
      <c r="E80" s="15" t="s">
        <v>36</v>
      </c>
      <c r="K80" s="47">
        <v>250.19305019305017</v>
      </c>
      <c r="L80" s="15" t="s">
        <v>32</v>
      </c>
      <c r="M80" s="15" t="s">
        <v>36</v>
      </c>
      <c r="P80" t="s">
        <v>47</v>
      </c>
      <c r="Q80">
        <v>150</v>
      </c>
      <c r="R80">
        <v>350</v>
      </c>
    </row>
    <row r="81" spans="3:18" x14ac:dyDescent="0.3">
      <c r="C81" s="30">
        <v>71.666666666666686</v>
      </c>
      <c r="D81" s="15" t="s">
        <v>34</v>
      </c>
      <c r="E81" s="15" t="s">
        <v>36</v>
      </c>
      <c r="K81" s="47">
        <v>57.142857142856982</v>
      </c>
      <c r="L81" s="15" t="s">
        <v>34</v>
      </c>
      <c r="M81" s="15" t="s">
        <v>36</v>
      </c>
    </row>
    <row r="82" spans="3:18" x14ac:dyDescent="0.3">
      <c r="C82" s="30">
        <v>102.12643678160917</v>
      </c>
      <c r="D82" s="15" t="s">
        <v>35</v>
      </c>
      <c r="E82" s="15" t="s">
        <v>36</v>
      </c>
      <c r="K82" s="47">
        <v>115.05791505791495</v>
      </c>
      <c r="L82" s="15" t="s">
        <v>35</v>
      </c>
      <c r="M82" s="15" t="s">
        <v>36</v>
      </c>
      <c r="P82" t="s">
        <v>48</v>
      </c>
    </row>
    <row r="83" spans="3:18" x14ac:dyDescent="0.3">
      <c r="Q83" t="s">
        <v>36</v>
      </c>
      <c r="R83" t="s">
        <v>33</v>
      </c>
    </row>
    <row r="84" spans="3:18" x14ac:dyDescent="0.3">
      <c r="P84" t="s">
        <v>45</v>
      </c>
      <c r="Q84">
        <f>Q78/550</f>
        <v>1</v>
      </c>
      <c r="R84">
        <f>R78/270</f>
        <v>1</v>
      </c>
    </row>
    <row r="85" spans="3:18" x14ac:dyDescent="0.3">
      <c r="P85" t="s">
        <v>46</v>
      </c>
      <c r="Q85" s="41">
        <f>Q79/550</f>
        <v>0.18181818181818182</v>
      </c>
      <c r="R85" s="41">
        <f>R79/550</f>
        <v>0.41818181818181815</v>
      </c>
    </row>
    <row r="86" spans="3:18" x14ac:dyDescent="0.3">
      <c r="P86" t="s">
        <v>47</v>
      </c>
      <c r="Q86" s="41">
        <f>Q80/550</f>
        <v>0.27272727272727271</v>
      </c>
      <c r="R86" s="41">
        <f>R80/550</f>
        <v>0.63636363636363635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2"/>
  <sheetViews>
    <sheetView workbookViewId="0">
      <selection activeCell="O4" sqref="O4"/>
    </sheetView>
  </sheetViews>
  <sheetFormatPr defaultRowHeight="14.4" x14ac:dyDescent="0.3"/>
  <cols>
    <col min="1" max="1" width="13.44140625" bestFit="1" customWidth="1"/>
  </cols>
  <sheetData>
    <row r="1" spans="1:4" x14ac:dyDescent="0.3">
      <c r="B1" t="s">
        <v>213</v>
      </c>
      <c r="C1" t="s">
        <v>214</v>
      </c>
    </row>
    <row r="2" spans="1:4" x14ac:dyDescent="0.3">
      <c r="A2" s="1" t="s">
        <v>159</v>
      </c>
      <c r="B2">
        <v>140364</v>
      </c>
      <c r="C2">
        <v>49212</v>
      </c>
      <c r="D2">
        <f>C2/B2</f>
        <v>0.35060271864580661</v>
      </c>
    </row>
    <row r="3" spans="1:4" x14ac:dyDescent="0.3">
      <c r="A3" s="1" t="s">
        <v>172</v>
      </c>
      <c r="B3">
        <v>32174</v>
      </c>
      <c r="C3">
        <v>30652</v>
      </c>
      <c r="D3">
        <f t="shared" ref="D3:D5" si="0">C3/B3</f>
        <v>0.95269472244669606</v>
      </c>
    </row>
    <row r="4" spans="1:4" x14ac:dyDescent="0.3">
      <c r="A4" s="1" t="s">
        <v>175</v>
      </c>
      <c r="B4">
        <v>6714</v>
      </c>
      <c r="C4">
        <v>6667</v>
      </c>
      <c r="D4">
        <f t="shared" si="0"/>
        <v>0.99299970211498356</v>
      </c>
    </row>
    <row r="5" spans="1:4" x14ac:dyDescent="0.3">
      <c r="A5" s="31" t="s">
        <v>205</v>
      </c>
      <c r="B5">
        <v>19250</v>
      </c>
      <c r="C5">
        <v>17938</v>
      </c>
      <c r="D5">
        <f t="shared" si="0"/>
        <v>0.93184415584415581</v>
      </c>
    </row>
    <row r="7" spans="1:4" x14ac:dyDescent="0.3">
      <c r="B7" s="1" t="s">
        <v>159</v>
      </c>
      <c r="C7" s="1" t="s">
        <v>172</v>
      </c>
      <c r="D7" s="1" t="s">
        <v>175</v>
      </c>
    </row>
    <row r="8" spans="1:4" x14ac:dyDescent="0.3">
      <c r="A8" t="s">
        <v>213</v>
      </c>
      <c r="B8">
        <v>245833</v>
      </c>
      <c r="C8">
        <v>46207</v>
      </c>
      <c r="D8">
        <v>38000</v>
      </c>
    </row>
    <row r="9" spans="1:4" x14ac:dyDescent="0.3">
      <c r="A9" t="s">
        <v>227</v>
      </c>
      <c r="B9">
        <v>22167</v>
      </c>
      <c r="C9">
        <v>7241</v>
      </c>
      <c r="D9">
        <v>5667</v>
      </c>
    </row>
    <row r="10" spans="1:4" x14ac:dyDescent="0.3">
      <c r="A10" t="s">
        <v>214</v>
      </c>
      <c r="B10">
        <v>14000</v>
      </c>
      <c r="C10">
        <v>28103</v>
      </c>
      <c r="D10">
        <v>26000</v>
      </c>
    </row>
    <row r="14" spans="1:4" x14ac:dyDescent="0.3">
      <c r="A14">
        <v>245833</v>
      </c>
    </row>
    <row r="15" spans="1:4" x14ac:dyDescent="0.3">
      <c r="A15">
        <v>46207</v>
      </c>
    </row>
    <row r="16" spans="1:4" x14ac:dyDescent="0.3">
      <c r="A16">
        <v>38000</v>
      </c>
    </row>
    <row r="17" spans="1:7" x14ac:dyDescent="0.3">
      <c r="A17">
        <v>22167</v>
      </c>
      <c r="G17" t="s">
        <v>106</v>
      </c>
    </row>
    <row r="18" spans="1:7" x14ac:dyDescent="0.3">
      <c r="A18">
        <v>7241</v>
      </c>
    </row>
    <row r="19" spans="1:7" x14ac:dyDescent="0.3">
      <c r="A19">
        <v>5667</v>
      </c>
    </row>
    <row r="20" spans="1:7" x14ac:dyDescent="0.3">
      <c r="A20">
        <v>14000</v>
      </c>
    </row>
    <row r="21" spans="1:7" x14ac:dyDescent="0.3">
      <c r="A21">
        <v>28103</v>
      </c>
    </row>
    <row r="22" spans="1:7" x14ac:dyDescent="0.3">
      <c r="A22">
        <v>26000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4"/>
  <sheetViews>
    <sheetView topLeftCell="A22" workbookViewId="0">
      <selection activeCell="A18" sqref="A18:D22"/>
    </sheetView>
  </sheetViews>
  <sheetFormatPr defaultRowHeight="14.4" x14ac:dyDescent="0.3"/>
  <sheetData>
    <row r="1" spans="1:9" x14ac:dyDescent="0.3">
      <c r="E1" t="s">
        <v>237</v>
      </c>
      <c r="G1" t="s">
        <v>246</v>
      </c>
    </row>
    <row r="2" spans="1:9" x14ac:dyDescent="0.3">
      <c r="B2" t="s">
        <v>258</v>
      </c>
      <c r="C2" t="s">
        <v>235</v>
      </c>
      <c r="D2" t="s">
        <v>238</v>
      </c>
      <c r="E2" t="s">
        <v>235</v>
      </c>
      <c r="F2" t="s">
        <v>236</v>
      </c>
      <c r="G2" t="s">
        <v>235</v>
      </c>
      <c r="H2" t="s">
        <v>236</v>
      </c>
    </row>
    <row r="3" spans="1:9" x14ac:dyDescent="0.3">
      <c r="A3" t="s">
        <v>251</v>
      </c>
      <c r="B3">
        <v>149346</v>
      </c>
      <c r="C3">
        <v>14216</v>
      </c>
      <c r="D3">
        <v>10621</v>
      </c>
      <c r="E3">
        <f>100-G3</f>
        <v>90.481164544078851</v>
      </c>
      <c r="F3">
        <f>100-H3</f>
        <v>92.888326436596898</v>
      </c>
      <c r="G3">
        <f>C3/B3*100</f>
        <v>9.5188354559211508</v>
      </c>
      <c r="H3">
        <f>D3/B3*100</f>
        <v>7.1116735634031034</v>
      </c>
    </row>
    <row r="4" spans="1:9" x14ac:dyDescent="0.3">
      <c r="A4" t="s">
        <v>252</v>
      </c>
      <c r="B4">
        <v>175429</v>
      </c>
      <c r="C4">
        <v>134202</v>
      </c>
      <c r="D4">
        <v>163383</v>
      </c>
      <c r="E4">
        <f t="shared" ref="E4:E11" si="0">100-G4</f>
        <v>23.500675486949135</v>
      </c>
      <c r="F4">
        <f t="shared" ref="F4:F11" si="1">100-H4</f>
        <v>6.8665956027794692</v>
      </c>
      <c r="G4">
        <f t="shared" ref="G4:G11" si="2">C4/B4*100</f>
        <v>76.499324513050865</v>
      </c>
      <c r="H4">
        <f t="shared" ref="H4:H11" si="3">D4/B4*100</f>
        <v>93.133404397220531</v>
      </c>
    </row>
    <row r="5" spans="1:9" x14ac:dyDescent="0.3">
      <c r="A5" t="s">
        <v>253</v>
      </c>
      <c r="B5">
        <v>156333</v>
      </c>
      <c r="C5">
        <v>18500</v>
      </c>
      <c r="D5">
        <v>22667</v>
      </c>
      <c r="E5">
        <f t="shared" si="0"/>
        <v>88.166286068840236</v>
      </c>
      <c r="F5">
        <f t="shared" si="1"/>
        <v>85.500821963373056</v>
      </c>
      <c r="G5">
        <f t="shared" si="2"/>
        <v>11.833713931159769</v>
      </c>
      <c r="H5">
        <f t="shared" si="3"/>
        <v>14.499178036626944</v>
      </c>
    </row>
    <row r="6" spans="1:9" x14ac:dyDescent="0.3">
      <c r="A6" s="29" t="s">
        <v>250</v>
      </c>
      <c r="B6" s="29">
        <v>-33059</v>
      </c>
      <c r="C6" s="29">
        <v>12250</v>
      </c>
      <c r="D6" s="29">
        <v>15439</v>
      </c>
      <c r="E6" s="29">
        <f t="shared" si="0"/>
        <v>137.05496234005869</v>
      </c>
      <c r="F6" s="29">
        <f t="shared" si="1"/>
        <v>146.70135212801355</v>
      </c>
      <c r="G6" s="29">
        <f t="shared" si="2"/>
        <v>-37.054962340058687</v>
      </c>
      <c r="H6" s="29">
        <f t="shared" si="3"/>
        <v>-46.701352128013554</v>
      </c>
      <c r="I6" t="s">
        <v>259</v>
      </c>
    </row>
    <row r="7" spans="1:9" x14ac:dyDescent="0.3">
      <c r="A7" t="s">
        <v>254</v>
      </c>
      <c r="B7">
        <v>5857</v>
      </c>
      <c r="C7">
        <v>-167</v>
      </c>
      <c r="D7">
        <v>4016</v>
      </c>
      <c r="E7">
        <f t="shared" si="0"/>
        <v>102.85128905583063</v>
      </c>
      <c r="F7">
        <f t="shared" si="1"/>
        <v>31.432473962779582</v>
      </c>
      <c r="G7">
        <f t="shared" si="2"/>
        <v>-2.8512890558306299</v>
      </c>
      <c r="H7">
        <f t="shared" si="3"/>
        <v>68.567526037220418</v>
      </c>
    </row>
    <row r="8" spans="1:9" x14ac:dyDescent="0.3">
      <c r="A8" t="s">
        <v>255</v>
      </c>
      <c r="B8">
        <v>6333</v>
      </c>
      <c r="C8">
        <v>-3833</v>
      </c>
      <c r="D8">
        <v>4000</v>
      </c>
      <c r="E8">
        <f t="shared" si="0"/>
        <v>160.52423811779568</v>
      </c>
      <c r="F8">
        <f t="shared" si="1"/>
        <v>36.838780988473076</v>
      </c>
      <c r="G8">
        <f t="shared" si="2"/>
        <v>-60.524238117795669</v>
      </c>
      <c r="H8">
        <f t="shared" si="3"/>
        <v>63.161219011526924</v>
      </c>
    </row>
    <row r="9" spans="1:9" x14ac:dyDescent="0.3">
      <c r="A9" t="s">
        <v>260</v>
      </c>
      <c r="B9">
        <v>6223</v>
      </c>
      <c r="C9">
        <v>-5071</v>
      </c>
      <c r="D9">
        <v>6684</v>
      </c>
      <c r="E9">
        <f t="shared" si="0"/>
        <v>181.48802828217902</v>
      </c>
      <c r="F9">
        <f t="shared" si="1"/>
        <v>-7.4080025711071897</v>
      </c>
      <c r="G9">
        <f t="shared" si="2"/>
        <v>-81.488028282179016</v>
      </c>
      <c r="H9">
        <f t="shared" si="3"/>
        <v>107.40800257110719</v>
      </c>
    </row>
    <row r="10" spans="1:9" x14ac:dyDescent="0.3">
      <c r="A10" t="s">
        <v>256</v>
      </c>
      <c r="B10">
        <v>9833</v>
      </c>
      <c r="C10">
        <v>-2333</v>
      </c>
      <c r="D10">
        <v>3500</v>
      </c>
      <c r="E10">
        <f t="shared" si="0"/>
        <v>123.72622800772908</v>
      </c>
      <c r="F10">
        <f t="shared" si="1"/>
        <v>64.405573070273562</v>
      </c>
      <c r="G10">
        <f t="shared" si="2"/>
        <v>-23.726228007729073</v>
      </c>
      <c r="H10">
        <f t="shared" si="3"/>
        <v>35.594426929726431</v>
      </c>
    </row>
    <row r="11" spans="1:9" x14ac:dyDescent="0.3">
      <c r="A11" t="s">
        <v>257</v>
      </c>
      <c r="B11">
        <v>3181</v>
      </c>
      <c r="C11">
        <v>-3349</v>
      </c>
      <c r="D11">
        <v>2846</v>
      </c>
      <c r="E11">
        <f t="shared" si="0"/>
        <v>205.28135806350207</v>
      </c>
      <c r="F11">
        <f t="shared" si="1"/>
        <v>10.531279471864195</v>
      </c>
      <c r="G11">
        <f t="shared" si="2"/>
        <v>-105.28135806350205</v>
      </c>
      <c r="H11">
        <f t="shared" si="3"/>
        <v>89.468720528135805</v>
      </c>
    </row>
    <row r="18" spans="1:9" x14ac:dyDescent="0.3">
      <c r="B18" t="s">
        <v>234</v>
      </c>
      <c r="C18" t="s">
        <v>239</v>
      </c>
      <c r="D18" t="s">
        <v>236</v>
      </c>
    </row>
    <row r="19" spans="1:9" x14ac:dyDescent="0.3">
      <c r="A19" t="s">
        <v>45</v>
      </c>
      <c r="B19">
        <v>152614</v>
      </c>
      <c r="C19">
        <v>19118</v>
      </c>
      <c r="D19">
        <v>16340</v>
      </c>
    </row>
    <row r="20" spans="1:9" x14ac:dyDescent="0.3">
      <c r="A20" t="s">
        <v>45</v>
      </c>
      <c r="B20">
        <v>162092</v>
      </c>
      <c r="C20">
        <v>18954</v>
      </c>
      <c r="D20">
        <v>16176</v>
      </c>
    </row>
    <row r="21" spans="1:9" x14ac:dyDescent="0.3">
      <c r="A21" t="s">
        <v>228</v>
      </c>
      <c r="B21">
        <v>175090</v>
      </c>
      <c r="C21">
        <v>161687</v>
      </c>
      <c r="D21">
        <v>149810</v>
      </c>
    </row>
    <row r="22" spans="1:9" x14ac:dyDescent="0.3">
      <c r="A22" t="s">
        <v>228</v>
      </c>
      <c r="B22">
        <v>164571</v>
      </c>
      <c r="C22">
        <v>150828</v>
      </c>
      <c r="D22">
        <v>145399</v>
      </c>
    </row>
    <row r="23" spans="1:9" x14ac:dyDescent="0.3">
      <c r="A23" t="s">
        <v>230</v>
      </c>
      <c r="B23">
        <v>32220</v>
      </c>
      <c r="D23">
        <v>41449</v>
      </c>
    </row>
    <row r="24" spans="1:9" x14ac:dyDescent="0.3">
      <c r="H24" t="s">
        <v>246</v>
      </c>
      <c r="I24" t="s">
        <v>237</v>
      </c>
    </row>
    <row r="25" spans="1:9" x14ac:dyDescent="0.3">
      <c r="B25" s="89" t="s">
        <v>243</v>
      </c>
      <c r="C25" t="s">
        <v>240</v>
      </c>
      <c r="D25" t="s">
        <v>241</v>
      </c>
      <c r="E25" t="s">
        <v>242</v>
      </c>
      <c r="F25" t="s">
        <v>245</v>
      </c>
      <c r="G25" t="s">
        <v>244</v>
      </c>
    </row>
    <row r="26" spans="1:9" x14ac:dyDescent="0.3">
      <c r="A26" t="s">
        <v>45</v>
      </c>
      <c r="B26" s="89">
        <v>0</v>
      </c>
      <c r="C26">
        <v>149346</v>
      </c>
      <c r="D26">
        <v>152614</v>
      </c>
      <c r="E26">
        <v>162092</v>
      </c>
      <c r="F26">
        <f t="shared" ref="F26:F31" si="4">AVERAGE(C26:E26)</f>
        <v>154684</v>
      </c>
      <c r="G26">
        <f t="shared" ref="G26:G31" si="5">STDEV(C26:E26)</f>
        <v>6620.3326200425909</v>
      </c>
    </row>
    <row r="27" spans="1:9" x14ac:dyDescent="0.3">
      <c r="A27" t="s">
        <v>45</v>
      </c>
      <c r="B27" s="89">
        <v>150</v>
      </c>
      <c r="C27">
        <v>14216</v>
      </c>
      <c r="D27">
        <v>19118</v>
      </c>
      <c r="E27">
        <v>18954</v>
      </c>
      <c r="F27">
        <f t="shared" si="4"/>
        <v>17429.333333333332</v>
      </c>
      <c r="G27">
        <f t="shared" si="5"/>
        <v>2784.0361587690118</v>
      </c>
      <c r="H27">
        <f>$F$27/$F$26</f>
        <v>0.11267702757449595</v>
      </c>
      <c r="I27">
        <f>(1-H27)*100</f>
        <v>88.732297242550402</v>
      </c>
    </row>
    <row r="28" spans="1:9" x14ac:dyDescent="0.3">
      <c r="A28" t="s">
        <v>45</v>
      </c>
      <c r="B28" s="89">
        <v>5000</v>
      </c>
      <c r="C28">
        <v>10621</v>
      </c>
      <c r="D28">
        <v>16340</v>
      </c>
      <c r="E28">
        <v>16176</v>
      </c>
      <c r="F28">
        <f t="shared" si="4"/>
        <v>14379</v>
      </c>
      <c r="G28">
        <f t="shared" si="5"/>
        <v>3255.5563272657409</v>
      </c>
      <c r="H28">
        <f>F28/F26</f>
        <v>9.295725479041142E-2</v>
      </c>
      <c r="I28">
        <f t="shared" ref="I28:I31" si="6">(1-H28)*100</f>
        <v>90.704274520958862</v>
      </c>
    </row>
    <row r="29" spans="1:9" x14ac:dyDescent="0.3">
      <c r="A29" t="s">
        <v>228</v>
      </c>
      <c r="B29" s="89">
        <v>0</v>
      </c>
      <c r="C29">
        <v>175429</v>
      </c>
      <c r="D29">
        <v>175090</v>
      </c>
      <c r="E29">
        <v>164571</v>
      </c>
      <c r="F29">
        <f t="shared" si="4"/>
        <v>171696.66666666666</v>
      </c>
      <c r="G29">
        <f t="shared" si="5"/>
        <v>6173.3357541391933</v>
      </c>
    </row>
    <row r="30" spans="1:9" x14ac:dyDescent="0.3">
      <c r="A30" t="s">
        <v>228</v>
      </c>
      <c r="B30" s="89">
        <v>150</v>
      </c>
      <c r="C30">
        <v>134202</v>
      </c>
      <c r="D30">
        <v>161687</v>
      </c>
      <c r="E30">
        <v>150828</v>
      </c>
      <c r="F30">
        <f t="shared" si="4"/>
        <v>148905.66666666666</v>
      </c>
      <c r="G30">
        <f t="shared" si="5"/>
        <v>13842.970430270136</v>
      </c>
      <c r="H30">
        <f>F30/F29</f>
        <v>0.86726009046962671</v>
      </c>
      <c r="I30">
        <f t="shared" si="6"/>
        <v>13.273990953037329</v>
      </c>
    </row>
    <row r="31" spans="1:9" x14ac:dyDescent="0.3">
      <c r="A31" t="s">
        <v>228</v>
      </c>
      <c r="B31" s="89">
        <v>5000</v>
      </c>
      <c r="C31">
        <v>163383</v>
      </c>
      <c r="D31">
        <v>149810</v>
      </c>
      <c r="E31">
        <v>145399</v>
      </c>
      <c r="F31">
        <f t="shared" si="4"/>
        <v>152864</v>
      </c>
      <c r="G31">
        <f t="shared" si="5"/>
        <v>9372.8998180925846</v>
      </c>
      <c r="H31">
        <f>F31/F29</f>
        <v>0.89031431400337813</v>
      </c>
      <c r="I31">
        <f t="shared" si="6"/>
        <v>10.968568599662188</v>
      </c>
    </row>
    <row r="40" spans="1:6" x14ac:dyDescent="0.3">
      <c r="B40" t="s">
        <v>234</v>
      </c>
      <c r="C40" t="s">
        <v>236</v>
      </c>
    </row>
    <row r="41" spans="1:6" x14ac:dyDescent="0.3">
      <c r="A41" t="s">
        <v>248</v>
      </c>
      <c r="B41">
        <f>AVERAGE(B19:B20)</f>
        <v>157353</v>
      </c>
      <c r="C41">
        <f>AVERAGE(D19:D20)</f>
        <v>16258</v>
      </c>
      <c r="D41" t="s">
        <v>249</v>
      </c>
    </row>
    <row r="42" spans="1:6" x14ac:dyDescent="0.3">
      <c r="A42" t="s">
        <v>250</v>
      </c>
      <c r="B42">
        <v>32220</v>
      </c>
      <c r="C42">
        <v>41449</v>
      </c>
      <c r="D42" t="s">
        <v>247</v>
      </c>
    </row>
    <row r="44" spans="1:6" x14ac:dyDescent="0.3">
      <c r="F44" t="s">
        <v>72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1" workbookViewId="0">
      <selection activeCell="E16" sqref="E16"/>
    </sheetView>
  </sheetViews>
  <sheetFormatPr defaultRowHeight="14.4" x14ac:dyDescent="0.3"/>
  <sheetData>
    <row r="1" spans="1:16" x14ac:dyDescent="0.3">
      <c r="A1">
        <v>21</v>
      </c>
    </row>
    <row r="3" spans="1:16" x14ac:dyDescent="0.3">
      <c r="J3" t="s">
        <v>263</v>
      </c>
      <c r="P3" t="s">
        <v>265</v>
      </c>
    </row>
    <row r="4" spans="1:16" x14ac:dyDescent="0.3">
      <c r="D4" t="s">
        <v>261</v>
      </c>
      <c r="E4">
        <v>12.5</v>
      </c>
      <c r="F4">
        <v>25</v>
      </c>
      <c r="G4">
        <v>50</v>
      </c>
      <c r="H4">
        <v>100</v>
      </c>
      <c r="J4">
        <v>0</v>
      </c>
      <c r="K4">
        <v>12.5</v>
      </c>
      <c r="L4">
        <v>25</v>
      </c>
      <c r="M4">
        <v>50</v>
      </c>
      <c r="N4">
        <v>100</v>
      </c>
      <c r="O4" s="90" t="s">
        <v>251</v>
      </c>
      <c r="P4">
        <f>STDEV(D5:D6)</f>
        <v>5314.6145673980909</v>
      </c>
    </row>
    <row r="5" spans="1:16" ht="15" thickBot="1" x14ac:dyDescent="0.35">
      <c r="C5" t="s">
        <v>8</v>
      </c>
      <c r="D5">
        <v>128922</v>
      </c>
      <c r="E5">
        <v>109477</v>
      </c>
      <c r="F5">
        <v>41013</v>
      </c>
      <c r="G5">
        <v>39542</v>
      </c>
      <c r="H5" s="81">
        <f>ROUND((SPEC_ACTIVITY!F133*1000)/(SPEC_ACTIVITY!G133*SPEC_ACTIVITY!J133*SPEC_ACTIVITY!K133),0)</f>
        <v>21732</v>
      </c>
      <c r="I5" s="90" t="s">
        <v>251</v>
      </c>
      <c r="J5">
        <f>AVERAGE(D5:D6)</f>
        <v>132680</v>
      </c>
      <c r="K5">
        <f t="shared" ref="K5:N5" si="0">AVERAGE(E5:E6)</f>
        <v>104902</v>
      </c>
      <c r="L5">
        <f t="shared" si="0"/>
        <v>44771</v>
      </c>
      <c r="M5">
        <f t="shared" si="0"/>
        <v>34477</v>
      </c>
      <c r="N5">
        <f t="shared" si="0"/>
        <v>22222</v>
      </c>
      <c r="O5" s="90" t="s">
        <v>266</v>
      </c>
      <c r="P5">
        <f>STDEV(D6:D7)</f>
        <v>6531.5453378201391</v>
      </c>
    </row>
    <row r="6" spans="1:16" ht="15" thickBot="1" x14ac:dyDescent="0.35">
      <c r="C6" t="s">
        <v>8</v>
      </c>
      <c r="D6">
        <v>136438</v>
      </c>
      <c r="E6">
        <v>100327</v>
      </c>
      <c r="F6">
        <v>48529</v>
      </c>
      <c r="G6">
        <v>29412</v>
      </c>
      <c r="H6" s="81">
        <f>ROUND((SPEC_ACTIVITY!F134*1000)/(SPEC_ACTIVITY!G134*SPEC_ACTIVITY!J134*SPEC_ACTIVITY!K134),0)</f>
        <v>22712</v>
      </c>
      <c r="I6" s="90" t="s">
        <v>266</v>
      </c>
      <c r="J6">
        <f>AVERAGE(D7:D8)</f>
        <v>114111.5</v>
      </c>
      <c r="K6">
        <f t="shared" ref="K6:N6" si="1">AVERAGE(E7:E8)</f>
        <v>43463</v>
      </c>
      <c r="L6">
        <f t="shared" si="1"/>
        <v>28947.5</v>
      </c>
      <c r="M6">
        <f t="shared" si="1"/>
        <v>24920</v>
      </c>
      <c r="N6">
        <f t="shared" si="1"/>
        <v>19214.5</v>
      </c>
    </row>
    <row r="7" spans="1:16" ht="15" thickBot="1" x14ac:dyDescent="0.35">
      <c r="C7" t="s">
        <v>262</v>
      </c>
      <c r="D7">
        <v>127201</v>
      </c>
      <c r="E7">
        <v>49001</v>
      </c>
      <c r="F7">
        <v>28360</v>
      </c>
      <c r="G7">
        <v>23829</v>
      </c>
      <c r="H7" s="81">
        <f>ROUND((SPEC_ACTIVITY!F135*1000)/(SPEC_ACTIVITY!G135*SPEC_ACTIVITY!J135*SPEC_ACTIVITY!K135),0)</f>
        <v>18963</v>
      </c>
      <c r="I7" s="90"/>
    </row>
    <row r="8" spans="1:16" ht="15" thickBot="1" x14ac:dyDescent="0.35">
      <c r="C8" t="s">
        <v>262</v>
      </c>
      <c r="D8">
        <v>101022</v>
      </c>
      <c r="E8">
        <v>37925</v>
      </c>
      <c r="F8">
        <v>29535</v>
      </c>
      <c r="G8">
        <v>26011</v>
      </c>
      <c r="H8" s="81">
        <f>ROUND((SPEC_ACTIVITY!F136*1000)/(SPEC_ACTIVITY!G136*SPEC_ACTIVITY!J136*SPEC_ACTIVITY!K136),0)</f>
        <v>19466</v>
      </c>
      <c r="I8" s="90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"/>
  <sheetViews>
    <sheetView topLeftCell="A10" workbookViewId="0">
      <selection activeCell="A21" sqref="A21"/>
    </sheetView>
  </sheetViews>
  <sheetFormatPr defaultRowHeight="14.4" x14ac:dyDescent="0.3"/>
  <sheetData>
    <row r="1" spans="1:16" x14ac:dyDescent="0.3">
      <c r="D1" t="s">
        <v>261</v>
      </c>
      <c r="E1">
        <v>12.5</v>
      </c>
      <c r="F1">
        <v>25</v>
      </c>
      <c r="G1">
        <v>50</v>
      </c>
      <c r="H1">
        <v>100</v>
      </c>
    </row>
    <row r="2" spans="1:16" x14ac:dyDescent="0.3">
      <c r="C2" t="s">
        <v>8</v>
      </c>
      <c r="D2">
        <v>128922</v>
      </c>
      <c r="E2">
        <v>109477</v>
      </c>
      <c r="F2">
        <v>41013</v>
      </c>
      <c r="G2">
        <v>39542</v>
      </c>
      <c r="H2">
        <v>21732</v>
      </c>
    </row>
    <row r="3" spans="1:16" x14ac:dyDescent="0.3">
      <c r="C3" t="s">
        <v>8</v>
      </c>
      <c r="D3">
        <v>136438</v>
      </c>
      <c r="E3">
        <v>100327</v>
      </c>
      <c r="F3">
        <v>48529</v>
      </c>
      <c r="G3">
        <v>29412</v>
      </c>
      <c r="H3">
        <v>22712</v>
      </c>
    </row>
    <row r="4" spans="1:16" x14ac:dyDescent="0.3">
      <c r="C4" t="s">
        <v>267</v>
      </c>
      <c r="D4">
        <f>AVERAGE(D2:D3)</f>
        <v>132680</v>
      </c>
      <c r="E4">
        <f t="shared" ref="E4:H4" si="0">AVERAGE(E2:E3)</f>
        <v>104902</v>
      </c>
      <c r="F4">
        <f t="shared" si="0"/>
        <v>44771</v>
      </c>
      <c r="G4">
        <f t="shared" si="0"/>
        <v>34477</v>
      </c>
      <c r="H4">
        <f t="shared" si="0"/>
        <v>22222</v>
      </c>
      <c r="N4" t="s">
        <v>234</v>
      </c>
      <c r="O4" t="s">
        <v>239</v>
      </c>
      <c r="P4" t="s">
        <v>236</v>
      </c>
    </row>
    <row r="5" spans="1:16" x14ac:dyDescent="0.3">
      <c r="C5" t="s">
        <v>268</v>
      </c>
      <c r="D5">
        <f>STDEV(D2:D3)</f>
        <v>5314.6145673980909</v>
      </c>
      <c r="E5">
        <f t="shared" ref="E5:H5" si="1">STDEV(E2:E3)</f>
        <v>6470.02704785691</v>
      </c>
      <c r="F5">
        <f t="shared" si="1"/>
        <v>5314.6145673980909</v>
      </c>
      <c r="G5">
        <f t="shared" si="1"/>
        <v>7162.9916934197263</v>
      </c>
      <c r="H5">
        <f t="shared" si="1"/>
        <v>692.9646455628166</v>
      </c>
      <c r="M5" t="s">
        <v>45</v>
      </c>
      <c r="N5">
        <v>152614</v>
      </c>
      <c r="O5">
        <v>19118</v>
      </c>
      <c r="P5">
        <v>16340</v>
      </c>
    </row>
    <row r="6" spans="1:16" x14ac:dyDescent="0.3">
      <c r="C6" t="s">
        <v>252</v>
      </c>
      <c r="D6">
        <v>74481</v>
      </c>
      <c r="E6">
        <v>77365</v>
      </c>
      <c r="F6">
        <v>76008</v>
      </c>
      <c r="G6">
        <v>72445</v>
      </c>
      <c r="H6">
        <v>78723</v>
      </c>
      <c r="M6" t="s">
        <v>45</v>
      </c>
      <c r="N6">
        <v>162092</v>
      </c>
      <c r="O6">
        <v>18954</v>
      </c>
      <c r="P6">
        <v>16176</v>
      </c>
    </row>
    <row r="7" spans="1:16" x14ac:dyDescent="0.3">
      <c r="C7" t="s">
        <v>252</v>
      </c>
      <c r="D7">
        <v>82964</v>
      </c>
      <c r="E7">
        <v>74820</v>
      </c>
      <c r="F7">
        <v>74651</v>
      </c>
      <c r="G7">
        <v>73463</v>
      </c>
      <c r="H7">
        <v>71597</v>
      </c>
      <c r="M7" t="s">
        <v>267</v>
      </c>
      <c r="N7">
        <f>AVERAGE(N5:N6)</f>
        <v>157353</v>
      </c>
      <c r="O7">
        <f t="shared" ref="O7:P7" si="2">AVERAGE(O5:O6)</f>
        <v>19036</v>
      </c>
      <c r="P7">
        <f t="shared" si="2"/>
        <v>16258</v>
      </c>
    </row>
    <row r="8" spans="1:16" x14ac:dyDescent="0.3">
      <c r="C8" t="s">
        <v>267</v>
      </c>
      <c r="D8">
        <f>AVERAGE(D6:D7)</f>
        <v>78722.5</v>
      </c>
      <c r="E8">
        <f t="shared" ref="E8:H8" si="3">AVERAGE(E6:E7)</f>
        <v>76092.5</v>
      </c>
      <c r="F8">
        <f t="shared" si="3"/>
        <v>75329.5</v>
      </c>
      <c r="G8">
        <f t="shared" si="3"/>
        <v>72954</v>
      </c>
      <c r="H8">
        <f t="shared" si="3"/>
        <v>75160</v>
      </c>
      <c r="M8" t="s">
        <v>268</v>
      </c>
      <c r="N8">
        <f>STDEV(N5:N6)</f>
        <v>6701.9580720860977</v>
      </c>
      <c r="O8">
        <f t="shared" ref="O8:P8" si="4">STDEV(O5:O6)</f>
        <v>115.96551211459379</v>
      </c>
      <c r="P8">
        <f t="shared" si="4"/>
        <v>115.96551211459379</v>
      </c>
    </row>
    <row r="9" spans="1:16" x14ac:dyDescent="0.3">
      <c r="C9" t="s">
        <v>268</v>
      </c>
      <c r="D9">
        <f>STDEV(D6:D7)</f>
        <v>5998.3868248054823</v>
      </c>
      <c r="E9">
        <f t="shared" ref="E9:H9" si="5">STDEV(E6:E7)</f>
        <v>1799.5867581197635</v>
      </c>
      <c r="F9">
        <f t="shared" si="5"/>
        <v>959.54390207014501</v>
      </c>
      <c r="G9">
        <f t="shared" si="5"/>
        <v>719.8347032479054</v>
      </c>
      <c r="H9">
        <f t="shared" si="5"/>
        <v>5038.8429227353381</v>
      </c>
      <c r="M9" t="s">
        <v>228</v>
      </c>
      <c r="N9">
        <v>175090</v>
      </c>
      <c r="O9">
        <v>161687</v>
      </c>
      <c r="P9">
        <v>149810</v>
      </c>
    </row>
    <row r="10" spans="1:16" x14ac:dyDescent="0.3">
      <c r="M10" t="s">
        <v>228</v>
      </c>
      <c r="N10">
        <v>164571</v>
      </c>
      <c r="O10">
        <v>150828</v>
      </c>
      <c r="P10">
        <v>145399</v>
      </c>
    </row>
    <row r="11" spans="1:16" x14ac:dyDescent="0.3">
      <c r="C11">
        <v>0</v>
      </c>
      <c r="D11">
        <f>LOG10(D12)-1</f>
        <v>9.6910013008056461E-2</v>
      </c>
      <c r="E11">
        <f t="shared" ref="E11:I11" si="6">LOG10(E12)-1</f>
        <v>0.39794000867203771</v>
      </c>
      <c r="F11">
        <f t="shared" si="6"/>
        <v>0.69897000433601875</v>
      </c>
      <c r="G11">
        <f t="shared" si="6"/>
        <v>1</v>
      </c>
      <c r="H11">
        <f t="shared" si="6"/>
        <v>1.1760912590556813</v>
      </c>
      <c r="I11">
        <f t="shared" si="6"/>
        <v>2.6989700043360187</v>
      </c>
      <c r="M11" t="s">
        <v>267</v>
      </c>
      <c r="N11">
        <f>AVERAGE(N9:N10)</f>
        <v>169830.5</v>
      </c>
      <c r="O11">
        <f t="shared" ref="O11:P11" si="7">AVERAGE(O9:O10)</f>
        <v>156257.5</v>
      </c>
      <c r="P11">
        <f t="shared" si="7"/>
        <v>147604.5</v>
      </c>
    </row>
    <row r="12" spans="1:16" x14ac:dyDescent="0.3">
      <c r="B12" t="s">
        <v>269</v>
      </c>
      <c r="C12">
        <v>0</v>
      </c>
      <c r="D12">
        <v>12.5</v>
      </c>
      <c r="E12">
        <v>25</v>
      </c>
      <c r="F12">
        <v>50</v>
      </c>
      <c r="G12">
        <v>100</v>
      </c>
      <c r="H12">
        <v>150</v>
      </c>
      <c r="I12">
        <v>5000</v>
      </c>
      <c r="M12" t="s">
        <v>268</v>
      </c>
      <c r="N12">
        <f>STDEV(N9:N10)</f>
        <v>7438.0562313012933</v>
      </c>
      <c r="O12">
        <f t="shared" ref="O12:P12" si="8">STDEV(O9:O10)</f>
        <v>7678.4725369047192</v>
      </c>
      <c r="P12">
        <f t="shared" si="8"/>
        <v>3119.0480118138612</v>
      </c>
    </row>
    <row r="13" spans="1:16" x14ac:dyDescent="0.3">
      <c r="A13" t="s">
        <v>251</v>
      </c>
      <c r="B13" t="s">
        <v>267</v>
      </c>
      <c r="C13">
        <f>D4/$D$4*100</f>
        <v>100</v>
      </c>
      <c r="D13">
        <f t="shared" ref="D13:G13" si="9">E4/$D$4*100</f>
        <v>79.063913174555324</v>
      </c>
      <c r="E13">
        <f t="shared" si="9"/>
        <v>33.743593608682545</v>
      </c>
      <c r="F13">
        <f t="shared" si="9"/>
        <v>25.98507687669581</v>
      </c>
      <c r="G13">
        <f t="shared" si="9"/>
        <v>16.748567983117272</v>
      </c>
      <c r="H13">
        <f>O7/$N$7*100</f>
        <v>12.097640337330715</v>
      </c>
      <c r="I13">
        <f>P7/$N$7*100</f>
        <v>10.332183053389512</v>
      </c>
    </row>
    <row r="14" spans="1:16" x14ac:dyDescent="0.3">
      <c r="B14" t="s">
        <v>268</v>
      </c>
      <c r="C14">
        <f>D5/$D$4*100</f>
        <v>4.0055883082590373</v>
      </c>
      <c r="D14">
        <f t="shared" ref="D14:G14" si="10">E5/$D$4*100</f>
        <v>4.8764147180109356</v>
      </c>
      <c r="E14">
        <f t="shared" si="10"/>
        <v>4.0055883082590373</v>
      </c>
      <c r="F14">
        <f t="shared" si="10"/>
        <v>5.3986973872623807</v>
      </c>
      <c r="G14">
        <f t="shared" si="10"/>
        <v>0.52228266925144451</v>
      </c>
      <c r="H14">
        <f>O8/$N$7*100</f>
        <v>7.3697681083038646E-2</v>
      </c>
      <c r="I14">
        <f>P8/$N$7*100</f>
        <v>7.3697681083038646E-2</v>
      </c>
    </row>
    <row r="15" spans="1:16" x14ac:dyDescent="0.3">
      <c r="A15" t="s">
        <v>252</v>
      </c>
      <c r="B15" t="s">
        <v>267</v>
      </c>
      <c r="C15">
        <f>D8/$D$8*100</f>
        <v>100</v>
      </c>
      <c r="D15">
        <f t="shared" ref="D15:G15" si="11">E8/$D$8*100</f>
        <v>96.659150814570168</v>
      </c>
      <c r="E15">
        <f t="shared" si="11"/>
        <v>95.689923465337102</v>
      </c>
      <c r="F15">
        <f t="shared" si="11"/>
        <v>92.672361777128515</v>
      </c>
      <c r="G15">
        <f t="shared" si="11"/>
        <v>95.474610181333162</v>
      </c>
      <c r="H15">
        <f>O11/$N$11*100</f>
        <v>92.007913772849989</v>
      </c>
      <c r="I15">
        <f>P11/$N$11*100</f>
        <v>86.912833678285111</v>
      </c>
    </row>
    <row r="16" spans="1:16" x14ac:dyDescent="0.3">
      <c r="B16" t="s">
        <v>268</v>
      </c>
      <c r="C16">
        <f>D9/$D$8*100</f>
        <v>7.6196599762526365</v>
      </c>
      <c r="D16">
        <f t="shared" ref="D16:G16" si="12">E9/$D$8*100</f>
        <v>2.2859878155797433</v>
      </c>
      <c r="E16">
        <f t="shared" si="12"/>
        <v>1.2188940926293563</v>
      </c>
      <c r="F16">
        <f t="shared" si="12"/>
        <v>0.91439512623189734</v>
      </c>
      <c r="G16">
        <f t="shared" si="12"/>
        <v>6.400765883623281</v>
      </c>
      <c r="H16">
        <f>O12/$N$11*100</f>
        <v>4.5212565098169764</v>
      </c>
      <c r="I16">
        <f>P12/$N$11*100</f>
        <v>1.8365652882219985</v>
      </c>
    </row>
    <row r="18" spans="1:8" x14ac:dyDescent="0.3">
      <c r="B18">
        <v>0</v>
      </c>
      <c r="C18">
        <v>12.5</v>
      </c>
      <c r="D18">
        <v>25</v>
      </c>
      <c r="E18">
        <v>50</v>
      </c>
      <c r="F18">
        <v>100</v>
      </c>
      <c r="G18">
        <v>150</v>
      </c>
      <c r="H18">
        <v>500</v>
      </c>
    </row>
    <row r="19" spans="1:8" x14ac:dyDescent="0.3">
      <c r="A19" t="s">
        <v>299</v>
      </c>
      <c r="B19">
        <v>100</v>
      </c>
      <c r="C19">
        <v>79.063913174555324</v>
      </c>
      <c r="D19">
        <v>33.743593608682545</v>
      </c>
      <c r="E19">
        <v>25.98507687669581</v>
      </c>
      <c r="F19">
        <v>16.748567983117272</v>
      </c>
      <c r="G19">
        <v>12.097640337330715</v>
      </c>
      <c r="H19">
        <v>10.332183053389512</v>
      </c>
    </row>
    <row r="20" spans="1:8" x14ac:dyDescent="0.3">
      <c r="A20" t="s">
        <v>300</v>
      </c>
      <c r="B20">
        <v>100</v>
      </c>
      <c r="C20">
        <v>96.659150814570168</v>
      </c>
      <c r="D20">
        <v>95.689923465337102</v>
      </c>
      <c r="E20">
        <v>92.672361777128515</v>
      </c>
      <c r="F20">
        <v>95.474610181333162</v>
      </c>
      <c r="G20">
        <v>92.007913772849989</v>
      </c>
      <c r="H20">
        <v>86.912833678285111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D605-7160-4B2D-B26A-B1051C57E1D8}">
  <dimension ref="B2:E25"/>
  <sheetViews>
    <sheetView topLeftCell="A4" workbookViewId="0">
      <selection activeCell="B22" activeCellId="3" sqref="B14:E14 B16:E16 B20:E20 B22:E22"/>
    </sheetView>
  </sheetViews>
  <sheetFormatPr defaultRowHeight="14.4" x14ac:dyDescent="0.3"/>
  <cols>
    <col min="3" max="3" width="12.44140625" bestFit="1" customWidth="1"/>
    <col min="4" max="5" width="11.44140625" bestFit="1" customWidth="1"/>
  </cols>
  <sheetData>
    <row r="2" spans="2:5" x14ac:dyDescent="0.3">
      <c r="C2">
        <v>0</v>
      </c>
      <c r="D2" t="s">
        <v>291</v>
      </c>
      <c r="E2" t="s">
        <v>236</v>
      </c>
    </row>
    <row r="3" spans="2:5" x14ac:dyDescent="0.3">
      <c r="B3" t="s">
        <v>32</v>
      </c>
      <c r="C3">
        <v>41449</v>
      </c>
      <c r="D3">
        <v>11983</v>
      </c>
      <c r="E3">
        <v>6875</v>
      </c>
    </row>
    <row r="4" spans="2:5" x14ac:dyDescent="0.3">
      <c r="B4" t="s">
        <v>253</v>
      </c>
      <c r="C4">
        <v>39056</v>
      </c>
      <c r="D4">
        <v>26426</v>
      </c>
      <c r="E4">
        <v>18071</v>
      </c>
    </row>
    <row r="5" spans="2:5" x14ac:dyDescent="0.3">
      <c r="B5" t="s">
        <v>15</v>
      </c>
      <c r="C5">
        <v>-803</v>
      </c>
      <c r="D5">
        <v>45144</v>
      </c>
      <c r="E5">
        <v>3210</v>
      </c>
    </row>
    <row r="6" spans="2:5" x14ac:dyDescent="0.3">
      <c r="B6" t="s">
        <v>20</v>
      </c>
      <c r="C6">
        <v>-408</v>
      </c>
      <c r="D6">
        <v>13257</v>
      </c>
      <c r="E6">
        <v>2040</v>
      </c>
    </row>
    <row r="7" spans="2:5" x14ac:dyDescent="0.3">
      <c r="B7" t="s">
        <v>292</v>
      </c>
      <c r="C7">
        <v>39229</v>
      </c>
      <c r="D7">
        <v>45833</v>
      </c>
      <c r="E7">
        <v>45833</v>
      </c>
    </row>
    <row r="8" spans="2:5" x14ac:dyDescent="0.3">
      <c r="B8" t="s">
        <v>252</v>
      </c>
      <c r="C8">
        <v>35593</v>
      </c>
      <c r="D8">
        <v>40806</v>
      </c>
      <c r="E8">
        <v>40986</v>
      </c>
    </row>
    <row r="9" spans="2:5" x14ac:dyDescent="0.3">
      <c r="B9" t="s">
        <v>255</v>
      </c>
      <c r="C9">
        <v>-1402</v>
      </c>
      <c r="D9">
        <v>5407</v>
      </c>
      <c r="E9">
        <v>2603</v>
      </c>
    </row>
    <row r="10" spans="2:5" x14ac:dyDescent="0.3">
      <c r="B10" t="s">
        <v>253</v>
      </c>
      <c r="C10">
        <v>39056</v>
      </c>
      <c r="D10">
        <v>26426</v>
      </c>
      <c r="E10">
        <v>18071</v>
      </c>
    </row>
    <row r="11" spans="2:5" x14ac:dyDescent="0.3">
      <c r="B11" t="s">
        <v>266</v>
      </c>
      <c r="C11">
        <v>42603</v>
      </c>
      <c r="D11">
        <v>15642</v>
      </c>
      <c r="E11">
        <v>15847</v>
      </c>
    </row>
    <row r="13" spans="2:5" x14ac:dyDescent="0.3">
      <c r="C13">
        <v>0</v>
      </c>
      <c r="D13">
        <v>150</v>
      </c>
      <c r="E13">
        <v>5000</v>
      </c>
    </row>
    <row r="14" spans="2:5" x14ac:dyDescent="0.3">
      <c r="B14" t="s">
        <v>32</v>
      </c>
      <c r="C14" s="38">
        <v>41449</v>
      </c>
      <c r="D14" s="38">
        <v>11983</v>
      </c>
      <c r="E14" s="38">
        <v>6875</v>
      </c>
    </row>
    <row r="15" spans="2:5" x14ac:dyDescent="0.3">
      <c r="C15" s="38">
        <f>C14/$C$14*100</f>
        <v>100</v>
      </c>
      <c r="D15" s="38">
        <f t="shared" ref="D15:E15" si="0">D14/$C$14*100</f>
        <v>28.910227025983737</v>
      </c>
      <c r="E15" s="38">
        <f t="shared" si="0"/>
        <v>16.586648652560978</v>
      </c>
    </row>
    <row r="16" spans="2:5" x14ac:dyDescent="0.3">
      <c r="B16" t="s">
        <v>251</v>
      </c>
      <c r="C16" s="38">
        <v>149346</v>
      </c>
      <c r="D16" s="38">
        <v>14216</v>
      </c>
      <c r="E16" s="38">
        <v>10621</v>
      </c>
    </row>
    <row r="17" spans="2:5" x14ac:dyDescent="0.3">
      <c r="C17" s="38">
        <f>C16/$C$16*100</f>
        <v>100</v>
      </c>
      <c r="D17" s="38">
        <f t="shared" ref="D17:E17" si="1">D16/$C$16*100</f>
        <v>9.5188354559211508</v>
      </c>
      <c r="E17" s="38">
        <f t="shared" si="1"/>
        <v>7.1116735634031034</v>
      </c>
    </row>
    <row r="18" spans="2:5" x14ac:dyDescent="0.3">
      <c r="B18" t="s">
        <v>293</v>
      </c>
      <c r="C18" s="38">
        <f>AVERAGE(C17,C15)</f>
        <v>100</v>
      </c>
      <c r="D18" s="38">
        <f t="shared" ref="D18:E18" si="2">AVERAGE(D17,D15)</f>
        <v>19.214531240952443</v>
      </c>
      <c r="E18" s="38">
        <f t="shared" si="2"/>
        <v>11.849161107982042</v>
      </c>
    </row>
    <row r="19" spans="2:5" x14ac:dyDescent="0.3">
      <c r="B19" t="s">
        <v>268</v>
      </c>
      <c r="C19" s="38">
        <f>STDEV(C15,C17)</f>
        <v>0</v>
      </c>
      <c r="D19" s="38">
        <f t="shared" ref="D19:E19" si="3">STDEV(D15,D17)</f>
        <v>13.711784475834911</v>
      </c>
      <c r="E19" s="38">
        <f t="shared" si="3"/>
        <v>6.6998191371171396</v>
      </c>
    </row>
    <row r="20" spans="2:5" x14ac:dyDescent="0.3">
      <c r="B20" t="s">
        <v>253</v>
      </c>
      <c r="C20" s="38">
        <v>156333</v>
      </c>
      <c r="D20" s="38">
        <v>18500</v>
      </c>
      <c r="E20" s="38">
        <v>22667</v>
      </c>
    </row>
    <row r="21" spans="2:5" x14ac:dyDescent="0.3">
      <c r="C21" s="38">
        <f>C20/$C$20*100</f>
        <v>100</v>
      </c>
      <c r="D21" s="38">
        <f t="shared" ref="D21:E21" si="4">D20/$C$20*100</f>
        <v>11.833713931159769</v>
      </c>
      <c r="E21" s="38">
        <f t="shared" si="4"/>
        <v>14.499178036626944</v>
      </c>
    </row>
    <row r="22" spans="2:5" ht="13.8" customHeight="1" x14ac:dyDescent="0.3">
      <c r="B22" t="s">
        <v>253</v>
      </c>
      <c r="C22" s="38">
        <v>39056</v>
      </c>
      <c r="D22" s="38">
        <v>26426</v>
      </c>
      <c r="E22" s="38">
        <v>18071</v>
      </c>
    </row>
    <row r="23" spans="2:5" x14ac:dyDescent="0.3">
      <c r="C23" s="38">
        <f>C22/$C$22*100</f>
        <v>100</v>
      </c>
      <c r="D23" s="38">
        <f t="shared" ref="D23:E23" si="5">D22/$C$22*100</f>
        <v>67.661818926669397</v>
      </c>
      <c r="E23" s="38">
        <f t="shared" si="5"/>
        <v>46.269459238017205</v>
      </c>
    </row>
    <row r="24" spans="2:5" x14ac:dyDescent="0.3">
      <c r="B24" t="s">
        <v>293</v>
      </c>
      <c r="C24" s="38">
        <f>AVERAGE(C23,C21)</f>
        <v>100</v>
      </c>
      <c r="D24" s="38">
        <f t="shared" ref="D24:E24" si="6">AVERAGE(D23,D21)</f>
        <v>39.747766428914581</v>
      </c>
      <c r="E24" s="38">
        <f t="shared" si="6"/>
        <v>30.384318637322075</v>
      </c>
    </row>
    <row r="25" spans="2:5" x14ac:dyDescent="0.3">
      <c r="B25" t="s">
        <v>268</v>
      </c>
      <c r="C25" s="38">
        <f>STDEV(C23,C21)</f>
        <v>0</v>
      </c>
      <c r="D25" s="38">
        <f t="shared" ref="D25:E25" si="7">STDEV(D23,D21)</f>
        <v>39.476431623119424</v>
      </c>
      <c r="E25" s="38">
        <f t="shared" si="7"/>
        <v>22.464981277706546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F4F2-F9E9-4E16-94DC-481F0BA81F50}">
  <dimension ref="A2:I24"/>
  <sheetViews>
    <sheetView workbookViewId="0">
      <selection activeCell="H21" sqref="H21"/>
    </sheetView>
  </sheetViews>
  <sheetFormatPr defaultRowHeight="14.4" x14ac:dyDescent="0.3"/>
  <sheetData>
    <row r="2" spans="1:9" x14ac:dyDescent="0.3">
      <c r="B2" t="s">
        <v>234</v>
      </c>
      <c r="C2" t="s">
        <v>239</v>
      </c>
      <c r="D2" t="s">
        <v>236</v>
      </c>
    </row>
    <row r="3" spans="1:9" x14ac:dyDescent="0.3">
      <c r="A3" t="s">
        <v>45</v>
      </c>
      <c r="B3">
        <v>152614</v>
      </c>
      <c r="C3">
        <v>19118</v>
      </c>
      <c r="D3">
        <v>16340</v>
      </c>
      <c r="F3" t="s">
        <v>228</v>
      </c>
      <c r="G3">
        <v>175090</v>
      </c>
      <c r="H3">
        <v>161687</v>
      </c>
      <c r="I3">
        <v>149810</v>
      </c>
    </row>
    <row r="4" spans="1:9" x14ac:dyDescent="0.3">
      <c r="B4">
        <f>B3/$B$3</f>
        <v>1</v>
      </c>
      <c r="C4">
        <f t="shared" ref="C4:D4" si="0">C3/$B$3</f>
        <v>0.12527028975061266</v>
      </c>
      <c r="D4">
        <f t="shared" si="0"/>
        <v>0.10706750363662573</v>
      </c>
      <c r="G4">
        <f>G3/$B$3</f>
        <v>1.1472735135701837</v>
      </c>
      <c r="H4">
        <f t="shared" ref="H4:I4" si="1">H3/$B$3</f>
        <v>1.059450640177179</v>
      </c>
      <c r="I4">
        <f t="shared" si="1"/>
        <v>0.98162684943714207</v>
      </c>
    </row>
    <row r="5" spans="1:9" x14ac:dyDescent="0.3">
      <c r="A5" t="s">
        <v>45</v>
      </c>
      <c r="B5">
        <v>162092</v>
      </c>
      <c r="C5">
        <v>18954</v>
      </c>
      <c r="D5">
        <v>16176</v>
      </c>
      <c r="F5" t="s">
        <v>228</v>
      </c>
      <c r="G5">
        <v>164571</v>
      </c>
      <c r="H5">
        <v>150828</v>
      </c>
      <c r="I5">
        <v>145399</v>
      </c>
    </row>
    <row r="6" spans="1:9" x14ac:dyDescent="0.3">
      <c r="B6">
        <f>B5/$B$5</f>
        <v>1</v>
      </c>
      <c r="C6">
        <f t="shared" ref="C6:D6" si="2">C5/$B$5</f>
        <v>0.11693359326802064</v>
      </c>
      <c r="D6">
        <f t="shared" si="2"/>
        <v>9.9795178047035013E-2</v>
      </c>
      <c r="G6">
        <f>G5/$B$5</f>
        <v>1.0152937837771143</v>
      </c>
      <c r="H6">
        <f t="shared" ref="H6:I6" si="3">H5/$B$5</f>
        <v>0.93050860005429015</v>
      </c>
      <c r="I6">
        <f t="shared" si="3"/>
        <v>0.8970152752757693</v>
      </c>
    </row>
    <row r="7" spans="1:9" x14ac:dyDescent="0.3">
      <c r="A7" t="s">
        <v>267</v>
      </c>
      <c r="B7">
        <f>AVERAGE(B6,B4)</f>
        <v>1</v>
      </c>
      <c r="C7">
        <f t="shared" ref="C7:I7" si="4">AVERAGE(C6,C4)</f>
        <v>0.12110194150931665</v>
      </c>
      <c r="D7">
        <f>AVERAGE(D6,D4)</f>
        <v>0.10343134084183037</v>
      </c>
      <c r="G7">
        <f>AVERAGE(G6,G4)</f>
        <v>1.081283648673649</v>
      </c>
      <c r="H7" s="41">
        <f t="shared" si="4"/>
        <v>0.9949796201157346</v>
      </c>
      <c r="I7">
        <f t="shared" si="4"/>
        <v>0.93932106235645563</v>
      </c>
    </row>
    <row r="8" spans="1:9" x14ac:dyDescent="0.3">
      <c r="A8" t="s">
        <v>294</v>
      </c>
      <c r="B8">
        <f>STDEV(B4,B6)/SQRT(2)</f>
        <v>0</v>
      </c>
      <c r="C8">
        <f t="shared" ref="C8:I8" si="5">STDEV(C4,C6)/SQRT(2)</f>
        <v>4.1683482412960124E-3</v>
      </c>
      <c r="D8">
        <f t="shared" si="5"/>
        <v>3.6361627947953598E-3</v>
      </c>
      <c r="G8">
        <f t="shared" si="5"/>
        <v>6.5989864896534675E-2</v>
      </c>
      <c r="H8">
        <f t="shared" si="5"/>
        <v>6.4471020061444451E-2</v>
      </c>
      <c r="I8">
        <f t="shared" si="5"/>
        <v>4.2305787080686386E-2</v>
      </c>
    </row>
    <row r="12" spans="1:9" x14ac:dyDescent="0.3">
      <c r="A12" t="s">
        <v>32</v>
      </c>
      <c r="B12">
        <v>41449</v>
      </c>
      <c r="C12">
        <v>11983</v>
      </c>
      <c r="D12">
        <v>6875</v>
      </c>
      <c r="F12" t="s">
        <v>253</v>
      </c>
      <c r="G12">
        <v>39056</v>
      </c>
      <c r="H12">
        <v>26426</v>
      </c>
      <c r="I12">
        <v>18071</v>
      </c>
    </row>
    <row r="13" spans="1:9" x14ac:dyDescent="0.3">
      <c r="B13">
        <f>B12/$B$12</f>
        <v>1</v>
      </c>
      <c r="C13">
        <f t="shared" ref="C13:D13" si="6">C12/$B$12</f>
        <v>0.28910227025983737</v>
      </c>
      <c r="D13">
        <f t="shared" si="6"/>
        <v>0.16586648652560979</v>
      </c>
      <c r="G13">
        <f t="shared" ref="G13:H13" si="7">G12/$B$12</f>
        <v>0.94226639967188597</v>
      </c>
      <c r="H13">
        <f t="shared" si="7"/>
        <v>0.63755458515283847</v>
      </c>
      <c r="I13">
        <f t="shared" ref="I13" si="8">I12/$B$12</f>
        <v>0.43598156770971558</v>
      </c>
    </row>
    <row r="14" spans="1:9" x14ac:dyDescent="0.3">
      <c r="A14" t="s">
        <v>251</v>
      </c>
      <c r="B14">
        <v>149346</v>
      </c>
      <c r="C14">
        <v>14216</v>
      </c>
      <c r="D14">
        <v>10621</v>
      </c>
      <c r="F14" t="s">
        <v>253</v>
      </c>
      <c r="G14">
        <v>156333</v>
      </c>
      <c r="H14">
        <v>18500</v>
      </c>
      <c r="I14">
        <v>22667</v>
      </c>
    </row>
    <row r="15" spans="1:9" x14ac:dyDescent="0.3">
      <c r="B15">
        <f>B14/$B$14</f>
        <v>1</v>
      </c>
      <c r="C15">
        <f t="shared" ref="C15:I15" si="9">C14/$B$14</f>
        <v>9.5188354559211499E-2</v>
      </c>
      <c r="D15">
        <f t="shared" si="9"/>
        <v>7.1116735634031036E-2</v>
      </c>
      <c r="G15">
        <f t="shared" si="9"/>
        <v>1.046783978144711</v>
      </c>
      <c r="H15">
        <f t="shared" si="9"/>
        <v>0.12387342145085908</v>
      </c>
      <c r="I15">
        <f t="shared" si="9"/>
        <v>0.15177507265008772</v>
      </c>
    </row>
    <row r="16" spans="1:9" x14ac:dyDescent="0.3">
      <c r="A16" t="s">
        <v>267</v>
      </c>
      <c r="B16">
        <f>AVERAGE(B13,B15)</f>
        <v>1</v>
      </c>
      <c r="C16">
        <f t="shared" ref="C16:I16" si="10">AVERAGE(C13,C15)</f>
        <v>0.19214531240952443</v>
      </c>
      <c r="D16">
        <f t="shared" si="10"/>
        <v>0.11849161107982041</v>
      </c>
      <c r="G16">
        <f t="shared" si="10"/>
        <v>0.99452518890829844</v>
      </c>
      <c r="H16">
        <f t="shared" si="10"/>
        <v>0.38071400330184879</v>
      </c>
      <c r="I16">
        <f t="shared" si="10"/>
        <v>0.29387832017990168</v>
      </c>
    </row>
    <row r="17" spans="1:9" x14ac:dyDescent="0.3">
      <c r="A17" t="s">
        <v>294</v>
      </c>
      <c r="B17">
        <f>STDEV(B15,B13)/SQRT(2)</f>
        <v>0</v>
      </c>
      <c r="C17">
        <f t="shared" ref="C17:I17" si="11">STDEV(C15,C13)/SQRT(2)</f>
        <v>9.6956957850312941E-2</v>
      </c>
      <c r="D17">
        <f t="shared" si="11"/>
        <v>4.7374875445789368E-2</v>
      </c>
      <c r="G17">
        <f t="shared" si="11"/>
        <v>5.2258789236412528E-2</v>
      </c>
      <c r="H17">
        <f t="shared" si="11"/>
        <v>0.25684058185098962</v>
      </c>
      <c r="I17">
        <f t="shared" si="11"/>
        <v>0.14210324752981385</v>
      </c>
    </row>
    <row r="18" spans="1:9" x14ac:dyDescent="0.3">
      <c r="A18" t="s">
        <v>295</v>
      </c>
      <c r="B18">
        <f>AVERAGE(B7,B16)</f>
        <v>1</v>
      </c>
      <c r="C18">
        <f t="shared" ref="C18:D18" si="12">AVERAGE(C7,C16)</f>
        <v>0.15662362695942053</v>
      </c>
      <c r="D18">
        <f t="shared" si="12"/>
        <v>0.1109614759608254</v>
      </c>
    </row>
    <row r="19" spans="1:9" x14ac:dyDescent="0.3">
      <c r="A19" t="s">
        <v>296</v>
      </c>
      <c r="B19">
        <f>AVERAGE(B8,B17)</f>
        <v>0</v>
      </c>
      <c r="C19">
        <f t="shared" ref="C19:D19" si="13">AVERAGE(C8,C17)</f>
        <v>5.0562653045804477E-2</v>
      </c>
      <c r="D19">
        <f t="shared" si="13"/>
        <v>2.5505519120292364E-2</v>
      </c>
    </row>
    <row r="20" spans="1:9" x14ac:dyDescent="0.3">
      <c r="B20">
        <v>0</v>
      </c>
      <c r="C20">
        <v>150</v>
      </c>
      <c r="D20">
        <v>5000</v>
      </c>
    </row>
    <row r="21" spans="1:9" x14ac:dyDescent="0.3">
      <c r="A21" t="s">
        <v>159</v>
      </c>
      <c r="B21" s="41">
        <v>1</v>
      </c>
      <c r="C21" s="41">
        <v>0.15662362695942053</v>
      </c>
      <c r="D21" s="41">
        <v>0.1109614759608254</v>
      </c>
    </row>
    <row r="22" spans="1:9" x14ac:dyDescent="0.3">
      <c r="A22" t="s">
        <v>297</v>
      </c>
      <c r="B22" s="41">
        <v>1.08</v>
      </c>
      <c r="C22" s="41">
        <v>0.99</v>
      </c>
      <c r="D22" s="41">
        <v>0.94</v>
      </c>
    </row>
    <row r="23" spans="1:9" x14ac:dyDescent="0.3">
      <c r="A23" t="s">
        <v>298</v>
      </c>
      <c r="B23" s="41">
        <v>0.99452518890829844</v>
      </c>
      <c r="C23" s="41">
        <v>0.38071400330184879</v>
      </c>
      <c r="D23" s="41">
        <v>0.29387832017990168</v>
      </c>
    </row>
    <row r="24" spans="1:9" x14ac:dyDescent="0.3">
      <c r="B24" s="38"/>
      <c r="C24" s="38"/>
      <c r="D24" s="3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topLeftCell="O1" workbookViewId="0">
      <selection activeCell="T10" sqref="T10:U12"/>
    </sheetView>
  </sheetViews>
  <sheetFormatPr defaultRowHeight="14.4" x14ac:dyDescent="0.3"/>
  <cols>
    <col min="15" max="15" width="23.5546875" bestFit="1" customWidth="1"/>
    <col min="17" max="17" width="18.44140625" bestFit="1" customWidth="1"/>
    <col min="19" max="19" width="28.109375" bestFit="1" customWidth="1"/>
    <col min="27" max="27" width="12.5546875" bestFit="1" customWidth="1"/>
    <col min="28" max="28" width="28.109375" bestFit="1" customWidth="1"/>
    <col min="29" max="29" width="25.109375" bestFit="1" customWidth="1"/>
  </cols>
  <sheetData>
    <row r="1" spans="1:29" x14ac:dyDescent="0.3">
      <c r="P1" t="s">
        <v>49</v>
      </c>
    </row>
    <row r="2" spans="1:29" x14ac:dyDescent="0.3">
      <c r="B2" t="s">
        <v>50</v>
      </c>
      <c r="D2" t="s">
        <v>51</v>
      </c>
      <c r="F2" t="s">
        <v>52</v>
      </c>
      <c r="H2" t="s">
        <v>53</v>
      </c>
      <c r="P2">
        <v>-9.4517374517374524</v>
      </c>
    </row>
    <row r="3" spans="1:29" x14ac:dyDescent="0.3">
      <c r="B3" t="s">
        <v>54</v>
      </c>
      <c r="P3">
        <v>2.5899999999999999E-2</v>
      </c>
    </row>
    <row r="4" spans="1:29" x14ac:dyDescent="0.3">
      <c r="B4" s="19">
        <v>1</v>
      </c>
      <c r="C4" s="19">
        <v>2</v>
      </c>
      <c r="D4" s="19">
        <v>3</v>
      </c>
      <c r="E4" s="19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  <c r="K4" s="19">
        <v>10</v>
      </c>
      <c r="L4" s="19">
        <v>11</v>
      </c>
      <c r="M4" s="19">
        <v>12</v>
      </c>
      <c r="N4" t="s">
        <v>55</v>
      </c>
      <c r="O4" t="s">
        <v>56</v>
      </c>
      <c r="P4" t="s">
        <v>57</v>
      </c>
      <c r="Q4" t="s">
        <v>58</v>
      </c>
      <c r="R4" s="9" t="s">
        <v>45</v>
      </c>
      <c r="S4" s="9" t="s">
        <v>59</v>
      </c>
      <c r="T4" s="9" t="s">
        <v>60</v>
      </c>
      <c r="U4" s="34" t="s">
        <v>46</v>
      </c>
      <c r="V4" s="34" t="s">
        <v>59</v>
      </c>
      <c r="W4" s="34" t="s">
        <v>60</v>
      </c>
      <c r="X4" s="35" t="s">
        <v>47</v>
      </c>
      <c r="Y4" s="35" t="s">
        <v>59</v>
      </c>
      <c r="Z4" s="35" t="s">
        <v>60</v>
      </c>
      <c r="AA4" s="9" t="s">
        <v>61</v>
      </c>
      <c r="AB4" s="9" t="s">
        <v>59</v>
      </c>
      <c r="AC4" s="9" t="s">
        <v>60</v>
      </c>
    </row>
    <row r="5" spans="1:29" x14ac:dyDescent="0.3">
      <c r="A5" s="19" t="s">
        <v>8</v>
      </c>
      <c r="B5" s="20" t="s">
        <v>62</v>
      </c>
      <c r="C5" s="36">
        <v>0.245</v>
      </c>
      <c r="D5" s="21" t="s">
        <v>63</v>
      </c>
      <c r="E5" s="21">
        <v>0.255</v>
      </c>
      <c r="F5" s="21" t="s">
        <v>63</v>
      </c>
      <c r="G5" s="21">
        <v>0.26200000000000001</v>
      </c>
      <c r="H5" s="21" t="s">
        <v>63</v>
      </c>
      <c r="I5" s="21">
        <v>0.25700000000000001</v>
      </c>
      <c r="J5" s="21"/>
      <c r="K5" s="21"/>
      <c r="L5" s="21"/>
      <c r="M5" s="37"/>
      <c r="N5" s="37">
        <v>0.254</v>
      </c>
      <c r="O5" s="38">
        <v>0</v>
      </c>
      <c r="P5" s="39">
        <v>0.245</v>
      </c>
      <c r="Q5" s="39">
        <v>0</v>
      </c>
      <c r="R5" s="40">
        <v>1.0000000000000009E-2</v>
      </c>
      <c r="S5" s="39">
        <v>0.38610038610038644</v>
      </c>
      <c r="T5" s="39">
        <v>3.8610038610038644</v>
      </c>
      <c r="U5" s="39">
        <v>1.7000000000000015E-2</v>
      </c>
      <c r="V5" s="39">
        <v>0.65637065637065695</v>
      </c>
      <c r="W5" s="39">
        <v>6.5637065637065692</v>
      </c>
      <c r="X5" s="39">
        <v>1.2000000000000011E-2</v>
      </c>
      <c r="Y5" s="39">
        <v>0.46332046332046373</v>
      </c>
      <c r="Z5" s="39">
        <v>4.6332046332046373</v>
      </c>
      <c r="AA5">
        <v>0.245</v>
      </c>
      <c r="AB5" s="41">
        <v>9.4594594594594597</v>
      </c>
      <c r="AC5">
        <v>94.594594594594597</v>
      </c>
    </row>
    <row r="6" spans="1:29" x14ac:dyDescent="0.3">
      <c r="A6" s="19" t="s">
        <v>15</v>
      </c>
      <c r="B6" s="22">
        <v>1</v>
      </c>
      <c r="C6" s="22">
        <v>0.254</v>
      </c>
      <c r="D6" s="23" t="s">
        <v>64</v>
      </c>
      <c r="E6" s="23">
        <v>0.26200000000000001</v>
      </c>
      <c r="F6" s="23" t="s">
        <v>64</v>
      </c>
      <c r="G6" s="23">
        <v>0.26600000000000001</v>
      </c>
      <c r="H6" s="23" t="s">
        <v>64</v>
      </c>
      <c r="I6" s="23">
        <v>0.27800000000000002</v>
      </c>
      <c r="J6" s="23"/>
      <c r="K6" s="23"/>
      <c r="L6" s="23"/>
      <c r="M6" s="42"/>
      <c r="N6" s="42">
        <v>0.312</v>
      </c>
      <c r="O6" s="38">
        <v>1</v>
      </c>
      <c r="P6" s="39">
        <v>0.254</v>
      </c>
      <c r="Q6" s="39">
        <v>9.000000000000008E-3</v>
      </c>
      <c r="R6" s="40">
        <v>1.7000000000000015E-2</v>
      </c>
      <c r="S6" s="39">
        <v>0.65637065637065695</v>
      </c>
      <c r="T6" s="39">
        <v>6.5637065637065692</v>
      </c>
      <c r="U6" s="39">
        <v>2.1000000000000019E-2</v>
      </c>
      <c r="V6" s="39">
        <v>0.81081081081081152</v>
      </c>
      <c r="W6" s="39">
        <v>8.1081081081081159</v>
      </c>
      <c r="X6" s="39">
        <v>3.3000000000000029E-2</v>
      </c>
      <c r="Y6" s="39">
        <v>1.2741312741312754</v>
      </c>
      <c r="Z6" s="39">
        <v>12.741312741312754</v>
      </c>
      <c r="AA6">
        <v>0.26500000000000001</v>
      </c>
      <c r="AB6" s="41">
        <v>10.231660231660232</v>
      </c>
      <c r="AC6">
        <v>102.31660231660231</v>
      </c>
    </row>
    <row r="7" spans="1:29" x14ac:dyDescent="0.3">
      <c r="A7" s="19" t="s">
        <v>20</v>
      </c>
      <c r="B7" s="22">
        <v>2</v>
      </c>
      <c r="C7" s="22">
        <v>0.307</v>
      </c>
      <c r="D7" s="23" t="s">
        <v>65</v>
      </c>
      <c r="E7" s="23">
        <v>0.376</v>
      </c>
      <c r="F7" s="23" t="s">
        <v>65</v>
      </c>
      <c r="G7" s="23">
        <v>0.33300000000000002</v>
      </c>
      <c r="H7" s="23" t="s">
        <v>65</v>
      </c>
      <c r="I7" s="23">
        <v>0.3</v>
      </c>
      <c r="J7" s="23"/>
      <c r="K7" s="23"/>
      <c r="L7" s="23"/>
      <c r="M7" s="42"/>
      <c r="N7" s="42">
        <v>0.39</v>
      </c>
      <c r="O7" s="38">
        <v>2</v>
      </c>
      <c r="P7" s="39">
        <v>0.307</v>
      </c>
      <c r="Q7" s="39">
        <v>6.2E-2</v>
      </c>
      <c r="R7" s="40">
        <v>0.13100000000000001</v>
      </c>
      <c r="S7" s="39">
        <v>5.057915057915058</v>
      </c>
      <c r="T7" s="39">
        <v>50.579150579150578</v>
      </c>
      <c r="U7" s="39">
        <v>8.8000000000000023E-2</v>
      </c>
      <c r="V7" s="39">
        <v>3.3976833976833984</v>
      </c>
      <c r="W7" s="39">
        <v>33.976833976833987</v>
      </c>
      <c r="X7" s="39">
        <v>5.4999999999999993E-2</v>
      </c>
      <c r="Y7" s="39">
        <v>2.1235521235521233</v>
      </c>
      <c r="Z7" s="39">
        <v>21.235521235521233</v>
      </c>
      <c r="AA7">
        <v>0.312</v>
      </c>
      <c r="AB7" s="41">
        <v>12.046332046332047</v>
      </c>
      <c r="AC7">
        <v>120.46332046332047</v>
      </c>
    </row>
    <row r="8" spans="1:29" x14ac:dyDescent="0.3">
      <c r="A8" s="19" t="s">
        <v>21</v>
      </c>
      <c r="B8" s="22">
        <v>4</v>
      </c>
      <c r="C8" s="22">
        <v>0.35199999999999998</v>
      </c>
      <c r="D8" s="23" t="s">
        <v>66</v>
      </c>
      <c r="E8" s="23">
        <v>1.1579999999999999</v>
      </c>
      <c r="F8" s="23" t="s">
        <v>66</v>
      </c>
      <c r="G8" s="23">
        <v>0.39400000000000002</v>
      </c>
      <c r="H8" s="23" t="s">
        <v>66</v>
      </c>
      <c r="I8" s="23">
        <v>0.42199999999999999</v>
      </c>
      <c r="J8" s="23"/>
      <c r="K8" s="23"/>
      <c r="L8" s="23"/>
      <c r="M8" s="42"/>
      <c r="N8" s="42">
        <v>0.502</v>
      </c>
      <c r="O8" s="38">
        <v>4</v>
      </c>
      <c r="P8" s="39">
        <v>0.35199999999999998</v>
      </c>
      <c r="Q8" s="39">
        <v>0.10699999999999998</v>
      </c>
      <c r="R8" s="40">
        <v>0.91299999999999992</v>
      </c>
      <c r="S8" s="39">
        <v>35.250965250965251</v>
      </c>
      <c r="T8" s="39">
        <v>352.50965250965248</v>
      </c>
      <c r="U8" s="39">
        <v>0.14900000000000002</v>
      </c>
      <c r="V8" s="39">
        <v>5.7528957528957543</v>
      </c>
      <c r="W8" s="39">
        <v>57.528957528957541</v>
      </c>
      <c r="X8" s="39">
        <v>0.17699999999999999</v>
      </c>
      <c r="Y8" s="39">
        <v>6.8339768339768341</v>
      </c>
      <c r="Z8" s="39">
        <v>68.339768339768341</v>
      </c>
      <c r="AA8">
        <v>0.83399999999999996</v>
      </c>
      <c r="AB8" s="41">
        <v>32.200772200772199</v>
      </c>
      <c r="AC8">
        <v>322.00772200772201</v>
      </c>
    </row>
    <row r="9" spans="1:29" x14ac:dyDescent="0.3">
      <c r="A9" s="19" t="s">
        <v>22</v>
      </c>
      <c r="B9" s="22">
        <v>6</v>
      </c>
      <c r="C9" s="22">
        <v>0.40799999999999997</v>
      </c>
      <c r="D9" s="23"/>
      <c r="E9" s="23"/>
      <c r="F9" s="23"/>
      <c r="G9" s="23"/>
      <c r="H9" s="23"/>
      <c r="I9" s="23"/>
      <c r="J9" s="23"/>
      <c r="K9" s="23"/>
      <c r="L9" s="23"/>
      <c r="M9" s="42"/>
      <c r="N9" s="42">
        <v>0.63900000000000001</v>
      </c>
      <c r="O9" s="38">
        <v>6</v>
      </c>
      <c r="P9" s="39">
        <v>0.40799999999999997</v>
      </c>
      <c r="Q9" s="39">
        <v>0.16299999999999998</v>
      </c>
      <c r="R9" s="39"/>
      <c r="S9" s="39"/>
      <c r="T9" s="39"/>
      <c r="U9" s="39" t="s">
        <v>67</v>
      </c>
      <c r="V9" s="39"/>
      <c r="W9" s="39"/>
      <c r="X9" s="39"/>
      <c r="Y9" s="39"/>
      <c r="Z9" s="39"/>
    </row>
    <row r="10" spans="1:29" x14ac:dyDescent="0.3">
      <c r="A10" s="19" t="s">
        <v>23</v>
      </c>
      <c r="B10" s="22">
        <v>8</v>
      </c>
      <c r="C10" s="22">
        <v>0.45900000000000002</v>
      </c>
      <c r="D10" s="23"/>
      <c r="E10" s="23"/>
      <c r="F10" s="23"/>
      <c r="G10" s="23"/>
      <c r="H10" s="23"/>
      <c r="I10" s="23"/>
      <c r="J10" s="23"/>
      <c r="K10" s="23"/>
      <c r="L10" s="23"/>
      <c r="M10" s="42"/>
      <c r="N10" s="42">
        <v>0.72699999999999998</v>
      </c>
      <c r="O10" s="38">
        <v>8</v>
      </c>
      <c r="P10" s="39">
        <v>0.45900000000000002</v>
      </c>
      <c r="Q10" s="39">
        <v>0.21400000000000002</v>
      </c>
      <c r="R10" s="39"/>
      <c r="S10" s="39"/>
      <c r="T10" s="39" t="s">
        <v>68</v>
      </c>
      <c r="U10" s="39">
        <v>352.50965250965248</v>
      </c>
      <c r="V10" s="39"/>
      <c r="W10" s="39"/>
      <c r="X10" s="39"/>
      <c r="Y10" s="39"/>
      <c r="Z10" s="39"/>
    </row>
    <row r="11" spans="1:29" x14ac:dyDescent="0.3">
      <c r="A11" s="19" t="s">
        <v>24</v>
      </c>
      <c r="B11" s="43" t="s">
        <v>69</v>
      </c>
      <c r="C11" s="22">
        <v>0.49199999999999999</v>
      </c>
      <c r="D11" s="23"/>
      <c r="E11" s="23"/>
      <c r="F11" s="23"/>
      <c r="G11" s="23"/>
      <c r="H11" s="23"/>
      <c r="I11" s="23"/>
      <c r="J11" s="23"/>
      <c r="K11" s="23"/>
      <c r="L11" s="23"/>
      <c r="M11" s="42"/>
      <c r="N11" s="42">
        <v>0.72199999999999998</v>
      </c>
      <c r="O11" s="38">
        <v>10</v>
      </c>
      <c r="P11" s="39">
        <v>0.49199999999999999</v>
      </c>
      <c r="Q11" s="39">
        <v>0.247</v>
      </c>
      <c r="R11" s="39"/>
      <c r="S11" s="39"/>
      <c r="T11" s="39" t="s">
        <v>70</v>
      </c>
      <c r="U11" s="39">
        <v>57.528957528957541</v>
      </c>
      <c r="V11" s="39"/>
      <c r="W11" s="39"/>
      <c r="X11" s="39"/>
      <c r="Y11" s="39"/>
      <c r="Z11" s="39"/>
    </row>
    <row r="12" spans="1:29" x14ac:dyDescent="0.3">
      <c r="A12" s="19" t="s">
        <v>25</v>
      </c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44"/>
      <c r="T12" s="39" t="s">
        <v>71</v>
      </c>
      <c r="U12" s="39">
        <v>68.339768339768341</v>
      </c>
    </row>
    <row r="14" spans="1:29" x14ac:dyDescent="0.3">
      <c r="B14" t="s">
        <v>26</v>
      </c>
      <c r="N14">
        <v>9.814671814671815</v>
      </c>
    </row>
    <row r="15" spans="1:29" x14ac:dyDescent="0.3">
      <c r="B15" s="19">
        <v>1</v>
      </c>
      <c r="C15" s="19">
        <v>2</v>
      </c>
      <c r="D15" s="19">
        <v>3</v>
      </c>
      <c r="E15" s="19">
        <v>4</v>
      </c>
      <c r="F15" s="19">
        <v>5</v>
      </c>
      <c r="G15" s="19">
        <v>6</v>
      </c>
      <c r="H15" s="19">
        <v>7</v>
      </c>
      <c r="I15" s="19">
        <v>8</v>
      </c>
      <c r="J15" s="19">
        <v>9</v>
      </c>
      <c r="K15" s="19">
        <v>10</v>
      </c>
      <c r="L15" s="19">
        <v>11</v>
      </c>
      <c r="M15" s="19">
        <v>12</v>
      </c>
      <c r="N15">
        <f t="shared" ref="N15:N20" si="0">(N6+0.0002)/0.0259</f>
        <v>12.054054054054053</v>
      </c>
    </row>
    <row r="16" spans="1:29" x14ac:dyDescent="0.3">
      <c r="A16" s="19" t="s">
        <v>8</v>
      </c>
      <c r="B16" s="36">
        <v>0.245</v>
      </c>
      <c r="C16" s="21">
        <v>4.2000000000000003E-2</v>
      </c>
      <c r="D16" s="21">
        <v>0.255</v>
      </c>
      <c r="E16" s="21">
        <v>4.1000000000000002E-2</v>
      </c>
      <c r="F16" s="21">
        <v>0.26200000000000001</v>
      </c>
      <c r="G16" s="21">
        <v>4.1000000000000002E-2</v>
      </c>
      <c r="H16" s="21">
        <v>0.25700000000000001</v>
      </c>
      <c r="I16" s="21">
        <v>5.0999999999999997E-2</v>
      </c>
      <c r="J16" s="21">
        <v>4.2999999999999997E-2</v>
      </c>
      <c r="K16" s="21">
        <v>4.2999999999999997E-2</v>
      </c>
      <c r="L16" s="21">
        <v>0.04</v>
      </c>
      <c r="M16" s="37">
        <v>6.6000000000000003E-2</v>
      </c>
      <c r="N16">
        <f t="shared" si="0"/>
        <v>15.065637065637066</v>
      </c>
    </row>
    <row r="17" spans="1:14" x14ac:dyDescent="0.3">
      <c r="A17" s="19" t="s">
        <v>15</v>
      </c>
      <c r="B17" s="22">
        <v>0.254</v>
      </c>
      <c r="C17" s="23">
        <v>4.1000000000000002E-2</v>
      </c>
      <c r="D17" s="23">
        <v>0.26200000000000001</v>
      </c>
      <c r="E17" s="23">
        <v>4.2000000000000003E-2</v>
      </c>
      <c r="F17" s="23">
        <v>0.26600000000000001</v>
      </c>
      <c r="G17" s="23">
        <v>4.2000000000000003E-2</v>
      </c>
      <c r="H17" s="23">
        <v>0.27800000000000002</v>
      </c>
      <c r="I17" s="23">
        <v>4.1000000000000002E-2</v>
      </c>
      <c r="J17" s="23">
        <v>4.1000000000000002E-2</v>
      </c>
      <c r="K17" s="23">
        <v>4.2999999999999997E-2</v>
      </c>
      <c r="L17" s="23">
        <v>4.2000000000000003E-2</v>
      </c>
      <c r="M17" s="42">
        <v>4.3999999999999997E-2</v>
      </c>
      <c r="N17">
        <f t="shared" si="0"/>
        <v>19.389961389961389</v>
      </c>
    </row>
    <row r="18" spans="1:14" x14ac:dyDescent="0.3">
      <c r="A18" s="19" t="s">
        <v>20</v>
      </c>
      <c r="B18" s="22">
        <v>0.307</v>
      </c>
      <c r="C18" s="23">
        <v>4.4999999999999998E-2</v>
      </c>
      <c r="D18" s="23">
        <v>0.376</v>
      </c>
      <c r="E18" s="23">
        <v>4.1000000000000002E-2</v>
      </c>
      <c r="F18" s="23">
        <v>0.33300000000000002</v>
      </c>
      <c r="G18" s="23">
        <v>4.1000000000000002E-2</v>
      </c>
      <c r="H18" s="23">
        <v>0.3</v>
      </c>
      <c r="I18" s="23">
        <v>4.2000000000000003E-2</v>
      </c>
      <c r="J18" s="23">
        <v>4.1000000000000002E-2</v>
      </c>
      <c r="K18" s="23">
        <v>4.2999999999999997E-2</v>
      </c>
      <c r="L18" s="23">
        <v>4.2999999999999997E-2</v>
      </c>
      <c r="M18" s="42">
        <v>4.9000000000000002E-2</v>
      </c>
      <c r="N18">
        <f t="shared" si="0"/>
        <v>24.679536679536678</v>
      </c>
    </row>
    <row r="19" spans="1:14" x14ac:dyDescent="0.3">
      <c r="A19" s="19" t="s">
        <v>21</v>
      </c>
      <c r="B19" s="22">
        <v>0.35199999999999998</v>
      </c>
      <c r="C19" s="23">
        <v>4.4999999999999998E-2</v>
      </c>
      <c r="D19" s="23">
        <v>1.1579999999999999</v>
      </c>
      <c r="E19" s="23">
        <v>4.5999999999999999E-2</v>
      </c>
      <c r="F19" s="23">
        <v>0.39400000000000002</v>
      </c>
      <c r="G19" s="23">
        <v>4.1000000000000002E-2</v>
      </c>
      <c r="H19" s="23">
        <v>0.42199999999999999</v>
      </c>
      <c r="I19" s="23">
        <v>5.6000000000000001E-2</v>
      </c>
      <c r="J19" s="23">
        <v>4.2000000000000003E-2</v>
      </c>
      <c r="K19" s="23">
        <v>4.2000000000000003E-2</v>
      </c>
      <c r="L19" s="23">
        <v>4.3999999999999997E-2</v>
      </c>
      <c r="M19" s="42">
        <v>4.2000000000000003E-2</v>
      </c>
      <c r="N19">
        <f t="shared" si="0"/>
        <v>28.077220077220076</v>
      </c>
    </row>
    <row r="20" spans="1:14" x14ac:dyDescent="0.3">
      <c r="A20" s="19" t="s">
        <v>22</v>
      </c>
      <c r="B20" s="22">
        <v>0.40799999999999997</v>
      </c>
      <c r="C20" s="23">
        <v>4.3999999999999997E-2</v>
      </c>
      <c r="D20" s="23">
        <v>4.2000000000000003E-2</v>
      </c>
      <c r="E20" s="23">
        <v>4.1000000000000002E-2</v>
      </c>
      <c r="F20" s="23">
        <v>4.1000000000000002E-2</v>
      </c>
      <c r="G20" s="23">
        <v>4.1000000000000002E-2</v>
      </c>
      <c r="H20" s="23">
        <v>4.2000000000000003E-2</v>
      </c>
      <c r="I20" s="23">
        <v>4.2999999999999997E-2</v>
      </c>
      <c r="J20" s="23">
        <v>4.2000000000000003E-2</v>
      </c>
      <c r="K20" s="23">
        <v>4.2000000000000003E-2</v>
      </c>
      <c r="L20" s="23">
        <v>4.2000000000000003E-2</v>
      </c>
      <c r="M20" s="42">
        <v>4.3999999999999997E-2</v>
      </c>
      <c r="N20">
        <f t="shared" si="0"/>
        <v>27.884169884169882</v>
      </c>
    </row>
    <row r="21" spans="1:14" x14ac:dyDescent="0.3">
      <c r="A21" s="19" t="s">
        <v>23</v>
      </c>
      <c r="B21" s="22">
        <v>0.45900000000000002</v>
      </c>
      <c r="C21" s="23">
        <v>4.2000000000000003E-2</v>
      </c>
      <c r="D21" s="23">
        <v>4.1000000000000002E-2</v>
      </c>
      <c r="E21" s="23">
        <v>4.1000000000000002E-2</v>
      </c>
      <c r="F21" s="23">
        <v>4.1000000000000002E-2</v>
      </c>
      <c r="G21" s="23">
        <v>6.3E-2</v>
      </c>
      <c r="H21" s="23">
        <v>4.2000000000000003E-2</v>
      </c>
      <c r="I21" s="23">
        <v>4.1000000000000002E-2</v>
      </c>
      <c r="J21" s="23">
        <v>0.04</v>
      </c>
      <c r="K21" s="23">
        <v>4.1000000000000002E-2</v>
      </c>
      <c r="L21" s="23">
        <v>4.2000000000000003E-2</v>
      </c>
      <c r="M21" s="42">
        <v>4.8000000000000001E-2</v>
      </c>
    </row>
    <row r="22" spans="1:14" x14ac:dyDescent="0.3">
      <c r="A22" s="19" t="s">
        <v>24</v>
      </c>
      <c r="B22" s="22">
        <v>0.49199999999999999</v>
      </c>
      <c r="C22" s="23">
        <v>4.2999999999999997E-2</v>
      </c>
      <c r="D22" s="23">
        <v>0.04</v>
      </c>
      <c r="E22" s="23">
        <v>4.2000000000000003E-2</v>
      </c>
      <c r="F22" s="23">
        <v>0.04</v>
      </c>
      <c r="G22" s="23">
        <v>3.9E-2</v>
      </c>
      <c r="H22" s="23">
        <v>4.1000000000000002E-2</v>
      </c>
      <c r="I22" s="23">
        <v>3.9E-2</v>
      </c>
      <c r="J22" s="23">
        <v>4.2000000000000003E-2</v>
      </c>
      <c r="K22" s="23">
        <v>4.1000000000000002E-2</v>
      </c>
      <c r="L22" s="23">
        <v>4.2999999999999997E-2</v>
      </c>
      <c r="M22" s="42">
        <v>4.4999999999999998E-2</v>
      </c>
    </row>
    <row r="23" spans="1:14" x14ac:dyDescent="0.3">
      <c r="A23" s="19" t="s">
        <v>25</v>
      </c>
      <c r="B23" s="24">
        <v>4.1000000000000002E-2</v>
      </c>
      <c r="C23" s="25">
        <v>5.8000000000000003E-2</v>
      </c>
      <c r="D23" s="25">
        <v>0.04</v>
      </c>
      <c r="E23" s="25">
        <v>4.4999999999999998E-2</v>
      </c>
      <c r="F23" s="25">
        <v>4.2000000000000003E-2</v>
      </c>
      <c r="G23" s="25">
        <v>4.2000000000000003E-2</v>
      </c>
      <c r="H23" s="25">
        <v>0.04</v>
      </c>
      <c r="I23" s="25">
        <v>4.2999999999999997E-2</v>
      </c>
      <c r="J23" s="25">
        <v>4.2000000000000003E-2</v>
      </c>
      <c r="K23" s="25">
        <v>4.2999999999999997E-2</v>
      </c>
      <c r="L23" s="25">
        <v>0.04</v>
      </c>
      <c r="M23" s="44">
        <v>4.1000000000000002E-2</v>
      </c>
      <c r="N23" t="s">
        <v>72</v>
      </c>
    </row>
    <row r="28" spans="1:14" x14ac:dyDescent="0.3">
      <c r="A28" t="s">
        <v>73</v>
      </c>
      <c r="B28" t="s">
        <v>74</v>
      </c>
      <c r="C28" t="s">
        <v>75</v>
      </c>
      <c r="D28" t="s">
        <v>76</v>
      </c>
      <c r="E28" t="s">
        <v>77</v>
      </c>
    </row>
    <row r="29" spans="1:14" x14ac:dyDescent="0.3">
      <c r="A29" t="s">
        <v>64</v>
      </c>
      <c r="B29">
        <v>94.594594594594597</v>
      </c>
      <c r="C29" s="39">
        <v>3.8610038610038644</v>
      </c>
      <c r="D29" s="39">
        <v>6.5637065637065692</v>
      </c>
      <c r="E29" s="39">
        <v>4.6332046332046373</v>
      </c>
    </row>
    <row r="30" spans="1:14" x14ac:dyDescent="0.3">
      <c r="A30" t="s">
        <v>65</v>
      </c>
      <c r="B30">
        <v>102.31660231660231</v>
      </c>
      <c r="C30" s="39">
        <v>6.5637065637065692</v>
      </c>
      <c r="D30" s="39">
        <v>8.1081081081081159</v>
      </c>
      <c r="E30" s="39">
        <v>12.741312741312754</v>
      </c>
    </row>
    <row r="31" spans="1:14" x14ac:dyDescent="0.3">
      <c r="A31" s="45" t="s">
        <v>69</v>
      </c>
      <c r="B31" s="45" t="s">
        <v>78</v>
      </c>
      <c r="C31" s="39">
        <v>50.579150579150578</v>
      </c>
      <c r="D31" s="39">
        <v>33.976833976833987</v>
      </c>
      <c r="E31" s="39">
        <v>21.235521235521233</v>
      </c>
    </row>
    <row r="32" spans="1:14" x14ac:dyDescent="0.3">
      <c r="A32" s="39">
        <v>1</v>
      </c>
      <c r="B32" s="39">
        <v>322.00772200772201</v>
      </c>
      <c r="C32" s="39">
        <v>352.50965250965248</v>
      </c>
      <c r="D32" s="39">
        <v>57.528957528957541</v>
      </c>
      <c r="E32" s="39">
        <v>68.339768339768341</v>
      </c>
    </row>
    <row r="36" spans="5:5" x14ac:dyDescent="0.3">
      <c r="E36">
        <f>60/35</f>
        <v>1.7142857142857142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1048576"/>
  <sheetViews>
    <sheetView topLeftCell="A111" workbookViewId="0">
      <selection activeCell="D131" sqref="D131"/>
    </sheetView>
  </sheetViews>
  <sheetFormatPr defaultRowHeight="14.4" x14ac:dyDescent="0.3"/>
  <cols>
    <col min="1" max="1" width="12.109375" bestFit="1" customWidth="1"/>
    <col min="2" max="2" width="17.33203125" bestFit="1" customWidth="1"/>
    <col min="3" max="3" width="16.44140625" bestFit="1" customWidth="1"/>
    <col min="4" max="4" width="13.88671875" bestFit="1" customWidth="1"/>
    <col min="5" max="5" width="13.88671875" customWidth="1"/>
    <col min="6" max="6" width="18.5546875" bestFit="1" customWidth="1"/>
    <col min="7" max="7" width="11.6640625" bestFit="1" customWidth="1"/>
    <col min="8" max="10" width="9.6640625" bestFit="1" customWidth="1"/>
    <col min="12" max="12" width="6.109375" bestFit="1" customWidth="1"/>
    <col min="13" max="13" width="6" bestFit="1" customWidth="1"/>
    <col min="14" max="14" width="10.6640625" bestFit="1" customWidth="1"/>
    <col min="16" max="16" width="11.5546875" bestFit="1" customWidth="1"/>
    <col min="18" max="18" width="9.6640625" customWidth="1"/>
    <col min="19" max="21" width="9.44140625" bestFit="1" customWidth="1"/>
    <col min="22" max="23" width="9" bestFit="1" customWidth="1"/>
    <col min="24" max="24" width="4" bestFit="1" customWidth="1"/>
    <col min="25" max="29" width="5" bestFit="1" customWidth="1"/>
    <col min="30" max="30" width="10.88671875" bestFit="1" customWidth="1"/>
  </cols>
  <sheetData>
    <row r="2" spans="1:32" x14ac:dyDescent="0.3">
      <c r="H2" s="51">
        <v>44322</v>
      </c>
      <c r="I2" s="51">
        <v>44322</v>
      </c>
      <c r="J2" s="51">
        <v>44322</v>
      </c>
      <c r="L2" t="s">
        <v>30</v>
      </c>
      <c r="M2" t="s">
        <v>30</v>
      </c>
      <c r="N2" t="s">
        <v>30</v>
      </c>
    </row>
    <row r="3" spans="1:32" x14ac:dyDescent="0.3">
      <c r="A3" t="s">
        <v>79</v>
      </c>
      <c r="F3" t="s">
        <v>80</v>
      </c>
      <c r="H3" t="s">
        <v>81</v>
      </c>
      <c r="I3" t="s">
        <v>81</v>
      </c>
      <c r="J3" t="s">
        <v>81</v>
      </c>
      <c r="L3" s="13" t="s">
        <v>82</v>
      </c>
      <c r="M3" s="13" t="s">
        <v>82</v>
      </c>
      <c r="N3" t="s">
        <v>83</v>
      </c>
      <c r="O3" t="s">
        <v>83</v>
      </c>
      <c r="AF3" t="s">
        <v>84</v>
      </c>
    </row>
    <row r="4" spans="1:32" x14ac:dyDescent="0.3">
      <c r="A4" s="1" t="s">
        <v>85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50" t="s">
        <v>92</v>
      </c>
      <c r="I4" s="50" t="s">
        <v>93</v>
      </c>
      <c r="J4" s="50" t="s">
        <v>94</v>
      </c>
      <c r="L4" t="s">
        <v>32</v>
      </c>
      <c r="M4" t="s">
        <v>34</v>
      </c>
      <c r="N4" t="s">
        <v>35</v>
      </c>
      <c r="O4" t="s">
        <v>95</v>
      </c>
      <c r="Q4" t="s">
        <v>96</v>
      </c>
    </row>
    <row r="5" spans="1:32" x14ac:dyDescent="0.3">
      <c r="A5" s="1">
        <v>0</v>
      </c>
      <c r="B5" s="1">
        <f>A5*C5</f>
        <v>0</v>
      </c>
      <c r="C5" s="1">
        <v>500</v>
      </c>
      <c r="D5" s="1">
        <v>0</v>
      </c>
      <c r="E5" s="1">
        <v>0</v>
      </c>
      <c r="F5" s="1">
        <v>0</v>
      </c>
      <c r="G5" s="1">
        <f>500-C5-D5</f>
        <v>0</v>
      </c>
      <c r="H5" s="1"/>
      <c r="I5" s="1"/>
      <c r="J5" s="1"/>
      <c r="K5" t="s">
        <v>36</v>
      </c>
      <c r="L5" s="1"/>
      <c r="M5" s="1"/>
      <c r="N5" s="1"/>
      <c r="O5" s="1"/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9</v>
      </c>
      <c r="AA5">
        <v>10</v>
      </c>
      <c r="AB5">
        <v>11</v>
      </c>
      <c r="AC5">
        <v>12</v>
      </c>
    </row>
    <row r="6" spans="1:32" x14ac:dyDescent="0.3">
      <c r="A6" s="1">
        <v>0.1</v>
      </c>
      <c r="B6" s="1">
        <f>A6*500</f>
        <v>50</v>
      </c>
      <c r="C6" s="1">
        <v>450</v>
      </c>
      <c r="D6" s="53">
        <f>C6/E6</f>
        <v>4.5</v>
      </c>
      <c r="E6" s="1">
        <f>F6/A6</f>
        <v>100</v>
      </c>
      <c r="F6" s="1">
        <v>10</v>
      </c>
      <c r="G6" s="53">
        <f t="shared" ref="G6:G12" si="0">500-C6-D6</f>
        <v>45.5</v>
      </c>
      <c r="H6" s="1"/>
      <c r="I6" s="1"/>
      <c r="J6" s="1"/>
      <c r="K6" t="s">
        <v>36</v>
      </c>
      <c r="L6" s="1"/>
      <c r="M6" s="1"/>
      <c r="N6" s="1"/>
      <c r="O6" s="1"/>
      <c r="P6" t="s">
        <v>97</v>
      </c>
      <c r="Q6" t="s">
        <v>8</v>
      </c>
      <c r="R6" s="1">
        <v>0</v>
      </c>
      <c r="S6" s="1">
        <v>100</v>
      </c>
      <c r="T6" s="1">
        <v>200</v>
      </c>
      <c r="U6" s="1">
        <v>300</v>
      </c>
      <c r="V6" s="1">
        <v>400</v>
      </c>
      <c r="W6" s="1">
        <v>500</v>
      </c>
      <c r="X6" s="1">
        <v>750</v>
      </c>
      <c r="Y6" s="1">
        <v>1000</v>
      </c>
      <c r="Z6" s="1">
        <v>1250</v>
      </c>
      <c r="AA6" s="1">
        <v>1500</v>
      </c>
      <c r="AB6" s="1">
        <v>1750</v>
      </c>
      <c r="AC6" s="1">
        <v>2000</v>
      </c>
      <c r="AD6" t="s">
        <v>98</v>
      </c>
    </row>
    <row r="7" spans="1:32" x14ac:dyDescent="0.3">
      <c r="A7" s="1">
        <v>0.2</v>
      </c>
      <c r="B7" s="1">
        <f t="shared" ref="B7:B12" si="1">A7*500</f>
        <v>100</v>
      </c>
      <c r="C7" s="1">
        <v>450</v>
      </c>
      <c r="D7" s="53">
        <f t="shared" ref="D7:D12" si="2">C7/E7</f>
        <v>9</v>
      </c>
      <c r="E7" s="1">
        <f t="shared" ref="E7:E12" si="3">F7/A7</f>
        <v>50</v>
      </c>
      <c r="F7" s="1">
        <v>10</v>
      </c>
      <c r="G7" s="53">
        <f t="shared" si="0"/>
        <v>41</v>
      </c>
      <c r="H7" s="1"/>
      <c r="I7" s="1"/>
      <c r="J7" s="1"/>
      <c r="K7" t="s">
        <v>36</v>
      </c>
      <c r="L7" s="1"/>
      <c r="M7" s="1"/>
      <c r="N7" s="1"/>
      <c r="O7" s="1"/>
      <c r="P7" t="s">
        <v>97</v>
      </c>
      <c r="Q7" t="s">
        <v>15</v>
      </c>
      <c r="R7" s="1">
        <v>0</v>
      </c>
      <c r="S7" s="1">
        <v>100</v>
      </c>
      <c r="T7" s="1">
        <v>200</v>
      </c>
      <c r="U7" s="1">
        <v>300</v>
      </c>
      <c r="V7" s="1">
        <v>400</v>
      </c>
      <c r="W7" s="1">
        <v>500</v>
      </c>
      <c r="X7" s="1">
        <v>750</v>
      </c>
      <c r="Y7" s="1">
        <v>1000</v>
      </c>
      <c r="Z7" s="1">
        <v>1250</v>
      </c>
      <c r="AA7" s="1">
        <v>1500</v>
      </c>
      <c r="AB7" s="1">
        <v>1750</v>
      </c>
      <c r="AC7" s="1">
        <v>2000</v>
      </c>
      <c r="AD7" t="s">
        <v>99</v>
      </c>
    </row>
    <row r="8" spans="1:32" x14ac:dyDescent="0.3">
      <c r="A8" s="1">
        <v>0.3</v>
      </c>
      <c r="B8" s="1">
        <f t="shared" si="1"/>
        <v>150</v>
      </c>
      <c r="C8" s="1">
        <v>450</v>
      </c>
      <c r="D8" s="53">
        <f t="shared" si="2"/>
        <v>13.499999999999998</v>
      </c>
      <c r="E8" s="53">
        <f t="shared" si="3"/>
        <v>33.333333333333336</v>
      </c>
      <c r="F8" s="1">
        <v>10</v>
      </c>
      <c r="G8" s="53">
        <f t="shared" si="0"/>
        <v>36.5</v>
      </c>
      <c r="H8" s="1"/>
      <c r="I8" s="1"/>
      <c r="J8" s="1"/>
      <c r="L8" s="1"/>
      <c r="M8" s="1"/>
      <c r="N8" s="1"/>
      <c r="O8" s="1"/>
      <c r="P8" t="s">
        <v>97</v>
      </c>
      <c r="Q8" t="s">
        <v>20</v>
      </c>
      <c r="R8" s="1">
        <v>0</v>
      </c>
      <c r="S8" s="1">
        <v>100</v>
      </c>
      <c r="T8" s="1">
        <v>200</v>
      </c>
      <c r="U8" s="1">
        <v>300</v>
      </c>
      <c r="V8" s="1">
        <v>400</v>
      </c>
      <c r="W8" s="1">
        <v>500</v>
      </c>
      <c r="X8" s="1">
        <v>750</v>
      </c>
      <c r="Y8" s="1">
        <v>1000</v>
      </c>
      <c r="Z8" s="1">
        <v>1250</v>
      </c>
      <c r="AA8" s="1">
        <v>1500</v>
      </c>
      <c r="AB8" s="1">
        <v>1750</v>
      </c>
      <c r="AC8" s="1">
        <v>2000</v>
      </c>
      <c r="AD8" t="s">
        <v>100</v>
      </c>
    </row>
    <row r="9" spans="1:32" x14ac:dyDescent="0.3">
      <c r="A9" s="1">
        <v>0.4</v>
      </c>
      <c r="B9" s="1">
        <f t="shared" si="1"/>
        <v>200</v>
      </c>
      <c r="C9" s="1">
        <v>450</v>
      </c>
      <c r="D9" s="53">
        <f t="shared" si="2"/>
        <v>18</v>
      </c>
      <c r="E9" s="1">
        <f t="shared" si="3"/>
        <v>25</v>
      </c>
      <c r="F9" s="1">
        <v>10</v>
      </c>
      <c r="G9" s="53">
        <f t="shared" si="0"/>
        <v>32</v>
      </c>
      <c r="H9" s="1"/>
      <c r="I9" s="1"/>
      <c r="J9" s="1"/>
      <c r="K9" t="s">
        <v>33</v>
      </c>
      <c r="L9" s="1"/>
      <c r="M9" s="1"/>
      <c r="N9" s="1"/>
      <c r="O9" t="s">
        <v>101</v>
      </c>
      <c r="Q9" t="s">
        <v>21</v>
      </c>
      <c r="R9" s="1" t="s">
        <v>101</v>
      </c>
      <c r="S9" s="1" t="s">
        <v>101</v>
      </c>
      <c r="T9" s="1" t="s">
        <v>101</v>
      </c>
      <c r="U9" s="1" t="s">
        <v>101</v>
      </c>
      <c r="V9" s="1" t="s">
        <v>101</v>
      </c>
      <c r="W9" s="1" t="s">
        <v>101</v>
      </c>
      <c r="X9" s="1" t="s">
        <v>101</v>
      </c>
      <c r="Y9" s="1" t="s">
        <v>101</v>
      </c>
      <c r="Z9" s="1" t="s">
        <v>101</v>
      </c>
      <c r="AA9" s="1" t="s">
        <v>101</v>
      </c>
      <c r="AB9" s="1" t="s">
        <v>101</v>
      </c>
      <c r="AC9" s="1" t="s">
        <v>101</v>
      </c>
    </row>
    <row r="10" spans="1:32" x14ac:dyDescent="0.3">
      <c r="A10" s="1">
        <v>0.5</v>
      </c>
      <c r="B10" s="1">
        <f t="shared" si="1"/>
        <v>250</v>
      </c>
      <c r="C10" s="1">
        <v>450</v>
      </c>
      <c r="D10" s="53">
        <f t="shared" si="2"/>
        <v>22.5</v>
      </c>
      <c r="E10" s="1">
        <f t="shared" si="3"/>
        <v>20</v>
      </c>
      <c r="F10" s="1">
        <v>10</v>
      </c>
      <c r="G10" s="53">
        <f t="shared" si="0"/>
        <v>27.5</v>
      </c>
      <c r="H10" s="1"/>
      <c r="I10" s="1"/>
      <c r="J10" s="1"/>
      <c r="K10" t="s">
        <v>33</v>
      </c>
      <c r="L10" s="1"/>
      <c r="M10" s="1"/>
      <c r="N10" s="1"/>
      <c r="O10" t="s">
        <v>101</v>
      </c>
      <c r="P10" s="13" t="s">
        <v>82</v>
      </c>
      <c r="Q10" t="s">
        <v>22</v>
      </c>
      <c r="R10" s="1" t="s">
        <v>102</v>
      </c>
      <c r="S10" s="1" t="s">
        <v>102</v>
      </c>
      <c r="T10" s="1" t="s">
        <v>102</v>
      </c>
      <c r="U10" s="1" t="s">
        <v>103</v>
      </c>
      <c r="V10" s="1" t="s">
        <v>103</v>
      </c>
      <c r="W10" s="1" t="s">
        <v>103</v>
      </c>
      <c r="X10" s="1" t="s">
        <v>101</v>
      </c>
      <c r="Y10" s="1" t="s">
        <v>101</v>
      </c>
      <c r="Z10" s="1" t="s">
        <v>101</v>
      </c>
      <c r="AA10" s="1" t="s">
        <v>101</v>
      </c>
      <c r="AB10" s="1" t="s">
        <v>101</v>
      </c>
      <c r="AC10" s="1" t="s">
        <v>101</v>
      </c>
    </row>
    <row r="11" spans="1:32" x14ac:dyDescent="0.3">
      <c r="A11" s="1">
        <v>0.75</v>
      </c>
      <c r="B11" s="1">
        <f t="shared" si="1"/>
        <v>375</v>
      </c>
      <c r="C11" s="1">
        <v>450</v>
      </c>
      <c r="D11" s="53">
        <f t="shared" si="2"/>
        <v>33.75</v>
      </c>
      <c r="E11" s="53">
        <f t="shared" si="3"/>
        <v>13.333333333333334</v>
      </c>
      <c r="F11" s="1">
        <v>10</v>
      </c>
      <c r="G11" s="53">
        <f t="shared" si="0"/>
        <v>16.25</v>
      </c>
      <c r="H11" s="1"/>
      <c r="I11" s="1"/>
      <c r="J11" s="1"/>
      <c r="K11" t="s">
        <v>33</v>
      </c>
      <c r="L11" s="1"/>
      <c r="M11" s="1"/>
      <c r="N11" s="1"/>
      <c r="O11" t="s">
        <v>101</v>
      </c>
      <c r="P11" s="13" t="s">
        <v>82</v>
      </c>
      <c r="Q11" t="s">
        <v>23</v>
      </c>
      <c r="R11" s="49" t="s">
        <v>104</v>
      </c>
      <c r="S11" s="49" t="s">
        <v>104</v>
      </c>
      <c r="T11" s="49" t="s">
        <v>104</v>
      </c>
      <c r="U11" s="49" t="s">
        <v>105</v>
      </c>
      <c r="V11" s="49" t="s">
        <v>105</v>
      </c>
      <c r="W11" s="49" t="s">
        <v>105</v>
      </c>
      <c r="X11" s="1" t="s">
        <v>101</v>
      </c>
      <c r="Y11" s="1" t="s">
        <v>101</v>
      </c>
      <c r="Z11" s="1" t="s">
        <v>101</v>
      </c>
      <c r="AA11" s="1" t="s">
        <v>101</v>
      </c>
      <c r="AB11" s="1" t="s">
        <v>101</v>
      </c>
      <c r="AC11" s="1" t="s">
        <v>101</v>
      </c>
    </row>
    <row r="12" spans="1:32" x14ac:dyDescent="0.3">
      <c r="A12" s="1" t="s">
        <v>106</v>
      </c>
      <c r="B12" s="1" t="e">
        <f t="shared" si="1"/>
        <v>#VALUE!</v>
      </c>
      <c r="C12" s="1">
        <v>450</v>
      </c>
      <c r="D12" s="53" t="e">
        <f t="shared" si="2"/>
        <v>#VALUE!</v>
      </c>
      <c r="E12" s="53" t="e">
        <f t="shared" si="3"/>
        <v>#VALUE!</v>
      </c>
      <c r="F12" s="1">
        <v>10</v>
      </c>
      <c r="G12" s="53" t="e">
        <f t="shared" si="0"/>
        <v>#VALUE!</v>
      </c>
      <c r="H12" s="1"/>
      <c r="I12" s="1"/>
      <c r="J12" s="1"/>
      <c r="P12" t="s">
        <v>107</v>
      </c>
      <c r="Q12" t="s">
        <v>24</v>
      </c>
      <c r="R12" s="1" t="s">
        <v>108</v>
      </c>
      <c r="S12" s="1" t="s">
        <v>108</v>
      </c>
      <c r="T12" s="1" t="s">
        <v>108</v>
      </c>
      <c r="U12" s="1" t="s">
        <v>109</v>
      </c>
      <c r="V12" s="1" t="s">
        <v>109</v>
      </c>
      <c r="W12" s="1" t="s">
        <v>109</v>
      </c>
      <c r="X12" s="1" t="s">
        <v>101</v>
      </c>
      <c r="Y12" s="1" t="s">
        <v>101</v>
      </c>
      <c r="Z12" s="1" t="s">
        <v>101</v>
      </c>
      <c r="AA12" s="1" t="s">
        <v>101</v>
      </c>
      <c r="AB12" s="1" t="s">
        <v>101</v>
      </c>
      <c r="AC12" s="1" t="s">
        <v>101</v>
      </c>
    </row>
    <row r="13" spans="1:32" x14ac:dyDescent="0.3">
      <c r="A13" s="1"/>
      <c r="B13" s="1"/>
      <c r="C13" s="1"/>
      <c r="D13" s="53"/>
      <c r="E13" s="53"/>
      <c r="F13" s="1"/>
      <c r="G13" s="53"/>
      <c r="H13" s="1"/>
      <c r="I13" s="1"/>
      <c r="J13" s="1"/>
      <c r="P13" t="s">
        <v>107</v>
      </c>
      <c r="Q13" t="s">
        <v>25</v>
      </c>
      <c r="R13" s="1" t="s">
        <v>101</v>
      </c>
      <c r="S13" s="1" t="s">
        <v>101</v>
      </c>
      <c r="T13" s="1" t="s">
        <v>101</v>
      </c>
      <c r="U13" s="1" t="s">
        <v>110</v>
      </c>
      <c r="V13" s="1" t="s">
        <v>110</v>
      </c>
      <c r="W13" s="1" t="s">
        <v>110</v>
      </c>
      <c r="X13" s="1" t="s">
        <v>101</v>
      </c>
      <c r="Y13" s="1" t="s">
        <v>101</v>
      </c>
      <c r="Z13" s="1" t="s">
        <v>101</v>
      </c>
      <c r="AA13" s="1" t="s">
        <v>101</v>
      </c>
      <c r="AB13" s="1" t="s">
        <v>101</v>
      </c>
      <c r="AC13" s="1" t="s">
        <v>101</v>
      </c>
    </row>
    <row r="14" spans="1:32" x14ac:dyDescent="0.3">
      <c r="A14" s="1"/>
      <c r="B14" s="1"/>
      <c r="C14" s="1"/>
      <c r="D14" s="53"/>
      <c r="E14" s="53"/>
      <c r="F14" s="1"/>
      <c r="G14" s="53"/>
      <c r="H14" s="1"/>
      <c r="I14" s="1"/>
      <c r="J14" s="1"/>
      <c r="R14" s="52"/>
    </row>
    <row r="15" spans="1:32" x14ac:dyDescent="0.3">
      <c r="A15" s="49"/>
      <c r="B15" s="1"/>
      <c r="C15" s="1"/>
      <c r="D15" s="53"/>
      <c r="E15" s="53"/>
      <c r="F15" s="1"/>
      <c r="G15" s="53"/>
      <c r="H15" s="1"/>
      <c r="I15" s="1"/>
      <c r="J15" s="1"/>
    </row>
    <row r="16" spans="1:32" x14ac:dyDescent="0.3">
      <c r="A16" s="49"/>
      <c r="B16" s="1"/>
      <c r="C16" s="1"/>
      <c r="D16" s="53"/>
      <c r="E16" s="53"/>
      <c r="F16" s="1"/>
      <c r="G16" s="53"/>
      <c r="H16" s="1"/>
      <c r="I16" s="1"/>
      <c r="J16" s="1"/>
    </row>
    <row r="18" spans="2:6" x14ac:dyDescent="0.3">
      <c r="F18" t="s">
        <v>111</v>
      </c>
    </row>
    <row r="19" spans="2:6" x14ac:dyDescent="0.3">
      <c r="B19" t="s">
        <v>112</v>
      </c>
    </row>
    <row r="21" spans="2:6" x14ac:dyDescent="0.3">
      <c r="B21" t="s">
        <v>113</v>
      </c>
    </row>
    <row r="22" spans="2:6" x14ac:dyDescent="0.3">
      <c r="B22" t="s">
        <v>114</v>
      </c>
    </row>
    <row r="35" spans="1:18" x14ac:dyDescent="0.3">
      <c r="R35" t="s">
        <v>115</v>
      </c>
    </row>
    <row r="48" spans="1:18" x14ac:dyDescent="0.3">
      <c r="A48" s="54" t="s">
        <v>0</v>
      </c>
    </row>
    <row r="49" spans="1:13" x14ac:dyDescent="0.3">
      <c r="A49" s="54" t="s">
        <v>1</v>
      </c>
    </row>
    <row r="50" spans="1:13" x14ac:dyDescent="0.3">
      <c r="A50" s="54" t="s">
        <v>116</v>
      </c>
    </row>
    <row r="51" spans="1:13" x14ac:dyDescent="0.3">
      <c r="A51" s="54" t="s">
        <v>3</v>
      </c>
    </row>
    <row r="52" spans="1:13" x14ac:dyDescent="0.3">
      <c r="A52" s="54" t="s">
        <v>117</v>
      </c>
    </row>
    <row r="53" spans="1:13" x14ac:dyDescent="0.3">
      <c r="A53" s="54" t="s">
        <v>118</v>
      </c>
    </row>
    <row r="54" spans="1:13" x14ac:dyDescent="0.3">
      <c r="A54" s="54" t="s">
        <v>6</v>
      </c>
      <c r="D54" s="54" t="s">
        <v>7</v>
      </c>
    </row>
    <row r="58" spans="1:13" x14ac:dyDescent="0.3">
      <c r="B58" t="s">
        <v>54</v>
      </c>
    </row>
    <row r="59" spans="1:13" x14ac:dyDescent="0.3">
      <c r="B59" s="19">
        <v>1</v>
      </c>
      <c r="C59" s="19">
        <v>2</v>
      </c>
      <c r="D59" s="19">
        <v>3</v>
      </c>
      <c r="E59" s="19">
        <v>4</v>
      </c>
      <c r="F59" s="19">
        <v>5</v>
      </c>
      <c r="G59" s="19">
        <v>6</v>
      </c>
      <c r="H59" s="19">
        <v>7</v>
      </c>
      <c r="I59" s="19">
        <v>8</v>
      </c>
      <c r="J59" s="19">
        <v>9</v>
      </c>
      <c r="K59" s="19">
        <v>10</v>
      </c>
      <c r="L59" s="19">
        <v>11</v>
      </c>
      <c r="M59" s="19">
        <v>12</v>
      </c>
    </row>
    <row r="60" spans="1:13" x14ac:dyDescent="0.3">
      <c r="A60" s="19" t="s">
        <v>8</v>
      </c>
      <c r="B60" s="20" t="s">
        <v>119</v>
      </c>
      <c r="C60" s="21" t="s">
        <v>119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21" t="s">
        <v>119</v>
      </c>
      <c r="L60" s="21" t="s">
        <v>119</v>
      </c>
      <c r="M60" s="37" t="s">
        <v>119</v>
      </c>
    </row>
    <row r="61" spans="1:13" x14ac:dyDescent="0.3">
      <c r="A61" s="19" t="s">
        <v>15</v>
      </c>
      <c r="B61" s="22" t="s">
        <v>119</v>
      </c>
      <c r="C61" s="55" t="s">
        <v>119</v>
      </c>
      <c r="D61" s="55" t="s">
        <v>119</v>
      </c>
      <c r="E61" s="55" t="s">
        <v>119</v>
      </c>
      <c r="F61" s="55" t="s">
        <v>119</v>
      </c>
      <c r="G61" s="55" t="s">
        <v>119</v>
      </c>
      <c r="H61" s="55" t="s">
        <v>119</v>
      </c>
      <c r="I61" s="55" t="s">
        <v>119</v>
      </c>
      <c r="J61" s="55" t="s">
        <v>119</v>
      </c>
      <c r="K61" s="55" t="s">
        <v>119</v>
      </c>
      <c r="L61" s="55" t="s">
        <v>119</v>
      </c>
      <c r="M61" s="42" t="s">
        <v>119</v>
      </c>
    </row>
    <row r="62" spans="1:13" x14ac:dyDescent="0.3">
      <c r="A62" s="19" t="s">
        <v>20</v>
      </c>
      <c r="B62" s="22" t="s">
        <v>119</v>
      </c>
      <c r="C62" s="55" t="s">
        <v>119</v>
      </c>
      <c r="D62" s="55" t="s">
        <v>119</v>
      </c>
      <c r="E62" s="55" t="s">
        <v>119</v>
      </c>
      <c r="F62" s="55" t="s">
        <v>119</v>
      </c>
      <c r="G62" s="55" t="s">
        <v>119</v>
      </c>
      <c r="H62" s="55" t="s">
        <v>119</v>
      </c>
      <c r="I62" s="55" t="s">
        <v>119</v>
      </c>
      <c r="J62" s="55" t="s">
        <v>119</v>
      </c>
      <c r="K62" s="55" t="s">
        <v>119</v>
      </c>
      <c r="L62" s="55" t="s">
        <v>119</v>
      </c>
      <c r="M62" s="42" t="s">
        <v>119</v>
      </c>
    </row>
    <row r="63" spans="1:13" x14ac:dyDescent="0.3">
      <c r="A63" s="19" t="s">
        <v>21</v>
      </c>
      <c r="B63" s="22" t="s">
        <v>119</v>
      </c>
      <c r="C63" s="55" t="s">
        <v>119</v>
      </c>
      <c r="D63" s="55" t="s">
        <v>119</v>
      </c>
      <c r="E63" s="55" t="s">
        <v>119</v>
      </c>
      <c r="F63" s="55" t="s">
        <v>119</v>
      </c>
      <c r="G63" s="55" t="s">
        <v>119</v>
      </c>
      <c r="H63" s="55" t="s">
        <v>119</v>
      </c>
      <c r="I63" s="55" t="s">
        <v>119</v>
      </c>
      <c r="J63" s="55" t="s">
        <v>119</v>
      </c>
      <c r="K63" s="55" t="s">
        <v>119</v>
      </c>
      <c r="L63" s="55" t="s">
        <v>119</v>
      </c>
      <c r="M63" s="42" t="s">
        <v>119</v>
      </c>
    </row>
    <row r="64" spans="1:13" x14ac:dyDescent="0.3">
      <c r="A64" s="19" t="s">
        <v>22</v>
      </c>
      <c r="B64" s="22" t="s">
        <v>119</v>
      </c>
      <c r="C64" s="55" t="s">
        <v>119</v>
      </c>
      <c r="D64" s="55" t="s">
        <v>119</v>
      </c>
      <c r="E64" s="55" t="s">
        <v>119</v>
      </c>
      <c r="F64" s="55" t="s">
        <v>119</v>
      </c>
      <c r="G64" s="55" t="s">
        <v>119</v>
      </c>
      <c r="H64" s="55" t="s">
        <v>119</v>
      </c>
      <c r="I64" s="55" t="s">
        <v>119</v>
      </c>
      <c r="J64" s="55" t="s">
        <v>119</v>
      </c>
      <c r="K64" s="55" t="s">
        <v>119</v>
      </c>
      <c r="L64" s="55" t="s">
        <v>119</v>
      </c>
      <c r="M64" s="42" t="s">
        <v>119</v>
      </c>
    </row>
    <row r="65" spans="1:13" x14ac:dyDescent="0.3">
      <c r="A65" s="19" t="s">
        <v>23</v>
      </c>
      <c r="B65" s="22" t="s">
        <v>119</v>
      </c>
      <c r="C65" s="55" t="s">
        <v>119</v>
      </c>
      <c r="D65" s="55" t="s">
        <v>119</v>
      </c>
      <c r="E65" s="55" t="s">
        <v>119</v>
      </c>
      <c r="F65" s="55" t="s">
        <v>119</v>
      </c>
      <c r="G65" s="55" t="s">
        <v>119</v>
      </c>
      <c r="H65" s="55" t="s">
        <v>119</v>
      </c>
      <c r="I65" s="55" t="s">
        <v>119</v>
      </c>
      <c r="J65" s="55" t="s">
        <v>119</v>
      </c>
      <c r="K65" s="55" t="s">
        <v>119</v>
      </c>
      <c r="L65" s="55" t="s">
        <v>119</v>
      </c>
      <c r="M65" s="42" t="s">
        <v>119</v>
      </c>
    </row>
    <row r="66" spans="1:13" x14ac:dyDescent="0.3">
      <c r="A66" s="19" t="s">
        <v>24</v>
      </c>
      <c r="B66" s="22" t="s">
        <v>119</v>
      </c>
      <c r="C66" s="55" t="s">
        <v>119</v>
      </c>
      <c r="D66" s="55" t="s">
        <v>119</v>
      </c>
      <c r="E66" s="55" t="s">
        <v>119</v>
      </c>
      <c r="F66" s="55" t="s">
        <v>119</v>
      </c>
      <c r="G66" s="55" t="s">
        <v>119</v>
      </c>
      <c r="H66" s="55" t="s">
        <v>119</v>
      </c>
      <c r="I66" s="55" t="s">
        <v>119</v>
      </c>
      <c r="J66" s="55" t="s">
        <v>119</v>
      </c>
      <c r="K66" s="55" t="s">
        <v>119</v>
      </c>
      <c r="L66" s="55" t="s">
        <v>119</v>
      </c>
      <c r="M66" s="42" t="s">
        <v>119</v>
      </c>
    </row>
    <row r="67" spans="1:13" x14ac:dyDescent="0.3">
      <c r="A67" s="19" t="s">
        <v>25</v>
      </c>
      <c r="B67" s="24" t="s">
        <v>119</v>
      </c>
      <c r="C67" s="25" t="s">
        <v>119</v>
      </c>
      <c r="D67" s="25" t="s">
        <v>119</v>
      </c>
      <c r="E67" s="25" t="s">
        <v>119</v>
      </c>
      <c r="F67" s="25" t="s">
        <v>119</v>
      </c>
      <c r="G67" s="25" t="s">
        <v>119</v>
      </c>
      <c r="H67" s="25" t="s">
        <v>119</v>
      </c>
      <c r="I67" s="25" t="s">
        <v>119</v>
      </c>
      <c r="J67" s="25" t="s">
        <v>119</v>
      </c>
      <c r="K67" s="25" t="s">
        <v>119</v>
      </c>
      <c r="L67" s="25" t="s">
        <v>119</v>
      </c>
      <c r="M67" s="44" t="s">
        <v>119</v>
      </c>
    </row>
    <row r="69" spans="1:13" x14ac:dyDescent="0.3">
      <c r="B69" t="s">
        <v>26</v>
      </c>
    </row>
    <row r="70" spans="1:13" x14ac:dyDescent="0.3">
      <c r="B70" s="19">
        <v>1</v>
      </c>
      <c r="C70" s="19">
        <v>2</v>
      </c>
      <c r="D70" s="19">
        <v>3</v>
      </c>
      <c r="E70" s="19">
        <v>4</v>
      </c>
      <c r="F70" s="19">
        <v>5</v>
      </c>
      <c r="G70" s="19">
        <v>6</v>
      </c>
      <c r="H70" s="19">
        <v>7</v>
      </c>
      <c r="I70" s="19">
        <v>8</v>
      </c>
      <c r="J70" s="19">
        <v>9</v>
      </c>
      <c r="K70" s="19">
        <v>10</v>
      </c>
      <c r="L70" s="19">
        <v>11</v>
      </c>
      <c r="M70" s="19">
        <v>12</v>
      </c>
    </row>
    <row r="71" spans="1:13" x14ac:dyDescent="0.3">
      <c r="A71" s="19" t="s">
        <v>8</v>
      </c>
      <c r="B71" s="20">
        <v>0.35799999999999998</v>
      </c>
      <c r="C71" s="21">
        <v>1.4910000000000001</v>
      </c>
      <c r="D71" s="21">
        <v>1.246</v>
      </c>
      <c r="E71" s="21">
        <v>0.96799999999999997</v>
      </c>
      <c r="F71" s="21">
        <v>0.69499999999999995</v>
      </c>
      <c r="G71" s="21">
        <v>0.56299999999999994</v>
      </c>
      <c r="H71" s="21">
        <v>0.42799999999999999</v>
      </c>
      <c r="I71" s="21">
        <v>0.376</v>
      </c>
      <c r="J71" s="21">
        <v>0.35299999999999998</v>
      </c>
      <c r="K71" s="21"/>
      <c r="L71" s="21"/>
      <c r="M71" s="37"/>
    </row>
    <row r="72" spans="1:13" x14ac:dyDescent="0.3">
      <c r="A72" s="19" t="s">
        <v>15</v>
      </c>
      <c r="B72" s="22">
        <v>0.36</v>
      </c>
      <c r="C72" s="55">
        <v>1.45</v>
      </c>
      <c r="D72" s="55">
        <v>1.173</v>
      </c>
      <c r="E72" s="55">
        <v>0.91800000000000004</v>
      </c>
      <c r="F72" s="55">
        <v>0.72399999999999998</v>
      </c>
      <c r="G72" s="55">
        <v>0.51</v>
      </c>
      <c r="H72" s="55">
        <v>0.42199999999999999</v>
      </c>
      <c r="I72" s="55">
        <v>0.38300000000000001</v>
      </c>
      <c r="J72" s="55">
        <v>0.34899999999999998</v>
      </c>
      <c r="K72" s="55"/>
      <c r="L72" s="55"/>
      <c r="M72" s="42"/>
    </row>
    <row r="73" spans="1:13" x14ac:dyDescent="0.3">
      <c r="A73" s="19" t="s">
        <v>20</v>
      </c>
      <c r="B73" s="22">
        <v>0.35199999999999998</v>
      </c>
      <c r="C73" s="55">
        <v>1.476</v>
      </c>
      <c r="D73" s="55">
        <v>1.2090000000000001</v>
      </c>
      <c r="E73" s="55">
        <v>1.016</v>
      </c>
      <c r="F73" s="55">
        <v>0.72599999999999998</v>
      </c>
      <c r="G73" s="55">
        <v>0.54</v>
      </c>
      <c r="H73" s="55">
        <v>0.41499999999999998</v>
      </c>
      <c r="I73" s="55">
        <v>0.38400000000000001</v>
      </c>
      <c r="J73" s="55">
        <v>0.35599999999999998</v>
      </c>
      <c r="K73" s="55"/>
      <c r="L73" s="55"/>
      <c r="M73" s="42"/>
    </row>
    <row r="74" spans="1:13" x14ac:dyDescent="0.3">
      <c r="A74" s="19" t="s">
        <v>21</v>
      </c>
      <c r="B74" s="22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42"/>
    </row>
    <row r="75" spans="1:13" x14ac:dyDescent="0.3">
      <c r="A75" s="19" t="s">
        <v>22</v>
      </c>
      <c r="B75" s="22">
        <v>1.107</v>
      </c>
      <c r="C75" s="55">
        <v>0.83</v>
      </c>
      <c r="D75" s="55">
        <v>0.47</v>
      </c>
      <c r="E75" s="55"/>
      <c r="F75" s="55">
        <v>1.296</v>
      </c>
      <c r="G75" s="55">
        <v>0.48599999999999999</v>
      </c>
      <c r="H75" s="55">
        <v>0.59</v>
      </c>
      <c r="I75" s="55"/>
      <c r="J75" s="55">
        <v>0.95</v>
      </c>
      <c r="K75" s="55"/>
      <c r="L75" s="55"/>
      <c r="M75" s="42"/>
    </row>
    <row r="76" spans="1:13" x14ac:dyDescent="0.3">
      <c r="A76" s="19" t="s">
        <v>23</v>
      </c>
      <c r="B76" s="22">
        <v>1.032</v>
      </c>
      <c r="C76" s="55">
        <v>0.85899999999999999</v>
      </c>
      <c r="D76" s="55">
        <v>0.45600000000000002</v>
      </c>
      <c r="E76" s="55"/>
      <c r="F76" s="55">
        <v>1.343</v>
      </c>
      <c r="G76" s="55">
        <v>0.47399999999999998</v>
      </c>
      <c r="H76" s="55">
        <v>0.70799999999999996</v>
      </c>
      <c r="I76" s="55"/>
      <c r="J76" s="55">
        <v>0.95399999999999996</v>
      </c>
      <c r="K76" s="55"/>
      <c r="L76" s="55"/>
      <c r="M76" s="42"/>
    </row>
    <row r="77" spans="1:13" x14ac:dyDescent="0.3">
      <c r="A77" s="19" t="s">
        <v>24</v>
      </c>
      <c r="B77" s="22">
        <v>1.0409999999999999</v>
      </c>
      <c r="C77" s="55">
        <v>0.86099999999999999</v>
      </c>
      <c r="D77" s="55">
        <v>0.44700000000000001</v>
      </c>
      <c r="E77" s="55"/>
      <c r="F77" s="55">
        <v>1.3069999999999999</v>
      </c>
      <c r="G77" s="55">
        <v>0.45300000000000001</v>
      </c>
      <c r="H77" s="55">
        <v>0.61</v>
      </c>
      <c r="I77" s="55"/>
      <c r="J77" s="55">
        <v>0.96499999999999997</v>
      </c>
      <c r="K77" s="55"/>
      <c r="L77" s="55"/>
      <c r="M77" s="42"/>
    </row>
    <row r="78" spans="1:13" x14ac:dyDescent="0.3">
      <c r="A78" s="19" t="s">
        <v>25</v>
      </c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44"/>
    </row>
    <row r="81" spans="1:13" x14ac:dyDescent="0.3">
      <c r="B81" t="s">
        <v>26</v>
      </c>
    </row>
    <row r="82" spans="1:13" x14ac:dyDescent="0.3">
      <c r="B82" s="19">
        <v>1</v>
      </c>
      <c r="C82" s="19">
        <v>100</v>
      </c>
      <c r="D82" s="19">
        <v>64</v>
      </c>
      <c r="E82" s="19">
        <v>32</v>
      </c>
      <c r="F82" s="19">
        <v>16</v>
      </c>
      <c r="G82" s="19">
        <v>8</v>
      </c>
      <c r="H82" s="19">
        <v>4</v>
      </c>
      <c r="I82" s="19">
        <v>2</v>
      </c>
      <c r="J82" s="19">
        <v>1</v>
      </c>
      <c r="K82" s="19" t="s">
        <v>29</v>
      </c>
      <c r="L82" s="19"/>
      <c r="M82" s="19"/>
    </row>
    <row r="83" spans="1:13" x14ac:dyDescent="0.3">
      <c r="A83" s="19" t="s">
        <v>8</v>
      </c>
      <c r="B83" s="20" t="s">
        <v>120</v>
      </c>
      <c r="C83" s="21">
        <v>1.4910000000000001</v>
      </c>
      <c r="D83" s="21">
        <v>1.246</v>
      </c>
      <c r="E83" s="21">
        <v>0.96799999999999997</v>
      </c>
      <c r="F83" s="21">
        <v>0.69499999999999995</v>
      </c>
      <c r="G83" s="21">
        <v>0.56299999999999994</v>
      </c>
      <c r="H83" s="21">
        <v>0.42799999999999999</v>
      </c>
      <c r="I83" s="21">
        <v>0.376</v>
      </c>
      <c r="J83" s="21">
        <v>0.35299999999999998</v>
      </c>
      <c r="K83" s="21"/>
      <c r="L83" s="55" t="s">
        <v>121</v>
      </c>
      <c r="M83" s="37"/>
    </row>
    <row r="84" spans="1:13" x14ac:dyDescent="0.3">
      <c r="A84" s="19" t="s">
        <v>15</v>
      </c>
      <c r="B84" s="20" t="s">
        <v>120</v>
      </c>
      <c r="C84" s="55">
        <v>1.45</v>
      </c>
      <c r="D84" s="55">
        <v>1.173</v>
      </c>
      <c r="E84" s="55">
        <v>0.91800000000000004</v>
      </c>
      <c r="F84" s="55">
        <v>0.72399999999999998</v>
      </c>
      <c r="G84" s="55">
        <v>0.51</v>
      </c>
      <c r="H84" s="55">
        <v>0.42199999999999999</v>
      </c>
      <c r="I84" s="55">
        <v>0.38300000000000001</v>
      </c>
      <c r="J84" s="55">
        <v>0.34899999999999998</v>
      </c>
      <c r="K84" s="55"/>
      <c r="L84" s="55" t="s">
        <v>122</v>
      </c>
      <c r="M84" s="42"/>
    </row>
    <row r="85" spans="1:13" x14ac:dyDescent="0.3">
      <c r="A85" s="19" t="s">
        <v>20</v>
      </c>
      <c r="B85" s="20" t="s">
        <v>120</v>
      </c>
      <c r="C85" s="55">
        <v>1.476</v>
      </c>
      <c r="D85" s="55">
        <v>1.2090000000000001</v>
      </c>
      <c r="E85" s="55">
        <v>1.016</v>
      </c>
      <c r="F85" s="55">
        <v>0.72599999999999998</v>
      </c>
      <c r="G85" s="55">
        <v>0.54</v>
      </c>
      <c r="H85" s="55">
        <v>0.41499999999999998</v>
      </c>
      <c r="I85" s="55">
        <v>0.38400000000000001</v>
      </c>
      <c r="J85" s="55">
        <v>0.35599999999999998</v>
      </c>
      <c r="K85" s="55"/>
      <c r="L85" s="55" t="s">
        <v>123</v>
      </c>
      <c r="M85" s="42"/>
    </row>
    <row r="86" spans="1:13" x14ac:dyDescent="0.3">
      <c r="A86" s="19" t="s">
        <v>21</v>
      </c>
      <c r="B86" s="22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42"/>
    </row>
    <row r="87" spans="1:13" x14ac:dyDescent="0.3">
      <c r="A87" s="19" t="s">
        <v>22</v>
      </c>
      <c r="B87" s="22">
        <v>1.107</v>
      </c>
      <c r="C87" s="55">
        <v>0.83</v>
      </c>
      <c r="D87" s="55">
        <v>0.47</v>
      </c>
      <c r="E87" s="55"/>
      <c r="F87" s="55">
        <v>1.296</v>
      </c>
      <c r="G87" s="55">
        <v>0.48599999999999999</v>
      </c>
      <c r="H87" s="55">
        <v>0.59</v>
      </c>
      <c r="I87" s="55"/>
      <c r="J87" s="55">
        <v>0.95</v>
      </c>
      <c r="K87" s="55"/>
      <c r="L87" s="55" t="s">
        <v>121</v>
      </c>
      <c r="M87" s="42"/>
    </row>
    <row r="88" spans="1:13" x14ac:dyDescent="0.3">
      <c r="A88" s="19" t="s">
        <v>23</v>
      </c>
      <c r="B88" s="22">
        <v>1.032</v>
      </c>
      <c r="C88" s="55">
        <v>0.85899999999999999</v>
      </c>
      <c r="D88" s="55">
        <v>0.45600000000000002</v>
      </c>
      <c r="E88" s="55"/>
      <c r="F88" s="55">
        <v>1.343</v>
      </c>
      <c r="G88" s="55">
        <v>0.47399999999999998</v>
      </c>
      <c r="H88" s="55">
        <v>0.70799999999999996</v>
      </c>
      <c r="I88" s="55"/>
      <c r="J88" s="55">
        <v>0.95399999999999996</v>
      </c>
      <c r="K88" s="55"/>
      <c r="L88" s="55" t="s">
        <v>122</v>
      </c>
      <c r="M88" s="42"/>
    </row>
    <row r="89" spans="1:13" x14ac:dyDescent="0.3">
      <c r="A89" s="19" t="s">
        <v>24</v>
      </c>
      <c r="B89" s="22">
        <v>1.0409999999999999</v>
      </c>
      <c r="C89" s="55">
        <v>0.86099999999999999</v>
      </c>
      <c r="D89" s="55">
        <v>0.44700000000000001</v>
      </c>
      <c r="E89" s="55"/>
      <c r="F89" s="55">
        <v>1.3069999999999999</v>
      </c>
      <c r="G89" s="55">
        <v>0.45300000000000001</v>
      </c>
      <c r="H89" s="55">
        <v>0.61</v>
      </c>
      <c r="I89" s="55"/>
      <c r="J89" s="55">
        <v>0.96499999999999997</v>
      </c>
      <c r="K89" s="55"/>
      <c r="L89" s="55" t="s">
        <v>123</v>
      </c>
      <c r="M89" s="42"/>
    </row>
    <row r="90" spans="1:13" x14ac:dyDescent="0.3">
      <c r="A90" s="19" t="s">
        <v>25</v>
      </c>
      <c r="B90" s="24" t="s">
        <v>124</v>
      </c>
      <c r="C90" s="25" t="s">
        <v>125</v>
      </c>
      <c r="D90" s="25" t="s">
        <v>126</v>
      </c>
      <c r="E90" s="25"/>
      <c r="F90" s="25" t="s">
        <v>127</v>
      </c>
      <c r="G90" s="25" t="s">
        <v>128</v>
      </c>
      <c r="H90" s="25" t="s">
        <v>129</v>
      </c>
      <c r="I90" s="25"/>
      <c r="J90" s="56" t="s">
        <v>130</v>
      </c>
      <c r="K90" s="25"/>
      <c r="L90" s="25"/>
      <c r="M90" s="44"/>
    </row>
    <row r="93" spans="1:13" x14ac:dyDescent="0.3">
      <c r="A93" s="57" t="s">
        <v>131</v>
      </c>
    </row>
    <row r="95" spans="1:13" x14ac:dyDescent="0.3">
      <c r="B95" s="19">
        <v>1</v>
      </c>
      <c r="C95" s="19">
        <v>100</v>
      </c>
      <c r="D95" s="19">
        <v>64</v>
      </c>
      <c r="E95" s="19">
        <v>32</v>
      </c>
      <c r="F95" s="19">
        <v>16</v>
      </c>
      <c r="G95" s="19">
        <v>8</v>
      </c>
      <c r="H95" s="19">
        <v>4</v>
      </c>
      <c r="I95" s="19">
        <v>2</v>
      </c>
      <c r="J95" s="19">
        <v>1</v>
      </c>
      <c r="K95" s="19" t="s">
        <v>29</v>
      </c>
      <c r="L95" s="19"/>
      <c r="M95" s="19"/>
    </row>
    <row r="96" spans="1:13" x14ac:dyDescent="0.3">
      <c r="A96" s="19" t="s">
        <v>8</v>
      </c>
      <c r="B96" s="40">
        <f>AVERAGE(B71:B73)</f>
        <v>0.35666666666666663</v>
      </c>
      <c r="C96" s="40">
        <f>AVERAGE(C71:C73)</f>
        <v>1.4723333333333333</v>
      </c>
      <c r="D96" s="40">
        <f t="shared" ref="D96:I96" si="4">AVERAGE(D71:D73)</f>
        <v>1.2093333333333334</v>
      </c>
      <c r="E96" s="40">
        <f t="shared" si="4"/>
        <v>0.96733333333333338</v>
      </c>
      <c r="F96" s="40">
        <f t="shared" si="4"/>
        <v>0.71499999999999997</v>
      </c>
      <c r="G96" s="40">
        <f t="shared" si="4"/>
        <v>0.53766666666666663</v>
      </c>
      <c r="H96" s="40">
        <f t="shared" si="4"/>
        <v>0.42166666666666663</v>
      </c>
      <c r="I96" s="40">
        <f t="shared" si="4"/>
        <v>0.38100000000000001</v>
      </c>
      <c r="J96" s="40">
        <f>AVERAGE(J71:J73)</f>
        <v>0.35266666666666663</v>
      </c>
      <c r="K96" s="21"/>
      <c r="L96" s="21"/>
      <c r="M96" s="37"/>
    </row>
    <row r="97" spans="1:13" x14ac:dyDescent="0.3">
      <c r="A97" s="19" t="s">
        <v>15</v>
      </c>
      <c r="B97" s="58"/>
      <c r="C97" s="59"/>
      <c r="D97" s="59"/>
      <c r="E97" s="59"/>
      <c r="F97" s="59"/>
      <c r="G97" s="59"/>
      <c r="H97" s="59"/>
      <c r="I97" s="59"/>
      <c r="J97" s="59"/>
      <c r="K97" s="55"/>
      <c r="L97" s="55"/>
      <c r="M97" s="42"/>
    </row>
    <row r="98" spans="1:13" x14ac:dyDescent="0.3">
      <c r="A98" s="19" t="s">
        <v>20</v>
      </c>
      <c r="B98" s="58"/>
      <c r="C98" s="59"/>
      <c r="D98" s="59"/>
      <c r="E98" s="59"/>
      <c r="F98" s="59"/>
      <c r="G98" s="59"/>
      <c r="H98" s="59"/>
      <c r="I98" s="59"/>
      <c r="J98" s="59"/>
      <c r="K98" s="55"/>
      <c r="L98" s="55"/>
      <c r="M98" s="42"/>
    </row>
    <row r="99" spans="1:13" x14ac:dyDescent="0.3">
      <c r="A99" s="19" t="s">
        <v>21</v>
      </c>
      <c r="B99" s="58"/>
      <c r="C99" s="59"/>
      <c r="D99" s="59"/>
      <c r="E99" s="59"/>
      <c r="F99" s="59"/>
      <c r="G99" s="59"/>
      <c r="H99" s="59"/>
      <c r="I99" s="59"/>
      <c r="J99" s="59"/>
      <c r="K99" s="55"/>
      <c r="L99" s="55"/>
      <c r="M99" s="42"/>
    </row>
    <row r="100" spans="1:13" x14ac:dyDescent="0.3">
      <c r="A100" s="19" t="s">
        <v>22</v>
      </c>
      <c r="B100" s="40">
        <f>AVERAGE(B75:B77)</f>
        <v>1.06</v>
      </c>
      <c r="C100" s="40">
        <f t="shared" ref="C100:J100" si="5">AVERAGE(C75:C77)</f>
        <v>0.85</v>
      </c>
      <c r="D100" s="40">
        <f t="shared" si="5"/>
        <v>0.45766666666666667</v>
      </c>
      <c r="E100" s="40"/>
      <c r="F100" s="40">
        <f t="shared" si="5"/>
        <v>1.3153333333333335</v>
      </c>
      <c r="G100" s="40">
        <f t="shared" si="5"/>
        <v>0.47100000000000003</v>
      </c>
      <c r="H100" s="40">
        <f t="shared" si="5"/>
        <v>0.63600000000000001</v>
      </c>
      <c r="I100" s="40"/>
      <c r="J100" s="40">
        <f t="shared" si="5"/>
        <v>0.95633333333333326</v>
      </c>
      <c r="K100" s="55"/>
      <c r="L100" s="55"/>
      <c r="M100" s="42"/>
    </row>
    <row r="101" spans="1:13" x14ac:dyDescent="0.3">
      <c r="A101" s="19" t="s">
        <v>23</v>
      </c>
      <c r="B101" s="22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42"/>
    </row>
    <row r="102" spans="1:13" x14ac:dyDescent="0.3">
      <c r="A102" s="19" t="s">
        <v>24</v>
      </c>
      <c r="B102" s="22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42"/>
    </row>
    <row r="103" spans="1:13" x14ac:dyDescent="0.3">
      <c r="A103" s="19" t="s">
        <v>25</v>
      </c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44"/>
    </row>
    <row r="106" spans="1:13" x14ac:dyDescent="0.3">
      <c r="A106" s="57" t="s">
        <v>132</v>
      </c>
    </row>
    <row r="108" spans="1:13" x14ac:dyDescent="0.3">
      <c r="B108" s="19">
        <v>1</v>
      </c>
      <c r="C108" s="19"/>
      <c r="D108" s="19"/>
      <c r="E108" s="19">
        <v>320</v>
      </c>
      <c r="F108" s="19">
        <v>160</v>
      </c>
      <c r="G108" s="19">
        <v>80</v>
      </c>
      <c r="H108" s="19">
        <v>40</v>
      </c>
      <c r="I108" s="19">
        <v>20</v>
      </c>
      <c r="J108" s="19"/>
      <c r="K108" s="19" t="s">
        <v>29</v>
      </c>
      <c r="L108" s="19"/>
      <c r="M108" s="19"/>
    </row>
    <row r="109" spans="1:13" x14ac:dyDescent="0.3">
      <c r="A109" s="19" t="s">
        <v>8</v>
      </c>
      <c r="B109" s="40">
        <f>B96-$B96</f>
        <v>0</v>
      </c>
      <c r="C109" s="40"/>
      <c r="D109" s="40"/>
      <c r="E109" s="40">
        <f t="shared" ref="E109:I109" si="6">E96-$B96</f>
        <v>0.61066666666666669</v>
      </c>
      <c r="F109" s="40">
        <f t="shared" si="6"/>
        <v>0.35833333333333334</v>
      </c>
      <c r="G109" s="40">
        <f t="shared" si="6"/>
        <v>0.18099999999999999</v>
      </c>
      <c r="H109" s="40">
        <f t="shared" si="6"/>
        <v>6.5000000000000002E-2</v>
      </c>
      <c r="I109" s="40">
        <f t="shared" si="6"/>
        <v>2.4333333333333373E-2</v>
      </c>
      <c r="J109" s="40"/>
      <c r="K109" s="21"/>
      <c r="L109" s="21"/>
      <c r="M109" s="37"/>
    </row>
    <row r="110" spans="1:13" x14ac:dyDescent="0.3">
      <c r="A110" s="19" t="s">
        <v>15</v>
      </c>
      <c r="B110" s="58"/>
      <c r="C110" s="59"/>
      <c r="D110" s="59"/>
      <c r="E110" s="59"/>
      <c r="F110" s="59"/>
      <c r="G110" s="59"/>
      <c r="H110" s="59"/>
      <c r="I110" s="59"/>
      <c r="J110" s="59"/>
      <c r="K110" s="55"/>
      <c r="L110" s="55"/>
      <c r="M110" s="42"/>
    </row>
    <row r="111" spans="1:13" x14ac:dyDescent="0.3">
      <c r="A111" s="19" t="s">
        <v>20</v>
      </c>
      <c r="B111" s="58"/>
      <c r="C111" s="59"/>
      <c r="D111" s="59"/>
      <c r="E111" s="59"/>
      <c r="F111" s="59"/>
      <c r="G111" s="59"/>
      <c r="H111" s="59"/>
      <c r="I111" s="59"/>
      <c r="J111" s="59"/>
      <c r="K111" s="55"/>
      <c r="L111" s="55"/>
      <c r="M111" s="42"/>
    </row>
    <row r="112" spans="1:13" x14ac:dyDescent="0.3">
      <c r="A112" s="19" t="s">
        <v>21</v>
      </c>
      <c r="B112" s="58"/>
      <c r="C112" s="59"/>
      <c r="D112" s="59"/>
      <c r="E112" s="59"/>
      <c r="F112" s="59"/>
      <c r="G112" s="59"/>
      <c r="H112" s="59"/>
      <c r="I112" s="59"/>
      <c r="J112" s="59"/>
      <c r="K112" s="55"/>
      <c r="L112" s="55"/>
      <c r="M112" s="42"/>
    </row>
    <row r="113" spans="1:16" x14ac:dyDescent="0.3">
      <c r="A113" s="19" t="s">
        <v>22</v>
      </c>
      <c r="B113" s="40">
        <f>B100-$B96</f>
        <v>0.70333333333333337</v>
      </c>
      <c r="C113" s="40">
        <f>C100-$B96</f>
        <v>0.49333333333333335</v>
      </c>
      <c r="D113" s="40">
        <f>D100-$B96</f>
        <v>0.10100000000000003</v>
      </c>
      <c r="E113" s="40"/>
      <c r="F113" s="40">
        <f>F100-$B96</f>
        <v>0.95866666666666678</v>
      </c>
      <c r="G113" s="40">
        <f t="shared" ref="G113:J113" si="7">G100-$B96</f>
        <v>0.1143333333333334</v>
      </c>
      <c r="H113" s="40">
        <f t="shared" si="7"/>
        <v>0.27933333333333338</v>
      </c>
      <c r="I113" s="40"/>
      <c r="J113" s="40">
        <f t="shared" si="7"/>
        <v>0.59966666666666657</v>
      </c>
      <c r="K113" s="55"/>
      <c r="L113" s="55"/>
      <c r="M113" s="42"/>
    </row>
    <row r="114" spans="1:16" x14ac:dyDescent="0.3">
      <c r="A114" s="19" t="s">
        <v>23</v>
      </c>
      <c r="B114" s="22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42"/>
    </row>
    <row r="115" spans="1:16" x14ac:dyDescent="0.3">
      <c r="A115" s="19" t="s">
        <v>24</v>
      </c>
      <c r="B115" s="22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42"/>
    </row>
    <row r="116" spans="1:16" x14ac:dyDescent="0.3">
      <c r="A116" s="19" t="s">
        <v>25</v>
      </c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44"/>
    </row>
    <row r="118" spans="1:16" x14ac:dyDescent="0.3">
      <c r="B118" s="15" t="s">
        <v>133</v>
      </c>
      <c r="C118" s="15" t="s">
        <v>33</v>
      </c>
      <c r="D118" s="15" t="s">
        <v>36</v>
      </c>
    </row>
    <row r="119" spans="1:16" x14ac:dyDescent="0.3">
      <c r="B119" s="60" t="s">
        <v>8</v>
      </c>
      <c r="C119" s="87">
        <f>(B113-0.0049)/0.0196*10</f>
        <v>356.34353741496602</v>
      </c>
      <c r="D119" s="30">
        <f>(F113-0.0049)/0.0196*10</f>
        <v>486.61564625850349</v>
      </c>
    </row>
    <row r="120" spans="1:16" x14ac:dyDescent="0.3">
      <c r="B120" s="15" t="s">
        <v>15</v>
      </c>
      <c r="C120" s="30">
        <f>(C113-0.0049)/0.0196*10</f>
        <v>249.20068027210885</v>
      </c>
      <c r="D120" s="30">
        <f>(G113-0.0049)/0.0196*10</f>
        <v>55.833333333333364</v>
      </c>
    </row>
    <row r="121" spans="1:16" x14ac:dyDescent="0.3">
      <c r="B121" s="15" t="s">
        <v>20</v>
      </c>
      <c r="C121" s="30">
        <f>(D113-0.0049)/0.0196*10</f>
        <v>49.030612244897974</v>
      </c>
      <c r="D121" s="30">
        <f>(H113-0.0049)/0.0196*10</f>
        <v>140.01700680272111</v>
      </c>
    </row>
    <row r="122" spans="1:16" x14ac:dyDescent="0.3">
      <c r="B122" s="15" t="s">
        <v>135</v>
      </c>
      <c r="C122" s="30" t="s">
        <v>136</v>
      </c>
      <c r="D122" s="30">
        <f>(J113-0.0049)/0.0196*10</f>
        <v>303.45238095238091</v>
      </c>
    </row>
    <row r="123" spans="1:16" x14ac:dyDescent="0.3">
      <c r="I123" t="s">
        <v>208</v>
      </c>
      <c r="J123" t="s">
        <v>209</v>
      </c>
      <c r="K123" t="s">
        <v>210</v>
      </c>
      <c r="L123" t="s">
        <v>211</v>
      </c>
      <c r="N123" s="15" t="s">
        <v>133</v>
      </c>
      <c r="O123" s="15" t="s">
        <v>33</v>
      </c>
      <c r="P123" s="15" t="s">
        <v>36</v>
      </c>
    </row>
    <row r="124" spans="1:16" x14ac:dyDescent="0.3">
      <c r="H124">
        <v>4</v>
      </c>
      <c r="I124">
        <v>5</v>
      </c>
      <c r="J124">
        <v>6</v>
      </c>
      <c r="K124">
        <v>7</v>
      </c>
      <c r="L124">
        <v>8</v>
      </c>
      <c r="N124" s="60" t="s">
        <v>8</v>
      </c>
      <c r="O124" s="30">
        <v>356.34353741496602</v>
      </c>
      <c r="P124" s="30">
        <v>486.61564625850349</v>
      </c>
    </row>
    <row r="125" spans="1:16" x14ac:dyDescent="0.3">
      <c r="H125" t="s">
        <v>45</v>
      </c>
      <c r="I125">
        <v>1.2470000000000001</v>
      </c>
      <c r="J125">
        <v>0.10700000000000001</v>
      </c>
      <c r="K125">
        <v>-8.4000000000000005E-2</v>
      </c>
      <c r="N125" s="15" t="s">
        <v>15</v>
      </c>
      <c r="O125" s="30">
        <v>249.20068027210885</v>
      </c>
      <c r="P125" s="30">
        <v>55.833333333333364</v>
      </c>
    </row>
    <row r="126" spans="1:16" x14ac:dyDescent="0.3">
      <c r="B126" s="1" t="s">
        <v>81</v>
      </c>
      <c r="C126" s="1"/>
      <c r="D126" s="1" t="s">
        <v>137</v>
      </c>
      <c r="H126" t="s">
        <v>46</v>
      </c>
      <c r="I126">
        <v>4.0000000000000008E-2</v>
      </c>
      <c r="J126">
        <v>1.6E-2</v>
      </c>
      <c r="K126">
        <v>-5.0000000000000044E-3</v>
      </c>
      <c r="N126" s="15" t="s">
        <v>20</v>
      </c>
      <c r="O126" s="30">
        <v>49.030612244897974</v>
      </c>
      <c r="P126" s="30">
        <v>140.01700680272111</v>
      </c>
    </row>
    <row r="127" spans="1:16" x14ac:dyDescent="0.3">
      <c r="B127" s="1" t="s">
        <v>37</v>
      </c>
      <c r="C127" s="1" t="s">
        <v>138</v>
      </c>
      <c r="D127" s="15" t="s">
        <v>133</v>
      </c>
      <c r="H127" t="s">
        <v>47</v>
      </c>
      <c r="I127">
        <v>1.0000000000000009E-3</v>
      </c>
      <c r="J127">
        <v>9.000000000000008E-3</v>
      </c>
      <c r="K127">
        <v>-1.100000000000001E-2</v>
      </c>
      <c r="N127" s="15" t="s">
        <v>135</v>
      </c>
      <c r="O127" s="30" t="s">
        <v>136</v>
      </c>
      <c r="P127" s="30">
        <v>303.45238095238091</v>
      </c>
    </row>
    <row r="128" spans="1:16" x14ac:dyDescent="0.3">
      <c r="B128" s="1">
        <v>0.80499999999999994</v>
      </c>
      <c r="C128" s="15" t="s">
        <v>139</v>
      </c>
      <c r="D128" s="86">
        <f>(B128-0.0049)/0.0196*10</f>
        <v>408.21428571428567</v>
      </c>
      <c r="H128" t="s">
        <v>212</v>
      </c>
    </row>
    <row r="129" spans="2:5" x14ac:dyDescent="0.3">
      <c r="B129" s="1">
        <v>0.33200000000000002</v>
      </c>
      <c r="C129" s="15" t="s">
        <v>140</v>
      </c>
      <c r="D129" s="86">
        <f t="shared" ref="D129:D135" si="8">(B129-0.0049)/0.0196*10</f>
        <v>166.88775510204081</v>
      </c>
      <c r="E129" t="s">
        <v>270</v>
      </c>
    </row>
    <row r="130" spans="2:5" x14ac:dyDescent="0.3">
      <c r="B130" s="1">
        <v>0.71099999999999985</v>
      </c>
      <c r="C130" s="15" t="s">
        <v>141</v>
      </c>
      <c r="D130" s="86">
        <f t="shared" si="8"/>
        <v>360.25510204081627</v>
      </c>
      <c r="E130" t="s">
        <v>270</v>
      </c>
    </row>
    <row r="131" spans="2:5" x14ac:dyDescent="0.3">
      <c r="B131" s="1">
        <v>0.86199999999999988</v>
      </c>
      <c r="C131" s="15" t="s">
        <v>142</v>
      </c>
      <c r="D131" s="86">
        <f t="shared" si="8"/>
        <v>437.29591836734693</v>
      </c>
      <c r="E131" t="s">
        <v>270</v>
      </c>
    </row>
    <row r="132" spans="2:5" x14ac:dyDescent="0.3">
      <c r="B132" s="1">
        <v>0.69</v>
      </c>
      <c r="C132" s="15" t="s">
        <v>143</v>
      </c>
      <c r="D132" s="86">
        <f t="shared" si="8"/>
        <v>349.5408163265306</v>
      </c>
      <c r="E132" t="s">
        <v>270</v>
      </c>
    </row>
    <row r="133" spans="2:5" x14ac:dyDescent="0.3">
      <c r="B133" s="1">
        <v>0.46500000000000002</v>
      </c>
      <c r="C133" s="15" t="s">
        <v>144</v>
      </c>
      <c r="D133" s="86">
        <f t="shared" si="8"/>
        <v>234.7448979591837</v>
      </c>
    </row>
    <row r="134" spans="2:5" x14ac:dyDescent="0.3">
      <c r="B134" s="1">
        <v>0.435</v>
      </c>
      <c r="C134" s="15" t="s">
        <v>145</v>
      </c>
      <c r="D134" s="86">
        <f t="shared" si="8"/>
        <v>219.43877551020407</v>
      </c>
    </row>
    <row r="135" spans="2:5" x14ac:dyDescent="0.3">
      <c r="B135" s="31">
        <v>0.14199999999999999</v>
      </c>
      <c r="C135" s="92" t="s">
        <v>264</v>
      </c>
      <c r="D135" s="91">
        <f t="shared" si="8"/>
        <v>69.948979591836732</v>
      </c>
      <c r="E135" t="s">
        <v>270</v>
      </c>
    </row>
    <row r="136" spans="2:5" x14ac:dyDescent="0.3">
      <c r="D136" s="87" t="s">
        <v>134</v>
      </c>
    </row>
    <row r="1048576" spans="3:3" x14ac:dyDescent="0.3">
      <c r="C1048576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B5" sqref="B5"/>
    </sheetView>
  </sheetViews>
  <sheetFormatPr defaultRowHeight="14.4" x14ac:dyDescent="0.3"/>
  <sheetData>
    <row r="1" spans="1:3" x14ac:dyDescent="0.3">
      <c r="A1" t="s">
        <v>44</v>
      </c>
    </row>
    <row r="2" spans="1:3" x14ac:dyDescent="0.3">
      <c r="B2" t="s">
        <v>36</v>
      </c>
      <c r="C2" t="s">
        <v>33</v>
      </c>
    </row>
    <row r="3" spans="1:3" x14ac:dyDescent="0.3">
      <c r="A3" t="s">
        <v>45</v>
      </c>
      <c r="B3">
        <v>550</v>
      </c>
      <c r="C3">
        <v>270</v>
      </c>
    </row>
    <row r="4" spans="1:3" x14ac:dyDescent="0.3">
      <c r="A4" t="s">
        <v>46</v>
      </c>
      <c r="B4">
        <v>100</v>
      </c>
      <c r="C4">
        <v>230</v>
      </c>
    </row>
    <row r="5" spans="1:3" x14ac:dyDescent="0.3">
      <c r="A5" t="s">
        <v>47</v>
      </c>
      <c r="B5">
        <v>150</v>
      </c>
      <c r="C5">
        <v>350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2"/>
  <sheetViews>
    <sheetView topLeftCell="D1" workbookViewId="0">
      <pane ySplit="1" topLeftCell="A102" activePane="bottomLeft" state="frozen"/>
      <selection activeCell="B1" sqref="B1"/>
      <selection pane="bottomLeft" activeCell="E148" sqref="E148"/>
    </sheetView>
  </sheetViews>
  <sheetFormatPr defaultRowHeight="14.4" x14ac:dyDescent="0.3"/>
  <cols>
    <col min="1" max="1" width="11.6640625" bestFit="1" customWidth="1"/>
    <col min="2" max="2" width="28" customWidth="1"/>
    <col min="3" max="3" width="10.5546875" bestFit="1" customWidth="1"/>
    <col min="5" max="5" width="16.6640625" bestFit="1" customWidth="1"/>
    <col min="8" max="8" width="13" customWidth="1"/>
    <col min="10" max="10" width="20" bestFit="1" customWidth="1"/>
    <col min="12" max="12" width="32.44140625" customWidth="1"/>
  </cols>
  <sheetData>
    <row r="1" spans="1:14" ht="14.25" customHeight="1" x14ac:dyDescent="0.3">
      <c r="A1" t="s">
        <v>146</v>
      </c>
      <c r="B1" s="1" t="s">
        <v>147</v>
      </c>
      <c r="C1" t="s">
        <v>148</v>
      </c>
      <c r="D1" t="s">
        <v>73</v>
      </c>
      <c r="E1" s="3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2" t="s">
        <v>155</v>
      </c>
      <c r="L1" s="1" t="s">
        <v>289</v>
      </c>
      <c r="M1" s="1" t="s">
        <v>157</v>
      </c>
      <c r="N1" s="1" t="s">
        <v>158</v>
      </c>
    </row>
    <row r="2" spans="1:14" ht="14.25" customHeight="1" x14ac:dyDescent="0.3">
      <c r="B2" s="1">
        <v>0.85</v>
      </c>
      <c r="D2">
        <v>1</v>
      </c>
      <c r="E2" s="1">
        <v>224</v>
      </c>
      <c r="F2" s="1">
        <v>0.11399999999999999</v>
      </c>
      <c r="G2" s="1">
        <v>60</v>
      </c>
      <c r="H2" s="1" t="s">
        <v>159</v>
      </c>
      <c r="I2" s="1" t="s">
        <v>36</v>
      </c>
      <c r="J2" s="1">
        <v>0.85</v>
      </c>
      <c r="K2" s="2">
        <v>0.01</v>
      </c>
      <c r="L2" s="2" t="s">
        <v>160</v>
      </c>
      <c r="M2" s="1" t="s">
        <v>161</v>
      </c>
      <c r="N2" s="1">
        <v>0</v>
      </c>
    </row>
    <row r="3" spans="1:14" ht="14.25" customHeight="1" x14ac:dyDescent="0.3">
      <c r="B3" s="1">
        <v>0.46600000000000003</v>
      </c>
      <c r="D3">
        <v>1</v>
      </c>
      <c r="E3" s="1">
        <v>401</v>
      </c>
      <c r="F3" s="1">
        <v>0.11199999999999999</v>
      </c>
      <c r="G3" s="1">
        <v>60</v>
      </c>
      <c r="H3" s="1" t="s">
        <v>159</v>
      </c>
      <c r="I3" s="1" t="s">
        <v>33</v>
      </c>
      <c r="J3" s="1">
        <v>0.46600000000000003</v>
      </c>
      <c r="K3" s="2">
        <v>0.01</v>
      </c>
      <c r="L3" s="2" t="s">
        <v>160</v>
      </c>
      <c r="M3" s="1" t="s">
        <v>162</v>
      </c>
      <c r="N3" s="1">
        <v>0</v>
      </c>
    </row>
    <row r="4" spans="1:14" ht="14.25" customHeight="1" x14ac:dyDescent="0.3">
      <c r="B4" s="1">
        <v>0.85</v>
      </c>
      <c r="D4">
        <v>1</v>
      </c>
      <c r="E4" s="1">
        <v>1292</v>
      </c>
      <c r="F4" s="1">
        <v>0.65899999999999992</v>
      </c>
      <c r="G4" s="1">
        <v>60</v>
      </c>
      <c r="H4" s="1" t="s">
        <v>159</v>
      </c>
      <c r="I4" s="1" t="s">
        <v>36</v>
      </c>
      <c r="J4" s="1">
        <v>0.85</v>
      </c>
      <c r="K4" s="2">
        <v>0.01</v>
      </c>
      <c r="L4" s="2" t="s">
        <v>163</v>
      </c>
      <c r="M4" s="1" t="s">
        <v>164</v>
      </c>
      <c r="N4" s="1">
        <v>0</v>
      </c>
    </row>
    <row r="5" spans="1:14" ht="14.25" customHeight="1" x14ac:dyDescent="0.3">
      <c r="B5" s="1">
        <v>0.46600000000000003</v>
      </c>
      <c r="D5">
        <v>1</v>
      </c>
      <c r="E5" s="1">
        <v>2550</v>
      </c>
      <c r="F5" s="1">
        <v>0.71299999999999997</v>
      </c>
      <c r="G5" s="1">
        <v>60</v>
      </c>
      <c r="H5" s="1" t="s">
        <v>159</v>
      </c>
      <c r="I5" s="1" t="s">
        <v>33</v>
      </c>
      <c r="J5" s="1">
        <v>0.46600000000000003</v>
      </c>
      <c r="K5" s="2">
        <v>0.01</v>
      </c>
      <c r="L5" s="2" t="s">
        <v>163</v>
      </c>
      <c r="M5" s="1" t="s">
        <v>165</v>
      </c>
      <c r="N5" s="1">
        <v>0</v>
      </c>
    </row>
    <row r="6" spans="1:14" ht="14.25" customHeight="1" x14ac:dyDescent="0.3">
      <c r="B6" s="1">
        <v>0.85</v>
      </c>
      <c r="D6">
        <v>1</v>
      </c>
      <c r="E6" s="1">
        <v>233</v>
      </c>
      <c r="F6" s="1">
        <v>0.11899999999999999</v>
      </c>
      <c r="G6" s="1">
        <v>60</v>
      </c>
      <c r="H6" s="1" t="s">
        <v>159</v>
      </c>
      <c r="I6" s="1" t="s">
        <v>36</v>
      </c>
      <c r="J6" s="1">
        <v>0.85</v>
      </c>
      <c r="K6" s="2">
        <v>0.01</v>
      </c>
      <c r="L6" s="2" t="s">
        <v>166</v>
      </c>
      <c r="M6" s="1" t="s">
        <v>167</v>
      </c>
      <c r="N6" s="1">
        <v>0</v>
      </c>
    </row>
    <row r="7" spans="1:14" ht="14.25" customHeight="1" x14ac:dyDescent="0.3">
      <c r="B7" s="1">
        <v>0.46600000000000003</v>
      </c>
      <c r="D7">
        <v>1</v>
      </c>
      <c r="E7" s="1">
        <v>372</v>
      </c>
      <c r="F7" s="1">
        <v>0.10399999999999998</v>
      </c>
      <c r="G7" s="1">
        <v>60</v>
      </c>
      <c r="H7" s="1" t="s">
        <v>159</v>
      </c>
      <c r="I7" s="1" t="s">
        <v>33</v>
      </c>
      <c r="J7" s="1">
        <v>0.46600000000000003</v>
      </c>
      <c r="K7" s="2">
        <v>0.01</v>
      </c>
      <c r="L7" s="2" t="s">
        <v>166</v>
      </c>
      <c r="M7" s="1" t="s">
        <v>168</v>
      </c>
      <c r="N7" s="1">
        <v>0</v>
      </c>
    </row>
    <row r="8" spans="1:14" ht="14.25" customHeight="1" x14ac:dyDescent="0.3">
      <c r="B8" s="1">
        <v>0.85</v>
      </c>
      <c r="D8">
        <v>1</v>
      </c>
      <c r="E8" s="1">
        <v>269</v>
      </c>
      <c r="F8" s="1">
        <v>0.41200000000000003</v>
      </c>
      <c r="G8" s="1">
        <v>180</v>
      </c>
      <c r="H8" s="1" t="s">
        <v>159</v>
      </c>
      <c r="I8" s="1" t="s">
        <v>36</v>
      </c>
      <c r="J8" s="1">
        <v>0.85</v>
      </c>
      <c r="K8" s="2">
        <v>0.01</v>
      </c>
      <c r="L8" s="2" t="s">
        <v>163</v>
      </c>
      <c r="M8" s="1" t="s">
        <v>164</v>
      </c>
      <c r="N8" s="1">
        <v>0</v>
      </c>
    </row>
    <row r="9" spans="1:14" ht="14.25" customHeight="1" x14ac:dyDescent="0.3">
      <c r="B9" s="1">
        <v>0.46600000000000003</v>
      </c>
      <c r="D9">
        <v>1</v>
      </c>
      <c r="E9" s="1">
        <v>584</v>
      </c>
      <c r="F9" s="1">
        <v>0.49</v>
      </c>
      <c r="G9" s="1">
        <v>180</v>
      </c>
      <c r="H9" s="1" t="s">
        <v>159</v>
      </c>
      <c r="I9" s="1" t="s">
        <v>33</v>
      </c>
      <c r="J9" s="1">
        <v>0.46600000000000003</v>
      </c>
      <c r="K9" s="2">
        <v>0.01</v>
      </c>
      <c r="L9" s="2" t="s">
        <v>163</v>
      </c>
      <c r="M9" s="1" t="s">
        <v>165</v>
      </c>
      <c r="N9" s="1">
        <v>0</v>
      </c>
    </row>
    <row r="10" spans="1:14" ht="14.25" customHeight="1" x14ac:dyDescent="0.3">
      <c r="B10" s="1">
        <v>0.85</v>
      </c>
      <c r="D10">
        <v>1</v>
      </c>
      <c r="E10" s="1">
        <v>1345</v>
      </c>
      <c r="F10" s="1">
        <v>0.68599999999999994</v>
      </c>
      <c r="G10" s="1">
        <v>60</v>
      </c>
      <c r="H10" s="1" t="s">
        <v>159</v>
      </c>
      <c r="I10" s="1" t="s">
        <v>36</v>
      </c>
      <c r="J10" s="1">
        <v>0.85</v>
      </c>
      <c r="K10" s="2">
        <v>0.01</v>
      </c>
      <c r="L10" s="2" t="s">
        <v>169</v>
      </c>
      <c r="M10" s="1" t="s">
        <v>170</v>
      </c>
      <c r="N10" s="1">
        <v>0</v>
      </c>
    </row>
    <row r="11" spans="1:14" ht="14.25" customHeight="1" x14ac:dyDescent="0.3">
      <c r="B11" s="1">
        <v>0.46600000000000003</v>
      </c>
      <c r="D11">
        <v>1</v>
      </c>
      <c r="E11" s="1">
        <v>2178</v>
      </c>
      <c r="F11" s="1">
        <v>0.60899999999999999</v>
      </c>
      <c r="G11" s="1">
        <v>60</v>
      </c>
      <c r="H11" s="1" t="s">
        <v>159</v>
      </c>
      <c r="I11" s="1" t="s">
        <v>33</v>
      </c>
      <c r="J11" s="1">
        <v>0.46600000000000003</v>
      </c>
      <c r="K11" s="2">
        <v>0.01</v>
      </c>
      <c r="L11" s="2" t="s">
        <v>169</v>
      </c>
      <c r="M11" s="1" t="s">
        <v>171</v>
      </c>
      <c r="N11" s="1">
        <v>0</v>
      </c>
    </row>
    <row r="12" spans="1:14" ht="14.25" customHeight="1" x14ac:dyDescent="0.3">
      <c r="B12" s="1">
        <v>7.1999999999999995E-2</v>
      </c>
      <c r="D12">
        <v>1</v>
      </c>
      <c r="E12" s="1">
        <v>5370</v>
      </c>
      <c r="F12" s="1">
        <v>0.23200000000000001</v>
      </c>
      <c r="G12" s="1">
        <v>60</v>
      </c>
      <c r="H12" s="1" t="s">
        <v>172</v>
      </c>
      <c r="I12" s="1" t="s">
        <v>36</v>
      </c>
      <c r="J12" s="1">
        <v>7.1999999999999995E-2</v>
      </c>
      <c r="K12" s="2">
        <v>0.01</v>
      </c>
      <c r="L12" s="2" t="s">
        <v>169</v>
      </c>
      <c r="M12" s="1" t="s">
        <v>173</v>
      </c>
      <c r="N12" s="1">
        <v>0</v>
      </c>
    </row>
    <row r="13" spans="1:14" ht="14.25" customHeight="1" x14ac:dyDescent="0.3">
      <c r="B13" s="1">
        <v>0.30099999999999999</v>
      </c>
      <c r="D13">
        <v>1</v>
      </c>
      <c r="E13" s="1">
        <v>1916</v>
      </c>
      <c r="F13" s="1">
        <v>0.34599999999999997</v>
      </c>
      <c r="G13" s="1">
        <v>60</v>
      </c>
      <c r="H13" s="1" t="s">
        <v>172</v>
      </c>
      <c r="I13" s="1" t="s">
        <v>33</v>
      </c>
      <c r="J13" s="1">
        <v>0.30099999999999999</v>
      </c>
      <c r="K13" s="2">
        <v>0.01</v>
      </c>
      <c r="L13" s="2" t="s">
        <v>169</v>
      </c>
      <c r="M13" s="1" t="s">
        <v>174</v>
      </c>
      <c r="N13" s="1">
        <v>0</v>
      </c>
    </row>
    <row r="14" spans="1:14" ht="14.25" customHeight="1" x14ac:dyDescent="0.3">
      <c r="B14" s="1">
        <v>7.1999999999999995E-2</v>
      </c>
      <c r="D14">
        <v>1</v>
      </c>
      <c r="E14" s="1">
        <v>4120</v>
      </c>
      <c r="F14" s="1">
        <v>0.17799999999999999</v>
      </c>
      <c r="G14" s="1">
        <v>60</v>
      </c>
      <c r="H14" s="1" t="s">
        <v>175</v>
      </c>
      <c r="I14" s="1" t="s">
        <v>36</v>
      </c>
      <c r="J14" s="1">
        <v>7.1999999999999995E-2</v>
      </c>
      <c r="K14" s="2">
        <v>0.01</v>
      </c>
      <c r="L14" s="2" t="s">
        <v>169</v>
      </c>
      <c r="M14" s="1" t="s">
        <v>176</v>
      </c>
      <c r="N14" s="1">
        <v>0</v>
      </c>
    </row>
    <row r="15" spans="1:14" ht="14.25" customHeight="1" x14ac:dyDescent="0.3">
      <c r="B15" s="1">
        <v>2.5000000000000001E-2</v>
      </c>
      <c r="D15">
        <v>1</v>
      </c>
      <c r="E15" s="1">
        <v>12333</v>
      </c>
      <c r="F15" s="1">
        <v>0.185</v>
      </c>
      <c r="G15" s="1">
        <v>60</v>
      </c>
      <c r="H15" s="1" t="s">
        <v>175</v>
      </c>
      <c r="I15" s="1" t="s">
        <v>33</v>
      </c>
      <c r="J15" s="1">
        <v>2.5000000000000001E-2</v>
      </c>
      <c r="K15" s="2">
        <v>0.01</v>
      </c>
      <c r="L15" s="2" t="s">
        <v>169</v>
      </c>
      <c r="M15" s="1" t="s">
        <v>177</v>
      </c>
      <c r="N15" s="1">
        <v>0</v>
      </c>
    </row>
    <row r="16" spans="1:14" ht="14.25" customHeight="1" x14ac:dyDescent="0.3">
      <c r="B16" s="1">
        <v>0.85</v>
      </c>
      <c r="D16">
        <v>1</v>
      </c>
      <c r="E16" s="1">
        <v>1249</v>
      </c>
      <c r="F16" s="1">
        <v>0.63700000000000001</v>
      </c>
      <c r="G16" s="1">
        <v>60</v>
      </c>
      <c r="H16" s="1" t="s">
        <v>159</v>
      </c>
      <c r="I16" s="1" t="s">
        <v>36</v>
      </c>
      <c r="J16" s="1">
        <v>0.85</v>
      </c>
      <c r="K16" s="2">
        <v>0.01</v>
      </c>
      <c r="L16" s="2" t="s">
        <v>169</v>
      </c>
      <c r="M16" s="1" t="s">
        <v>178</v>
      </c>
      <c r="N16" s="1">
        <v>200</v>
      </c>
    </row>
    <row r="17" spans="2:14" ht="14.25" customHeight="1" x14ac:dyDescent="0.3">
      <c r="B17" s="1">
        <v>0.46600000000000003</v>
      </c>
      <c r="D17">
        <v>1</v>
      </c>
      <c r="E17" s="1">
        <v>2031</v>
      </c>
      <c r="F17" s="1">
        <v>0.56799999999999995</v>
      </c>
      <c r="G17" s="1">
        <v>60</v>
      </c>
      <c r="H17" s="1" t="s">
        <v>159</v>
      </c>
      <c r="I17" s="1" t="s">
        <v>33</v>
      </c>
      <c r="J17" s="1">
        <v>0.46600000000000003</v>
      </c>
      <c r="K17" s="2">
        <v>0.01</v>
      </c>
      <c r="L17" s="2" t="s">
        <v>169</v>
      </c>
      <c r="M17" s="1" t="s">
        <v>179</v>
      </c>
      <c r="N17" s="1">
        <v>200</v>
      </c>
    </row>
    <row r="18" spans="2:14" ht="14.25" customHeight="1" x14ac:dyDescent="0.3">
      <c r="B18" s="1">
        <v>7.1999999999999995E-2</v>
      </c>
      <c r="D18">
        <v>1</v>
      </c>
      <c r="E18" s="1">
        <v>5417</v>
      </c>
      <c r="F18" s="1">
        <v>0.23400000000000001</v>
      </c>
      <c r="G18" s="1">
        <v>60</v>
      </c>
      <c r="H18" s="1" t="s">
        <v>172</v>
      </c>
      <c r="I18" s="1" t="s">
        <v>36</v>
      </c>
      <c r="J18" s="1">
        <v>7.1999999999999995E-2</v>
      </c>
      <c r="K18" s="2">
        <v>0.01</v>
      </c>
      <c r="L18" s="2" t="s">
        <v>169</v>
      </c>
      <c r="M18" s="1" t="s">
        <v>180</v>
      </c>
      <c r="N18" s="1">
        <v>200</v>
      </c>
    </row>
    <row r="19" spans="2:14" ht="14.25" customHeight="1" x14ac:dyDescent="0.3">
      <c r="B19" s="1">
        <v>0.30099999999999999</v>
      </c>
      <c r="D19">
        <v>1</v>
      </c>
      <c r="E19" s="1">
        <v>1628</v>
      </c>
      <c r="F19" s="1">
        <v>0.29400000000000004</v>
      </c>
      <c r="G19" s="1">
        <v>60</v>
      </c>
      <c r="H19" s="1" t="s">
        <v>172</v>
      </c>
      <c r="I19" s="1" t="s">
        <v>33</v>
      </c>
      <c r="J19" s="1">
        <v>0.30099999999999999</v>
      </c>
      <c r="K19" s="2">
        <v>0.01</v>
      </c>
      <c r="L19" s="2" t="s">
        <v>169</v>
      </c>
      <c r="M19" s="1" t="s">
        <v>181</v>
      </c>
      <c r="N19" s="1">
        <v>200</v>
      </c>
    </row>
    <row r="20" spans="2:14" ht="14.25" customHeight="1" x14ac:dyDescent="0.3">
      <c r="B20" s="1">
        <v>0.10199999999999999</v>
      </c>
      <c r="D20">
        <v>1</v>
      </c>
      <c r="E20" s="1">
        <v>3039</v>
      </c>
      <c r="F20" s="1">
        <v>0.186</v>
      </c>
      <c r="G20" s="1">
        <v>60</v>
      </c>
      <c r="H20" s="1" t="s">
        <v>175</v>
      </c>
      <c r="I20" s="1" t="s">
        <v>36</v>
      </c>
      <c r="J20" s="1">
        <v>0.10199999999999999</v>
      </c>
      <c r="K20" s="2">
        <v>0.01</v>
      </c>
      <c r="L20" s="2" t="s">
        <v>169</v>
      </c>
      <c r="M20" s="1" t="s">
        <v>182</v>
      </c>
      <c r="N20" s="1">
        <v>200</v>
      </c>
    </row>
    <row r="21" spans="2:14" ht="14.25" customHeight="1" x14ac:dyDescent="0.3">
      <c r="B21" s="1">
        <v>2.5000000000000001E-2</v>
      </c>
      <c r="D21">
        <v>1</v>
      </c>
      <c r="E21" s="1">
        <v>11533</v>
      </c>
      <c r="F21" s="1">
        <v>0.17299999999999999</v>
      </c>
      <c r="G21" s="1">
        <v>60</v>
      </c>
      <c r="H21" s="1" t="s">
        <v>175</v>
      </c>
      <c r="I21" s="1" t="s">
        <v>33</v>
      </c>
      <c r="J21" s="1">
        <v>2.5000000000000001E-2</v>
      </c>
      <c r="K21" s="2">
        <v>0.01</v>
      </c>
      <c r="L21" s="2" t="s">
        <v>169</v>
      </c>
      <c r="M21" s="1" t="s">
        <v>183</v>
      </c>
      <c r="N21" s="1">
        <v>200</v>
      </c>
    </row>
    <row r="22" spans="2:14" ht="14.25" customHeight="1" x14ac:dyDescent="0.3">
      <c r="B22" s="1">
        <v>0.85</v>
      </c>
      <c r="C22" s="4">
        <v>44293</v>
      </c>
      <c r="D22">
        <v>160</v>
      </c>
      <c r="E22" s="12">
        <f t="shared" ref="E22:E32" si="0">ROUND((F22*1000)/(G22*J22*K22),0)</f>
        <v>127686</v>
      </c>
      <c r="F22" s="5">
        <v>0.40700000000000003</v>
      </c>
      <c r="G22" s="1">
        <v>60</v>
      </c>
      <c r="H22" s="1" t="s">
        <v>159</v>
      </c>
      <c r="I22" s="1" t="s">
        <v>36</v>
      </c>
      <c r="J22" s="10">
        <v>5.3124999999999995E-3</v>
      </c>
      <c r="K22" s="2">
        <v>0.01</v>
      </c>
      <c r="L22" s="2" t="s">
        <v>169</v>
      </c>
      <c r="M22" s="1" t="s">
        <v>184</v>
      </c>
      <c r="N22" s="1">
        <v>0</v>
      </c>
    </row>
    <row r="23" spans="2:14" ht="14.25" customHeight="1" x14ac:dyDescent="0.3">
      <c r="B23" s="1">
        <v>0.30099999999999999</v>
      </c>
      <c r="C23" s="4">
        <v>44293</v>
      </c>
      <c r="D23">
        <v>60</v>
      </c>
      <c r="E23" s="8">
        <f t="shared" si="0"/>
        <v>65116</v>
      </c>
      <c r="F23" s="5">
        <v>0.19600000000000001</v>
      </c>
      <c r="G23" s="1">
        <v>60</v>
      </c>
      <c r="H23" s="1" t="s">
        <v>172</v>
      </c>
      <c r="I23" s="1" t="s">
        <v>33</v>
      </c>
      <c r="J23" s="6">
        <v>5.0166666666666667E-3</v>
      </c>
      <c r="K23" s="2">
        <v>0.01</v>
      </c>
      <c r="L23" s="2" t="s">
        <v>169</v>
      </c>
      <c r="M23" s="1" t="s">
        <v>185</v>
      </c>
      <c r="N23" s="1">
        <v>0</v>
      </c>
    </row>
    <row r="24" spans="2:14" ht="14.25" customHeight="1" x14ac:dyDescent="0.3">
      <c r="B24" s="1">
        <v>0.10199999999999999</v>
      </c>
      <c r="C24" s="4">
        <v>44293</v>
      </c>
      <c r="D24">
        <v>20</v>
      </c>
      <c r="E24" s="8">
        <f t="shared" si="0"/>
        <v>66340</v>
      </c>
      <c r="F24" s="5">
        <v>0.20299999999999999</v>
      </c>
      <c r="G24" s="1">
        <v>60</v>
      </c>
      <c r="H24" s="1" t="s">
        <v>175</v>
      </c>
      <c r="I24" s="1" t="s">
        <v>36</v>
      </c>
      <c r="J24" s="6">
        <v>5.0999999999999995E-3</v>
      </c>
      <c r="K24" s="2">
        <v>0.01</v>
      </c>
      <c r="L24" s="2" t="s">
        <v>169</v>
      </c>
      <c r="M24" s="1" t="s">
        <v>186</v>
      </c>
      <c r="N24" s="1">
        <v>0</v>
      </c>
    </row>
    <row r="25" spans="2:14" ht="14.25" customHeight="1" x14ac:dyDescent="0.3">
      <c r="B25" s="1">
        <v>0.85</v>
      </c>
      <c r="C25" s="4">
        <v>44293</v>
      </c>
      <c r="D25">
        <v>1600</v>
      </c>
      <c r="E25" s="8">
        <f t="shared" si="0"/>
        <v>633725</v>
      </c>
      <c r="F25" s="5">
        <v>0.20199999999999999</v>
      </c>
      <c r="G25" s="1">
        <v>60</v>
      </c>
      <c r="H25" s="1" t="s">
        <v>159</v>
      </c>
      <c r="I25" s="1" t="s">
        <v>36</v>
      </c>
      <c r="J25" s="6">
        <v>5.3125000000000004E-4</v>
      </c>
      <c r="K25" s="2">
        <v>0.01</v>
      </c>
      <c r="L25" s="2" t="s">
        <v>169</v>
      </c>
      <c r="M25" s="1" t="s">
        <v>187</v>
      </c>
      <c r="N25" s="1">
        <v>0</v>
      </c>
    </row>
    <row r="26" spans="2:14" ht="14.25" customHeight="1" x14ac:dyDescent="0.3">
      <c r="B26" s="1">
        <v>0.85</v>
      </c>
      <c r="C26" s="4">
        <v>44293</v>
      </c>
      <c r="D26">
        <v>160</v>
      </c>
      <c r="E26" s="12">
        <f t="shared" si="0"/>
        <v>56471</v>
      </c>
      <c r="F26" s="5">
        <v>0.18</v>
      </c>
      <c r="G26" s="1">
        <v>60</v>
      </c>
      <c r="H26" s="1" t="s">
        <v>159</v>
      </c>
      <c r="I26" s="1" t="s">
        <v>36</v>
      </c>
      <c r="J26" s="10">
        <v>5.3124999999999995E-3</v>
      </c>
      <c r="K26" s="2">
        <v>0.01</v>
      </c>
      <c r="L26" s="2" t="s">
        <v>169</v>
      </c>
      <c r="M26" s="1" t="s">
        <v>188</v>
      </c>
      <c r="N26" s="1">
        <v>5000</v>
      </c>
    </row>
    <row r="27" spans="2:14" ht="14.25" customHeight="1" x14ac:dyDescent="0.3">
      <c r="B27" s="1">
        <v>0.30099999999999999</v>
      </c>
      <c r="C27" s="4">
        <v>44293</v>
      </c>
      <c r="D27">
        <v>60</v>
      </c>
      <c r="E27" s="8">
        <f t="shared" si="0"/>
        <v>57807</v>
      </c>
      <c r="F27" s="7">
        <v>0.17399999999999999</v>
      </c>
      <c r="G27" s="1">
        <v>60</v>
      </c>
      <c r="H27" s="1" t="s">
        <v>172</v>
      </c>
      <c r="I27" s="1" t="s">
        <v>33</v>
      </c>
      <c r="J27" s="6">
        <v>5.0166666666666667E-3</v>
      </c>
      <c r="K27" s="2">
        <v>0.01</v>
      </c>
      <c r="L27" s="2" t="s">
        <v>169</v>
      </c>
      <c r="M27" s="1" t="s">
        <v>189</v>
      </c>
      <c r="N27" s="1">
        <v>5000</v>
      </c>
    </row>
    <row r="28" spans="2:14" ht="14.25" customHeight="1" x14ac:dyDescent="0.3">
      <c r="B28" s="1">
        <v>0.10199999999999999</v>
      </c>
      <c r="C28" s="4">
        <v>44293</v>
      </c>
      <c r="D28">
        <v>20</v>
      </c>
      <c r="E28" s="8">
        <f t="shared" si="0"/>
        <v>65359</v>
      </c>
      <c r="F28" s="7">
        <v>0.19999999999999998</v>
      </c>
      <c r="G28" s="1">
        <v>60</v>
      </c>
      <c r="H28" s="1" t="s">
        <v>175</v>
      </c>
      <c r="I28" s="1" t="s">
        <v>36</v>
      </c>
      <c r="J28" s="6">
        <v>5.0999999999999995E-3</v>
      </c>
      <c r="K28" s="2">
        <v>0.01</v>
      </c>
      <c r="L28" s="2" t="s">
        <v>169</v>
      </c>
      <c r="M28" s="1" t="s">
        <v>190</v>
      </c>
      <c r="N28" s="1">
        <v>5000</v>
      </c>
    </row>
    <row r="29" spans="2:14" ht="14.25" customHeight="1" x14ac:dyDescent="0.3">
      <c r="B29" s="1">
        <v>0.85</v>
      </c>
      <c r="C29" s="4">
        <v>44293</v>
      </c>
      <c r="D29">
        <v>1600</v>
      </c>
      <c r="E29" s="8">
        <f t="shared" si="0"/>
        <v>602353</v>
      </c>
      <c r="F29" s="5">
        <v>0.192</v>
      </c>
      <c r="G29" s="1">
        <v>60</v>
      </c>
      <c r="H29" s="1" t="s">
        <v>159</v>
      </c>
      <c r="I29" s="1" t="s">
        <v>36</v>
      </c>
      <c r="J29" s="6">
        <v>5.3125000000000004E-4</v>
      </c>
      <c r="K29" s="2">
        <v>0.01</v>
      </c>
      <c r="L29" s="2" t="s">
        <v>191</v>
      </c>
      <c r="M29" s="1" t="s">
        <v>192</v>
      </c>
      <c r="N29" s="1">
        <v>5000</v>
      </c>
    </row>
    <row r="30" spans="2:14" ht="14.25" customHeight="1" x14ac:dyDescent="0.3">
      <c r="B30" s="1">
        <v>0.46600000000000003</v>
      </c>
      <c r="C30" s="4">
        <v>44282</v>
      </c>
      <c r="D30">
        <v>1</v>
      </c>
      <c r="E30" s="8">
        <f t="shared" si="0"/>
        <v>1713</v>
      </c>
      <c r="F30" s="9">
        <v>0.47900000000000004</v>
      </c>
      <c r="G30" s="1">
        <v>60</v>
      </c>
      <c r="H30" s="1" t="s">
        <v>159</v>
      </c>
      <c r="I30" s="1" t="s">
        <v>33</v>
      </c>
      <c r="J30" s="1">
        <f>B30/D30</f>
        <v>0.46600000000000003</v>
      </c>
      <c r="K30" s="2">
        <v>0.01</v>
      </c>
      <c r="L30" s="2" t="s">
        <v>193</v>
      </c>
      <c r="M30" s="1" t="s">
        <v>194</v>
      </c>
      <c r="N30" s="1">
        <v>0</v>
      </c>
    </row>
    <row r="31" spans="2:14" ht="14.25" customHeight="1" x14ac:dyDescent="0.3">
      <c r="B31" s="1">
        <v>0.46600000000000003</v>
      </c>
      <c r="C31" s="4">
        <v>44282</v>
      </c>
      <c r="D31">
        <v>10</v>
      </c>
      <c r="E31" s="8">
        <f t="shared" si="0"/>
        <v>12697</v>
      </c>
      <c r="F31" s="9">
        <v>0.35499999999999998</v>
      </c>
      <c r="G31" s="1">
        <v>60</v>
      </c>
      <c r="H31" s="1" t="s">
        <v>159</v>
      </c>
      <c r="I31" s="1" t="s">
        <v>33</v>
      </c>
      <c r="J31" s="1">
        <f t="shared" ref="J31:J57" si="1">B31/D31</f>
        <v>4.6600000000000003E-2</v>
      </c>
      <c r="K31" s="2">
        <v>0.01</v>
      </c>
      <c r="L31" s="2" t="s">
        <v>193</v>
      </c>
      <c r="M31" s="1" t="s">
        <v>195</v>
      </c>
      <c r="N31" s="1">
        <v>0</v>
      </c>
    </row>
    <row r="32" spans="2:14" ht="14.25" customHeight="1" x14ac:dyDescent="0.3">
      <c r="B32" s="1">
        <v>0.46600000000000003</v>
      </c>
      <c r="C32" s="4">
        <v>44282</v>
      </c>
      <c r="D32">
        <v>100</v>
      </c>
      <c r="E32" s="12">
        <f t="shared" si="0"/>
        <v>116953</v>
      </c>
      <c r="F32" s="9">
        <v>0.32699999999999996</v>
      </c>
      <c r="G32" s="1">
        <v>60</v>
      </c>
      <c r="H32" s="1" t="s">
        <v>159</v>
      </c>
      <c r="I32" s="1" t="s">
        <v>33</v>
      </c>
      <c r="J32" s="11">
        <f t="shared" si="1"/>
        <v>4.6600000000000001E-3</v>
      </c>
      <c r="K32" s="2">
        <v>0.01</v>
      </c>
      <c r="L32" s="2" t="s">
        <v>193</v>
      </c>
      <c r="M32" s="1" t="s">
        <v>196</v>
      </c>
      <c r="N32" s="1">
        <v>0</v>
      </c>
    </row>
    <row r="33" spans="2:17" ht="14.25" customHeight="1" x14ac:dyDescent="0.3">
      <c r="B33" s="1">
        <v>0.46600000000000003</v>
      </c>
      <c r="C33" s="4">
        <v>44282</v>
      </c>
      <c r="D33">
        <v>1</v>
      </c>
      <c r="E33" s="8">
        <f t="shared" ref="E33:E34" si="2">ROUND((F33*1000)/(G33*J33*K33),0)</f>
        <v>1717</v>
      </c>
      <c r="F33" s="9">
        <v>0.48000000000000004</v>
      </c>
      <c r="G33" s="1">
        <v>60</v>
      </c>
      <c r="H33" s="1" t="s">
        <v>159</v>
      </c>
      <c r="I33" s="1" t="s">
        <v>33</v>
      </c>
      <c r="J33" s="1">
        <f t="shared" si="1"/>
        <v>0.46600000000000003</v>
      </c>
      <c r="K33" s="2">
        <v>0.01</v>
      </c>
      <c r="L33" s="2" t="s">
        <v>193</v>
      </c>
      <c r="M33" s="1" t="s">
        <v>197</v>
      </c>
      <c r="N33" s="1">
        <v>5000</v>
      </c>
    </row>
    <row r="34" spans="2:17" ht="14.25" customHeight="1" x14ac:dyDescent="0.3">
      <c r="B34" s="1">
        <v>0.46600000000000003</v>
      </c>
      <c r="C34" s="4">
        <v>44282</v>
      </c>
      <c r="D34">
        <v>10</v>
      </c>
      <c r="E34" s="8">
        <f t="shared" si="2"/>
        <v>8047</v>
      </c>
      <c r="F34" s="9">
        <v>0.22500000000000001</v>
      </c>
      <c r="G34" s="1">
        <v>60</v>
      </c>
      <c r="H34" s="1" t="s">
        <v>159</v>
      </c>
      <c r="I34" s="1" t="s">
        <v>33</v>
      </c>
      <c r="J34" s="1">
        <f t="shared" si="1"/>
        <v>4.6600000000000003E-2</v>
      </c>
      <c r="K34" s="2">
        <v>0.01</v>
      </c>
      <c r="L34" s="2" t="s">
        <v>193</v>
      </c>
      <c r="M34" s="1" t="s">
        <v>198</v>
      </c>
      <c r="N34" s="1">
        <v>5000</v>
      </c>
    </row>
    <row r="35" spans="2:17" ht="14.25" customHeight="1" x14ac:dyDescent="0.3">
      <c r="B35" s="1">
        <v>0.46600000000000003</v>
      </c>
      <c r="C35" s="4">
        <v>44282</v>
      </c>
      <c r="D35">
        <v>100</v>
      </c>
      <c r="E35" s="12">
        <f>ROUND((F35*1000)/(G35*J35*K35),0)</f>
        <v>43276</v>
      </c>
      <c r="F35" s="9">
        <v>0.121</v>
      </c>
      <c r="G35" s="1">
        <v>60</v>
      </c>
      <c r="H35" s="1" t="s">
        <v>159</v>
      </c>
      <c r="I35" s="1" t="s">
        <v>33</v>
      </c>
      <c r="J35" s="32">
        <f t="shared" si="1"/>
        <v>4.6600000000000001E-3</v>
      </c>
      <c r="K35" s="2">
        <v>0.01</v>
      </c>
      <c r="L35" s="2" t="s">
        <v>193</v>
      </c>
      <c r="M35" s="1" t="s">
        <v>199</v>
      </c>
      <c r="N35" s="1">
        <v>5000</v>
      </c>
    </row>
    <row r="36" spans="2:17" x14ac:dyDescent="0.3">
      <c r="B36" s="1">
        <v>0.85</v>
      </c>
      <c r="C36" s="4">
        <v>44296</v>
      </c>
      <c r="D36">
        <v>80</v>
      </c>
      <c r="E36" s="12">
        <f t="shared" ref="E36:E57" si="3">ROUND((F36*1000)/(G36*J36*K36),0)</f>
        <v>94902</v>
      </c>
      <c r="F36">
        <v>0.60499999999999998</v>
      </c>
      <c r="G36" s="1">
        <v>60</v>
      </c>
      <c r="H36" s="1" t="s">
        <v>159</v>
      </c>
      <c r="I36" s="1" t="s">
        <v>36</v>
      </c>
      <c r="J36" s="32">
        <f t="shared" si="1"/>
        <v>1.0624999999999999E-2</v>
      </c>
      <c r="K36" s="2">
        <v>0.01</v>
      </c>
      <c r="L36" s="2" t="s">
        <v>193</v>
      </c>
      <c r="M36" s="31" t="s">
        <v>200</v>
      </c>
      <c r="N36" s="1">
        <v>0</v>
      </c>
    </row>
    <row r="37" spans="2:17" x14ac:dyDescent="0.3">
      <c r="B37" s="1">
        <v>0.30099999999999999</v>
      </c>
      <c r="C37" s="4">
        <v>44296</v>
      </c>
      <c r="D37">
        <v>30</v>
      </c>
      <c r="E37" s="12">
        <f t="shared" si="3"/>
        <v>30731</v>
      </c>
      <c r="F37">
        <v>0.185</v>
      </c>
      <c r="G37" s="1">
        <v>60</v>
      </c>
      <c r="H37" s="1" t="s">
        <v>172</v>
      </c>
      <c r="I37" s="1" t="s">
        <v>33</v>
      </c>
      <c r="J37" s="32">
        <f t="shared" si="1"/>
        <v>1.0033333333333333E-2</v>
      </c>
      <c r="K37" s="2">
        <v>0.01</v>
      </c>
      <c r="L37" s="2" t="s">
        <v>193</v>
      </c>
      <c r="M37" s="31" t="s">
        <v>201</v>
      </c>
      <c r="N37" s="1">
        <v>0</v>
      </c>
      <c r="P37">
        <f>'[4]End point'!B27</f>
        <v>0.20299999999999999</v>
      </c>
      <c r="Q37">
        <f>'[4]End point'!C27</f>
        <v>0.57899999999999996</v>
      </c>
    </row>
    <row r="38" spans="2:17" x14ac:dyDescent="0.3">
      <c r="B38" s="1">
        <v>0.10199999999999999</v>
      </c>
      <c r="C38" s="4">
        <v>44296</v>
      </c>
      <c r="D38">
        <v>10</v>
      </c>
      <c r="E38" s="12">
        <f t="shared" si="3"/>
        <v>58824</v>
      </c>
      <c r="F38">
        <v>0.36000000000000004</v>
      </c>
      <c r="G38" s="1">
        <v>60</v>
      </c>
      <c r="H38" s="1" t="s">
        <v>175</v>
      </c>
      <c r="I38" s="1" t="s">
        <v>36</v>
      </c>
      <c r="J38" s="32">
        <f t="shared" si="1"/>
        <v>1.0199999999999999E-2</v>
      </c>
      <c r="K38" s="2">
        <v>0.01</v>
      </c>
      <c r="L38" s="2" t="s">
        <v>193</v>
      </c>
      <c r="M38" s="31" t="s">
        <v>180</v>
      </c>
      <c r="N38" s="1">
        <v>0</v>
      </c>
      <c r="P38">
        <f>'[4]End point'!B28</f>
        <v>0.14099999999999999</v>
      </c>
      <c r="Q38">
        <f>'[4]End point'!C28</f>
        <v>0.14799999999999999</v>
      </c>
    </row>
    <row r="39" spans="2:17" x14ac:dyDescent="0.3">
      <c r="B39" s="1">
        <v>0.85</v>
      </c>
      <c r="C39" s="4">
        <v>44296</v>
      </c>
      <c r="D39">
        <v>80</v>
      </c>
      <c r="E39" s="12">
        <f t="shared" si="3"/>
        <v>34510</v>
      </c>
      <c r="F39">
        <v>0.22</v>
      </c>
      <c r="G39" s="1">
        <v>60</v>
      </c>
      <c r="H39" s="1" t="s">
        <v>159</v>
      </c>
      <c r="I39" s="1" t="s">
        <v>36</v>
      </c>
      <c r="J39" s="32">
        <f t="shared" si="1"/>
        <v>1.0624999999999999E-2</v>
      </c>
      <c r="K39" s="2">
        <v>0.01</v>
      </c>
      <c r="L39" s="2" t="s">
        <v>193</v>
      </c>
      <c r="M39" s="31" t="s">
        <v>202</v>
      </c>
      <c r="N39" s="1">
        <v>5000</v>
      </c>
      <c r="P39">
        <f>'[4]End point'!B29</f>
        <v>0.14399999999999999</v>
      </c>
      <c r="Q39">
        <f>'[4]End point'!C29</f>
        <v>0.14099999999999999</v>
      </c>
    </row>
    <row r="40" spans="2:17" x14ac:dyDescent="0.3">
      <c r="B40" s="1">
        <v>0.30099999999999999</v>
      </c>
      <c r="C40" s="4">
        <v>44296</v>
      </c>
      <c r="D40">
        <v>30</v>
      </c>
      <c r="E40" s="12">
        <f t="shared" si="3"/>
        <v>30565</v>
      </c>
      <c r="F40">
        <v>0.184</v>
      </c>
      <c r="G40" s="1">
        <v>60</v>
      </c>
      <c r="H40" s="1" t="s">
        <v>172</v>
      </c>
      <c r="I40" s="1" t="s">
        <v>33</v>
      </c>
      <c r="J40" s="32">
        <f t="shared" si="1"/>
        <v>1.0033333333333333E-2</v>
      </c>
      <c r="K40" s="2">
        <v>0.01</v>
      </c>
      <c r="L40" s="2" t="s">
        <v>193</v>
      </c>
      <c r="M40" s="31" t="s">
        <v>203</v>
      </c>
      <c r="N40" s="1">
        <v>5000</v>
      </c>
      <c r="P40">
        <f>'[4]End point'!B30</f>
        <v>0.123</v>
      </c>
      <c r="Q40">
        <f>'[4]End point'!C30</f>
        <v>0.13200000000000001</v>
      </c>
    </row>
    <row r="41" spans="2:17" x14ac:dyDescent="0.3">
      <c r="B41" s="1">
        <v>0.10199999999999999</v>
      </c>
      <c r="C41" s="4">
        <v>44296</v>
      </c>
      <c r="D41">
        <v>10</v>
      </c>
      <c r="E41" s="12">
        <f t="shared" si="3"/>
        <v>26307</v>
      </c>
      <c r="F41">
        <v>0.161</v>
      </c>
      <c r="G41" s="1">
        <v>60</v>
      </c>
      <c r="H41" s="1" t="s">
        <v>175</v>
      </c>
      <c r="I41" s="1" t="s">
        <v>36</v>
      </c>
      <c r="J41" s="32">
        <f t="shared" si="1"/>
        <v>1.0199999999999999E-2</v>
      </c>
      <c r="K41" s="2">
        <v>0.01</v>
      </c>
      <c r="L41" s="2" t="s">
        <v>193</v>
      </c>
      <c r="M41" s="31" t="s">
        <v>178</v>
      </c>
      <c r="N41" s="1">
        <v>5000</v>
      </c>
    </row>
    <row r="42" spans="2:17" x14ac:dyDescent="0.3">
      <c r="B42" s="31">
        <v>0.55000000000000004</v>
      </c>
      <c r="C42" s="4">
        <v>44300</v>
      </c>
      <c r="D42">
        <v>80</v>
      </c>
      <c r="E42" s="12">
        <f t="shared" si="3"/>
        <v>140364</v>
      </c>
      <c r="F42">
        <v>0.57899999999999996</v>
      </c>
      <c r="G42" s="1">
        <v>60</v>
      </c>
      <c r="H42" s="1" t="s">
        <v>159</v>
      </c>
      <c r="I42" s="1" t="s">
        <v>36</v>
      </c>
      <c r="J42" s="32">
        <f t="shared" si="1"/>
        <v>6.8750000000000009E-3</v>
      </c>
      <c r="K42" s="2">
        <v>0.01</v>
      </c>
      <c r="L42" s="2" t="s">
        <v>204</v>
      </c>
      <c r="N42" s="31">
        <v>0</v>
      </c>
    </row>
    <row r="43" spans="2:17" x14ac:dyDescent="0.3">
      <c r="B43" s="31">
        <v>0.23</v>
      </c>
      <c r="C43" s="4">
        <v>44300</v>
      </c>
      <c r="D43">
        <v>30</v>
      </c>
      <c r="E43" s="12">
        <f t="shared" si="3"/>
        <v>32174</v>
      </c>
      <c r="F43">
        <v>0.14799999999999999</v>
      </c>
      <c r="G43" s="1">
        <v>60</v>
      </c>
      <c r="H43" s="1" t="s">
        <v>172</v>
      </c>
      <c r="I43" s="1" t="s">
        <v>33</v>
      </c>
      <c r="J43" s="32">
        <f t="shared" si="1"/>
        <v>7.6666666666666671E-3</v>
      </c>
      <c r="K43" s="2">
        <v>0.01</v>
      </c>
      <c r="L43" s="2" t="s">
        <v>204</v>
      </c>
      <c r="N43" s="31">
        <v>0</v>
      </c>
    </row>
    <row r="44" spans="2:17" x14ac:dyDescent="0.3">
      <c r="B44" s="31">
        <v>0.35</v>
      </c>
      <c r="C44" s="4">
        <v>44300</v>
      </c>
      <c r="D44">
        <v>10</v>
      </c>
      <c r="E44" s="12">
        <f t="shared" si="3"/>
        <v>6714</v>
      </c>
      <c r="F44">
        <v>0.14099999999999999</v>
      </c>
      <c r="G44" s="1">
        <v>60</v>
      </c>
      <c r="H44" s="1" t="s">
        <v>175</v>
      </c>
      <c r="I44" s="1" t="s">
        <v>36</v>
      </c>
      <c r="J44" s="32">
        <f t="shared" si="1"/>
        <v>3.4999999999999996E-2</v>
      </c>
      <c r="K44" s="2">
        <v>0.01</v>
      </c>
      <c r="L44" s="2" t="s">
        <v>204</v>
      </c>
      <c r="N44" s="31">
        <v>0</v>
      </c>
    </row>
    <row r="45" spans="2:17" x14ac:dyDescent="0.3">
      <c r="B45" s="31">
        <v>0.32</v>
      </c>
      <c r="C45" s="4">
        <v>44300</v>
      </c>
      <c r="D45">
        <v>28</v>
      </c>
      <c r="E45" s="12">
        <f t="shared" si="3"/>
        <v>19250</v>
      </c>
      <c r="F45">
        <v>0.13200000000000001</v>
      </c>
      <c r="G45" s="1">
        <v>60</v>
      </c>
      <c r="H45" s="31" t="s">
        <v>205</v>
      </c>
      <c r="I45" s="31" t="s">
        <v>36</v>
      </c>
      <c r="J45" s="32">
        <f t="shared" si="1"/>
        <v>1.1428571428571429E-2</v>
      </c>
      <c r="K45" s="2">
        <v>0.01</v>
      </c>
      <c r="L45" s="2" t="s">
        <v>204</v>
      </c>
      <c r="N45" s="31">
        <v>0</v>
      </c>
    </row>
    <row r="46" spans="2:17" x14ac:dyDescent="0.3">
      <c r="B46" s="31">
        <v>0.55000000000000004</v>
      </c>
      <c r="C46" s="4">
        <v>44300</v>
      </c>
      <c r="D46">
        <v>80</v>
      </c>
      <c r="E46" s="12">
        <f t="shared" si="3"/>
        <v>49212</v>
      </c>
      <c r="F46">
        <v>0.20300000000000001</v>
      </c>
      <c r="G46" s="1">
        <v>60</v>
      </c>
      <c r="H46" s="1" t="s">
        <v>159</v>
      </c>
      <c r="I46" s="1" t="s">
        <v>36</v>
      </c>
      <c r="J46" s="32">
        <f t="shared" si="1"/>
        <v>6.8750000000000009E-3</v>
      </c>
      <c r="K46" s="2">
        <v>0.01</v>
      </c>
      <c r="L46" s="2" t="s">
        <v>204</v>
      </c>
      <c r="N46" s="31">
        <v>5000</v>
      </c>
    </row>
    <row r="47" spans="2:17" x14ac:dyDescent="0.3">
      <c r="B47" s="31">
        <v>0.23</v>
      </c>
      <c r="C47" s="4">
        <v>44300</v>
      </c>
      <c r="D47">
        <v>30</v>
      </c>
      <c r="E47" s="12">
        <f t="shared" si="3"/>
        <v>30652</v>
      </c>
      <c r="F47">
        <v>0.14099999999999999</v>
      </c>
      <c r="G47" s="1">
        <v>60</v>
      </c>
      <c r="H47" s="1" t="s">
        <v>172</v>
      </c>
      <c r="I47" s="1" t="s">
        <v>33</v>
      </c>
      <c r="J47" s="32">
        <f t="shared" si="1"/>
        <v>7.6666666666666671E-3</v>
      </c>
      <c r="K47" s="2">
        <v>0.01</v>
      </c>
      <c r="L47" s="2" t="s">
        <v>204</v>
      </c>
      <c r="N47" s="31">
        <v>5000</v>
      </c>
    </row>
    <row r="48" spans="2:17" x14ac:dyDescent="0.3">
      <c r="B48" s="31">
        <v>0.35</v>
      </c>
      <c r="C48" s="4">
        <v>44300</v>
      </c>
      <c r="D48">
        <v>10</v>
      </c>
      <c r="E48" s="12">
        <f t="shared" si="3"/>
        <v>6667</v>
      </c>
      <c r="F48">
        <v>0.14000000000000001</v>
      </c>
      <c r="G48" s="1">
        <v>60</v>
      </c>
      <c r="H48" s="1" t="s">
        <v>175</v>
      </c>
      <c r="I48" s="1" t="s">
        <v>36</v>
      </c>
      <c r="J48" s="32">
        <f t="shared" si="1"/>
        <v>3.4999999999999996E-2</v>
      </c>
      <c r="K48" s="2">
        <v>0.01</v>
      </c>
      <c r="L48" s="2" t="s">
        <v>204</v>
      </c>
      <c r="N48" s="31">
        <v>5000</v>
      </c>
    </row>
    <row r="49" spans="2:16" x14ac:dyDescent="0.3">
      <c r="B49" s="31">
        <v>0.32</v>
      </c>
      <c r="C49" s="4">
        <v>44300</v>
      </c>
      <c r="D49">
        <v>28</v>
      </c>
      <c r="E49" s="12">
        <f t="shared" si="3"/>
        <v>17938</v>
      </c>
      <c r="F49">
        <v>0.123</v>
      </c>
      <c r="G49" s="1">
        <v>60</v>
      </c>
      <c r="H49" s="31" t="s">
        <v>205</v>
      </c>
      <c r="I49" s="31" t="s">
        <v>36</v>
      </c>
      <c r="J49" s="32">
        <f t="shared" si="1"/>
        <v>1.1428571428571429E-2</v>
      </c>
      <c r="K49" s="2">
        <v>0.01</v>
      </c>
      <c r="L49" s="2" t="s">
        <v>204</v>
      </c>
      <c r="N49" s="31">
        <v>5000</v>
      </c>
    </row>
    <row r="50" spans="2:16" x14ac:dyDescent="0.3">
      <c r="B50" s="31">
        <v>0.55000000000000004</v>
      </c>
      <c r="C50" s="4">
        <v>44306</v>
      </c>
      <c r="D50">
        <v>22</v>
      </c>
      <c r="E50" s="12">
        <f t="shared" si="3"/>
        <v>51467</v>
      </c>
      <c r="F50">
        <v>0.77200000000000002</v>
      </c>
      <c r="G50" s="1">
        <v>60</v>
      </c>
      <c r="H50" s="1" t="s">
        <v>159</v>
      </c>
      <c r="I50" s="1" t="s">
        <v>36</v>
      </c>
      <c r="J50" s="33">
        <f t="shared" si="1"/>
        <v>2.5000000000000001E-2</v>
      </c>
      <c r="K50" s="2">
        <v>0.01</v>
      </c>
      <c r="L50" s="2" t="s">
        <v>204</v>
      </c>
      <c r="N50" s="31">
        <v>0</v>
      </c>
      <c r="O50">
        <v>0.77200000000000002</v>
      </c>
      <c r="P50">
        <v>0.30200000000000005</v>
      </c>
    </row>
    <row r="51" spans="2:16" x14ac:dyDescent="0.3">
      <c r="B51" s="31">
        <v>0.23</v>
      </c>
      <c r="C51" s="4">
        <v>44306</v>
      </c>
      <c r="D51">
        <v>10</v>
      </c>
      <c r="E51" s="12">
        <f t="shared" si="3"/>
        <v>8623</v>
      </c>
      <c r="F51">
        <v>0.11899999999999999</v>
      </c>
      <c r="G51" s="1">
        <v>60</v>
      </c>
      <c r="H51" s="1" t="s">
        <v>172</v>
      </c>
      <c r="I51" s="1" t="s">
        <v>33</v>
      </c>
      <c r="J51" s="33">
        <f t="shared" si="1"/>
        <v>2.3E-2</v>
      </c>
      <c r="K51" s="2">
        <v>0.01</v>
      </c>
      <c r="L51" s="2" t="s">
        <v>204</v>
      </c>
      <c r="N51" s="31">
        <v>0</v>
      </c>
      <c r="O51">
        <v>0.11899999999999999</v>
      </c>
      <c r="P51">
        <v>0.17299999999999999</v>
      </c>
    </row>
    <row r="52" spans="2:16" x14ac:dyDescent="0.3">
      <c r="B52" s="31">
        <v>0.35</v>
      </c>
      <c r="C52" s="4">
        <v>44306</v>
      </c>
      <c r="D52">
        <v>14</v>
      </c>
      <c r="E52" s="12">
        <f t="shared" si="3"/>
        <v>3200</v>
      </c>
      <c r="F52">
        <v>4.8000000000000001E-2</v>
      </c>
      <c r="G52" s="1">
        <v>60</v>
      </c>
      <c r="H52" s="1" t="s">
        <v>175</v>
      </c>
      <c r="I52" s="1" t="s">
        <v>36</v>
      </c>
      <c r="J52" s="33">
        <f t="shared" si="1"/>
        <v>2.4999999999999998E-2</v>
      </c>
      <c r="K52" s="2">
        <v>0.01</v>
      </c>
      <c r="L52" s="2" t="s">
        <v>204</v>
      </c>
      <c r="N52" s="31">
        <v>0</v>
      </c>
      <c r="O52">
        <v>4.8000000000000001E-2</v>
      </c>
      <c r="P52">
        <v>9.9000000000000005E-2</v>
      </c>
    </row>
    <row r="53" spans="2:16" x14ac:dyDescent="0.3">
      <c r="B53" s="31">
        <v>0.32</v>
      </c>
      <c r="C53" s="4">
        <v>44306</v>
      </c>
      <c r="D53">
        <v>13</v>
      </c>
      <c r="E53" s="12">
        <f t="shared" si="3"/>
        <v>2505</v>
      </c>
      <c r="F53">
        <v>3.7000000000000005E-2</v>
      </c>
      <c r="G53" s="1">
        <v>60</v>
      </c>
      <c r="H53" s="31" t="s">
        <v>205</v>
      </c>
      <c r="I53" s="31" t="s">
        <v>36</v>
      </c>
      <c r="J53" s="33">
        <f t="shared" si="1"/>
        <v>2.4615384615384615E-2</v>
      </c>
      <c r="K53" s="2">
        <v>0.01</v>
      </c>
      <c r="L53" s="2" t="s">
        <v>204</v>
      </c>
      <c r="N53" s="31">
        <v>0</v>
      </c>
      <c r="O53">
        <v>3.7000000000000005E-2</v>
      </c>
      <c r="P53">
        <v>0.10200000000000001</v>
      </c>
    </row>
    <row r="54" spans="2:16" x14ac:dyDescent="0.3">
      <c r="B54" s="31">
        <v>0.55000000000000004</v>
      </c>
      <c r="C54" s="4">
        <v>44306</v>
      </c>
      <c r="D54">
        <v>22</v>
      </c>
      <c r="E54" s="12">
        <f t="shared" si="3"/>
        <v>20133</v>
      </c>
      <c r="F54">
        <v>0.30200000000000005</v>
      </c>
      <c r="G54" s="1">
        <v>60</v>
      </c>
      <c r="H54" s="1" t="s">
        <v>159</v>
      </c>
      <c r="I54" s="1" t="s">
        <v>36</v>
      </c>
      <c r="J54" s="33">
        <f t="shared" si="1"/>
        <v>2.5000000000000001E-2</v>
      </c>
      <c r="K54" s="2">
        <v>0.01</v>
      </c>
      <c r="L54" s="2" t="s">
        <v>204</v>
      </c>
      <c r="N54" s="31">
        <v>5000</v>
      </c>
    </row>
    <row r="55" spans="2:16" x14ac:dyDescent="0.3">
      <c r="B55" s="31">
        <v>0.23</v>
      </c>
      <c r="C55" s="4">
        <v>44306</v>
      </c>
      <c r="D55">
        <v>10</v>
      </c>
      <c r="E55" s="12">
        <f t="shared" si="3"/>
        <v>12536</v>
      </c>
      <c r="F55">
        <v>0.17299999999999999</v>
      </c>
      <c r="G55" s="1">
        <v>60</v>
      </c>
      <c r="H55" s="1" t="s">
        <v>172</v>
      </c>
      <c r="I55" s="1" t="s">
        <v>33</v>
      </c>
      <c r="J55" s="33">
        <f t="shared" si="1"/>
        <v>2.3E-2</v>
      </c>
      <c r="K55" s="2">
        <v>0.01</v>
      </c>
      <c r="L55" s="2" t="s">
        <v>204</v>
      </c>
      <c r="N55" s="31">
        <v>5000</v>
      </c>
    </row>
    <row r="56" spans="2:16" x14ac:dyDescent="0.3">
      <c r="B56" s="31">
        <v>0.35</v>
      </c>
      <c r="C56" s="4">
        <v>44306</v>
      </c>
      <c r="D56">
        <v>14</v>
      </c>
      <c r="E56" s="12">
        <f t="shared" si="3"/>
        <v>6600</v>
      </c>
      <c r="F56">
        <v>9.9000000000000005E-2</v>
      </c>
      <c r="G56" s="1">
        <v>60</v>
      </c>
      <c r="H56" s="1" t="s">
        <v>175</v>
      </c>
      <c r="I56" s="1" t="s">
        <v>36</v>
      </c>
      <c r="J56" s="33">
        <f t="shared" si="1"/>
        <v>2.4999999999999998E-2</v>
      </c>
      <c r="K56" s="2">
        <v>0.01</v>
      </c>
      <c r="L56" s="2" t="s">
        <v>204</v>
      </c>
      <c r="N56" s="31">
        <v>5000</v>
      </c>
    </row>
    <row r="57" spans="2:16" x14ac:dyDescent="0.3">
      <c r="B57" s="31">
        <v>0.32</v>
      </c>
      <c r="C57" s="4">
        <v>44306</v>
      </c>
      <c r="D57">
        <v>13</v>
      </c>
      <c r="E57" s="12">
        <f t="shared" si="3"/>
        <v>6906</v>
      </c>
      <c r="F57">
        <v>0.10200000000000001</v>
      </c>
      <c r="G57" s="1">
        <v>60</v>
      </c>
      <c r="H57" s="31" t="s">
        <v>205</v>
      </c>
      <c r="I57" s="31" t="s">
        <v>36</v>
      </c>
      <c r="J57" s="33">
        <f t="shared" si="1"/>
        <v>2.4615384615384615E-2</v>
      </c>
      <c r="K57" s="2">
        <v>0.01</v>
      </c>
      <c r="L57" s="2" t="s">
        <v>204</v>
      </c>
      <c r="N57" s="31">
        <v>5000</v>
      </c>
    </row>
    <row r="58" spans="2:16" x14ac:dyDescent="0.3">
      <c r="B58" s="31">
        <v>0.49</v>
      </c>
      <c r="C58" s="51">
        <v>44322</v>
      </c>
      <c r="D58">
        <v>49</v>
      </c>
      <c r="E58" s="11">
        <f t="shared" ref="E58:E67" si="4">ROUND((F58*1000)/(G58*J58*K58),0)</f>
        <v>245833</v>
      </c>
      <c r="F58">
        <v>1.4750000000000001</v>
      </c>
      <c r="G58" s="1">
        <v>60</v>
      </c>
      <c r="H58" s="1" t="s">
        <v>159</v>
      </c>
      <c r="I58" s="1" t="s">
        <v>36</v>
      </c>
      <c r="J58" s="33">
        <f t="shared" ref="J58:J69" si="5">B58/D58</f>
        <v>0.01</v>
      </c>
      <c r="K58" s="2">
        <v>0.01</v>
      </c>
      <c r="L58" s="2" t="s">
        <v>204</v>
      </c>
      <c r="N58" s="31">
        <v>0</v>
      </c>
    </row>
    <row r="59" spans="2:16" x14ac:dyDescent="0.3">
      <c r="B59" s="31">
        <v>5.8000000000000003E-2</v>
      </c>
      <c r="C59" s="51">
        <v>44322</v>
      </c>
      <c r="D59">
        <v>6</v>
      </c>
      <c r="E59" s="11">
        <f t="shared" si="4"/>
        <v>46207</v>
      </c>
      <c r="F59">
        <v>0.26800000000000002</v>
      </c>
      <c r="G59" s="1">
        <v>60</v>
      </c>
      <c r="H59" s="1" t="s">
        <v>172</v>
      </c>
      <c r="I59" s="61" t="s">
        <v>36</v>
      </c>
      <c r="J59" s="33">
        <f t="shared" si="5"/>
        <v>9.6666666666666672E-3</v>
      </c>
      <c r="K59" s="2">
        <v>0.01</v>
      </c>
      <c r="L59" s="2" t="s">
        <v>204</v>
      </c>
      <c r="N59" s="31">
        <v>0</v>
      </c>
    </row>
    <row r="60" spans="2:16" x14ac:dyDescent="0.3">
      <c r="B60" s="31">
        <v>0.14000000000000001</v>
      </c>
      <c r="C60" s="51">
        <v>44322</v>
      </c>
      <c r="D60">
        <v>14</v>
      </c>
      <c r="E60" s="11">
        <f t="shared" si="4"/>
        <v>38000</v>
      </c>
      <c r="F60">
        <v>0.22800000000000001</v>
      </c>
      <c r="G60" s="1">
        <v>60</v>
      </c>
      <c r="H60" s="1" t="s">
        <v>175</v>
      </c>
      <c r="I60" s="1" t="s">
        <v>36</v>
      </c>
      <c r="J60" s="33">
        <f t="shared" si="5"/>
        <v>0.01</v>
      </c>
      <c r="K60" s="2">
        <v>0.01</v>
      </c>
      <c r="L60" s="2" t="s">
        <v>204</v>
      </c>
      <c r="N60" s="31">
        <v>0</v>
      </c>
    </row>
    <row r="61" spans="2:16" x14ac:dyDescent="0.3">
      <c r="B61" s="61">
        <v>0.49</v>
      </c>
      <c r="C61" s="51">
        <v>44322</v>
      </c>
      <c r="D61">
        <v>49</v>
      </c>
      <c r="E61" s="11">
        <f t="shared" si="4"/>
        <v>22167</v>
      </c>
      <c r="F61">
        <v>0.13300000000000001</v>
      </c>
      <c r="G61" s="1">
        <v>60</v>
      </c>
      <c r="H61" s="1" t="s">
        <v>159</v>
      </c>
      <c r="I61" s="61" t="s">
        <v>36</v>
      </c>
      <c r="J61" s="33">
        <f t="shared" si="5"/>
        <v>0.01</v>
      </c>
      <c r="K61" s="2">
        <v>0.01</v>
      </c>
      <c r="L61" s="2" t="s">
        <v>204</v>
      </c>
      <c r="N61" s="31">
        <v>150</v>
      </c>
    </row>
    <row r="62" spans="2:16" x14ac:dyDescent="0.3">
      <c r="B62" s="61">
        <v>5.8000000000000003E-2</v>
      </c>
      <c r="C62" s="51">
        <v>44322</v>
      </c>
      <c r="D62">
        <v>6</v>
      </c>
      <c r="E62" s="11">
        <f t="shared" si="4"/>
        <v>7241</v>
      </c>
      <c r="F62">
        <v>4.1999999999999996E-2</v>
      </c>
      <c r="G62" s="1">
        <v>60</v>
      </c>
      <c r="H62" s="1" t="s">
        <v>172</v>
      </c>
      <c r="I62" s="1" t="s">
        <v>36</v>
      </c>
      <c r="J62" s="33">
        <f t="shared" si="5"/>
        <v>9.6666666666666672E-3</v>
      </c>
      <c r="K62" s="2">
        <v>0.01</v>
      </c>
      <c r="L62" s="2" t="s">
        <v>204</v>
      </c>
      <c r="N62" s="31">
        <v>150</v>
      </c>
    </row>
    <row r="63" spans="2:16" x14ac:dyDescent="0.3">
      <c r="B63" s="61">
        <v>0.14000000000000001</v>
      </c>
      <c r="C63" s="51">
        <v>44322</v>
      </c>
      <c r="D63">
        <v>14</v>
      </c>
      <c r="E63" s="11">
        <f t="shared" si="4"/>
        <v>5667</v>
      </c>
      <c r="F63">
        <v>3.4000000000000002E-2</v>
      </c>
      <c r="G63" s="1">
        <v>60</v>
      </c>
      <c r="H63" s="1" t="s">
        <v>175</v>
      </c>
      <c r="I63" s="61" t="s">
        <v>36</v>
      </c>
      <c r="J63" s="33">
        <f t="shared" si="5"/>
        <v>0.01</v>
      </c>
      <c r="K63" s="2">
        <v>0.01</v>
      </c>
      <c r="L63" s="2" t="s">
        <v>204</v>
      </c>
      <c r="N63" s="31">
        <v>150</v>
      </c>
    </row>
    <row r="64" spans="2:16" x14ac:dyDescent="0.3">
      <c r="B64" s="61">
        <v>0.49</v>
      </c>
      <c r="C64" s="51">
        <v>44322</v>
      </c>
      <c r="D64">
        <v>49</v>
      </c>
      <c r="E64" s="11">
        <f t="shared" si="4"/>
        <v>14000</v>
      </c>
      <c r="F64">
        <v>8.4000000000000005E-2</v>
      </c>
      <c r="G64" s="1">
        <v>60</v>
      </c>
      <c r="H64" s="1" t="s">
        <v>159</v>
      </c>
      <c r="I64" s="1" t="s">
        <v>36</v>
      </c>
      <c r="J64" s="33">
        <f t="shared" si="5"/>
        <v>0.01</v>
      </c>
      <c r="K64" s="2">
        <v>0.01</v>
      </c>
      <c r="L64" s="2" t="s">
        <v>204</v>
      </c>
      <c r="N64" s="31">
        <v>5000</v>
      </c>
    </row>
    <row r="65" spans="1:14" x14ac:dyDescent="0.3">
      <c r="B65" s="61">
        <v>5.8000000000000003E-2</v>
      </c>
      <c r="C65" s="51">
        <v>44322</v>
      </c>
      <c r="D65">
        <v>6</v>
      </c>
      <c r="E65" s="11">
        <f t="shared" si="4"/>
        <v>28103</v>
      </c>
      <c r="F65">
        <v>0.16300000000000001</v>
      </c>
      <c r="G65" s="1">
        <v>60</v>
      </c>
      <c r="H65" s="1" t="s">
        <v>172</v>
      </c>
      <c r="I65" s="61" t="s">
        <v>36</v>
      </c>
      <c r="J65" s="33">
        <f t="shared" si="5"/>
        <v>9.6666666666666672E-3</v>
      </c>
      <c r="K65" s="2">
        <v>0.01</v>
      </c>
      <c r="L65" s="2" t="s">
        <v>204</v>
      </c>
      <c r="N65" s="31">
        <v>5000</v>
      </c>
    </row>
    <row r="66" spans="1:14" ht="15" thickBot="1" x14ac:dyDescent="0.35">
      <c r="B66" s="61">
        <v>0.14000000000000001</v>
      </c>
      <c r="C66" s="51">
        <v>44322</v>
      </c>
      <c r="D66">
        <v>14</v>
      </c>
      <c r="E66" s="62">
        <f t="shared" si="4"/>
        <v>26000</v>
      </c>
      <c r="F66">
        <v>0.156</v>
      </c>
      <c r="G66" s="63">
        <v>60</v>
      </c>
      <c r="H66" s="63" t="s">
        <v>175</v>
      </c>
      <c r="I66" s="63" t="s">
        <v>36</v>
      </c>
      <c r="J66" s="33">
        <f t="shared" si="5"/>
        <v>0.01</v>
      </c>
      <c r="K66" s="64">
        <v>0.01</v>
      </c>
      <c r="L66" s="64" t="s">
        <v>204</v>
      </c>
      <c r="N66" s="31">
        <v>5000</v>
      </c>
    </row>
    <row r="67" spans="1:14" x14ac:dyDescent="0.3">
      <c r="A67" s="65" t="s">
        <v>206</v>
      </c>
      <c r="B67" s="66">
        <v>0.48699999999999999</v>
      </c>
      <c r="C67" s="67">
        <v>44322</v>
      </c>
      <c r="D67" s="68">
        <v>49</v>
      </c>
      <c r="E67" s="69">
        <f t="shared" si="4"/>
        <v>209114</v>
      </c>
      <c r="F67" s="68">
        <v>1.2470000000000001</v>
      </c>
      <c r="G67" s="70">
        <v>60</v>
      </c>
      <c r="H67" s="70" t="s">
        <v>159</v>
      </c>
      <c r="I67" s="70" t="s">
        <v>36</v>
      </c>
      <c r="J67" s="71">
        <f t="shared" si="5"/>
        <v>9.9387755102040808E-3</v>
      </c>
      <c r="K67" s="72">
        <v>0.01</v>
      </c>
      <c r="L67" s="73" t="s">
        <v>207</v>
      </c>
    </row>
    <row r="68" spans="1:14" x14ac:dyDescent="0.3">
      <c r="A68" s="74" t="s">
        <v>206</v>
      </c>
      <c r="B68" s="31">
        <v>5.6000000000000001E-2</v>
      </c>
      <c r="C68" s="75">
        <v>44322</v>
      </c>
      <c r="D68" s="52">
        <v>6</v>
      </c>
      <c r="E68" s="11">
        <f t="shared" ref="E68:E131" si="6">ROUND((F68*1000)/(G68*J68*K68),0)</f>
        <v>7143</v>
      </c>
      <c r="F68" s="52">
        <v>4.0000000000000008E-2</v>
      </c>
      <c r="G68" s="1">
        <v>60</v>
      </c>
      <c r="H68" s="1" t="s">
        <v>172</v>
      </c>
      <c r="I68" s="1" t="s">
        <v>36</v>
      </c>
      <c r="J68" s="33">
        <f t="shared" si="5"/>
        <v>9.3333333333333341E-3</v>
      </c>
      <c r="K68" s="2">
        <v>0.01</v>
      </c>
      <c r="L68" s="76" t="s">
        <v>207</v>
      </c>
    </row>
    <row r="69" spans="1:14" x14ac:dyDescent="0.3">
      <c r="A69" s="74" t="s">
        <v>206</v>
      </c>
      <c r="B69" s="31">
        <v>0.14000000000000001</v>
      </c>
      <c r="C69" s="75">
        <v>44322</v>
      </c>
      <c r="D69" s="52">
        <v>14</v>
      </c>
      <c r="E69" s="11">
        <f t="shared" si="6"/>
        <v>167</v>
      </c>
      <c r="F69" s="52">
        <v>1.0000000000000009E-3</v>
      </c>
      <c r="G69" s="1">
        <v>60</v>
      </c>
      <c r="H69" s="1" t="s">
        <v>175</v>
      </c>
      <c r="I69" s="1" t="s">
        <v>36</v>
      </c>
      <c r="J69" s="33">
        <f t="shared" si="5"/>
        <v>0.01</v>
      </c>
      <c r="K69" s="2">
        <v>0.01</v>
      </c>
      <c r="L69" s="76" t="s">
        <v>207</v>
      </c>
    </row>
    <row r="70" spans="1:14" x14ac:dyDescent="0.3">
      <c r="A70" s="74" t="s">
        <v>206</v>
      </c>
      <c r="B70" s="31">
        <v>0.48699999999999999</v>
      </c>
      <c r="C70" s="75">
        <v>44322</v>
      </c>
      <c r="D70" s="52">
        <v>49</v>
      </c>
      <c r="E70" s="11">
        <f t="shared" si="6"/>
        <v>17943</v>
      </c>
      <c r="F70" s="52">
        <v>0.10700000000000001</v>
      </c>
      <c r="G70" s="1">
        <v>60</v>
      </c>
      <c r="H70" s="1" t="s">
        <v>159</v>
      </c>
      <c r="I70" s="1" t="s">
        <v>36</v>
      </c>
      <c r="J70" s="33">
        <f t="shared" ref="J70:J133" si="7">B70/D70</f>
        <v>9.9387755102040808E-3</v>
      </c>
      <c r="K70" s="2">
        <v>0.01</v>
      </c>
      <c r="L70" s="76" t="s">
        <v>207</v>
      </c>
    </row>
    <row r="71" spans="1:14" x14ac:dyDescent="0.3">
      <c r="A71" s="74" t="s">
        <v>206</v>
      </c>
      <c r="B71" s="31">
        <v>5.6000000000000001E-2</v>
      </c>
      <c r="C71" s="75">
        <v>44322</v>
      </c>
      <c r="D71" s="52">
        <v>6</v>
      </c>
      <c r="E71" s="11">
        <f t="shared" si="6"/>
        <v>2857</v>
      </c>
      <c r="F71" s="52">
        <v>1.6E-2</v>
      </c>
      <c r="G71" s="1">
        <v>60</v>
      </c>
      <c r="H71" s="1" t="s">
        <v>172</v>
      </c>
      <c r="I71" s="1" t="s">
        <v>36</v>
      </c>
      <c r="J71" s="33">
        <f t="shared" si="7"/>
        <v>9.3333333333333341E-3</v>
      </c>
      <c r="K71" s="2">
        <v>0.01</v>
      </c>
      <c r="L71" s="76" t="s">
        <v>207</v>
      </c>
    </row>
    <row r="72" spans="1:14" x14ac:dyDescent="0.3">
      <c r="A72" s="74" t="s">
        <v>206</v>
      </c>
      <c r="B72" s="31">
        <v>0.14000000000000001</v>
      </c>
      <c r="C72" s="75">
        <v>44322</v>
      </c>
      <c r="D72" s="52">
        <v>14</v>
      </c>
      <c r="E72" s="11">
        <f t="shared" si="6"/>
        <v>1500</v>
      </c>
      <c r="F72" s="52">
        <v>9.000000000000008E-3</v>
      </c>
      <c r="G72" s="1">
        <v>60</v>
      </c>
      <c r="H72" s="1" t="s">
        <v>175</v>
      </c>
      <c r="I72" s="1" t="s">
        <v>36</v>
      </c>
      <c r="J72" s="33">
        <f t="shared" si="7"/>
        <v>0.01</v>
      </c>
      <c r="K72" s="2">
        <v>0.01</v>
      </c>
      <c r="L72" s="76" t="s">
        <v>207</v>
      </c>
    </row>
    <row r="73" spans="1:14" x14ac:dyDescent="0.3">
      <c r="A73" s="74" t="s">
        <v>206</v>
      </c>
      <c r="B73" s="31">
        <v>0.48699999999999999</v>
      </c>
      <c r="C73" s="75">
        <v>44322</v>
      </c>
      <c r="D73" s="52">
        <v>49</v>
      </c>
      <c r="E73" s="11">
        <f t="shared" si="6"/>
        <v>-14086</v>
      </c>
      <c r="F73" s="52">
        <v>-8.4000000000000005E-2</v>
      </c>
      <c r="G73" s="1">
        <v>60</v>
      </c>
      <c r="H73" s="1" t="s">
        <v>159</v>
      </c>
      <c r="I73" s="1" t="s">
        <v>36</v>
      </c>
      <c r="J73" s="33">
        <f t="shared" si="7"/>
        <v>9.9387755102040808E-3</v>
      </c>
      <c r="K73" s="2">
        <v>0.01</v>
      </c>
      <c r="L73" s="76" t="s">
        <v>207</v>
      </c>
    </row>
    <row r="74" spans="1:14" x14ac:dyDescent="0.3">
      <c r="A74" s="74" t="s">
        <v>206</v>
      </c>
      <c r="B74" s="31">
        <v>5.6000000000000001E-2</v>
      </c>
      <c r="C74" s="75">
        <v>44322</v>
      </c>
      <c r="D74" s="52">
        <v>6</v>
      </c>
      <c r="E74" s="11">
        <f t="shared" si="6"/>
        <v>-893</v>
      </c>
      <c r="F74" s="52">
        <v>-5.0000000000000044E-3</v>
      </c>
      <c r="G74" s="1">
        <v>60</v>
      </c>
      <c r="H74" s="1" t="s">
        <v>172</v>
      </c>
      <c r="I74" s="1" t="s">
        <v>36</v>
      </c>
      <c r="J74" s="33">
        <f t="shared" si="7"/>
        <v>9.3333333333333341E-3</v>
      </c>
      <c r="K74" s="2">
        <v>0.01</v>
      </c>
      <c r="L74" s="76" t="s">
        <v>207</v>
      </c>
    </row>
    <row r="75" spans="1:14" ht="15" thickBot="1" x14ac:dyDescent="0.35">
      <c r="A75" s="77" t="s">
        <v>206</v>
      </c>
      <c r="B75" s="78">
        <v>0.14000000000000001</v>
      </c>
      <c r="C75" s="79">
        <v>44322</v>
      </c>
      <c r="D75" s="80">
        <v>14</v>
      </c>
      <c r="E75" s="81">
        <f t="shared" si="6"/>
        <v>-1833</v>
      </c>
      <c r="F75" s="80">
        <v>-1.100000000000001E-2</v>
      </c>
      <c r="G75" s="82">
        <v>60</v>
      </c>
      <c r="H75" s="82" t="s">
        <v>175</v>
      </c>
      <c r="I75" s="82" t="s">
        <v>36</v>
      </c>
      <c r="J75" s="83">
        <f t="shared" si="7"/>
        <v>0.01</v>
      </c>
      <c r="K75" s="84">
        <v>0.01</v>
      </c>
      <c r="L75" s="85" t="s">
        <v>207</v>
      </c>
    </row>
    <row r="76" spans="1:14" ht="15" thickBot="1" x14ac:dyDescent="0.35">
      <c r="B76" s="31">
        <v>0.40799999999999997</v>
      </c>
      <c r="C76" s="51">
        <v>44334</v>
      </c>
      <c r="D76" s="88">
        <v>40</v>
      </c>
      <c r="E76" s="81">
        <f t="shared" si="6"/>
        <v>149346</v>
      </c>
      <c r="F76">
        <v>0.91400000000000003</v>
      </c>
      <c r="G76" s="31">
        <v>60</v>
      </c>
      <c r="H76" t="s">
        <v>45</v>
      </c>
      <c r="I76" s="1" t="s">
        <v>36</v>
      </c>
      <c r="J76" s="33">
        <f t="shared" si="7"/>
        <v>1.0199999999999999E-2</v>
      </c>
      <c r="K76" s="2">
        <v>0.01</v>
      </c>
      <c r="L76" s="64" t="s">
        <v>204</v>
      </c>
      <c r="N76" s="31">
        <v>0</v>
      </c>
    </row>
    <row r="77" spans="1:14" ht="15" thickBot="1" x14ac:dyDescent="0.35">
      <c r="B77" s="31">
        <v>0.16700000000000001</v>
      </c>
      <c r="C77" s="51">
        <v>44334</v>
      </c>
      <c r="D77" s="88">
        <v>17</v>
      </c>
      <c r="E77" s="81">
        <f t="shared" si="6"/>
        <v>175429</v>
      </c>
      <c r="F77">
        <v>1.0339999999999998</v>
      </c>
      <c r="G77" s="82">
        <v>60</v>
      </c>
      <c r="H77" t="s">
        <v>228</v>
      </c>
      <c r="I77" s="82" t="s">
        <v>36</v>
      </c>
      <c r="J77" s="33">
        <f t="shared" si="7"/>
        <v>9.8235294117647066E-3</v>
      </c>
      <c r="K77" s="84">
        <v>0.01</v>
      </c>
      <c r="L77" s="64" t="s">
        <v>204</v>
      </c>
      <c r="N77" s="31">
        <v>0</v>
      </c>
    </row>
    <row r="78" spans="1:14" ht="15" thickBot="1" x14ac:dyDescent="0.35">
      <c r="B78" s="31">
        <v>0.36</v>
      </c>
      <c r="C78" s="51">
        <v>44334</v>
      </c>
      <c r="D78" s="88">
        <v>36</v>
      </c>
      <c r="E78" s="81">
        <f t="shared" si="6"/>
        <v>156333</v>
      </c>
      <c r="F78">
        <v>0.93800000000000006</v>
      </c>
      <c r="G78" s="31">
        <v>60</v>
      </c>
      <c r="H78" t="s">
        <v>229</v>
      </c>
      <c r="I78" s="1" t="s">
        <v>36</v>
      </c>
      <c r="J78" s="33">
        <f t="shared" si="7"/>
        <v>0.01</v>
      </c>
      <c r="K78" s="2">
        <v>0.01</v>
      </c>
      <c r="L78" s="64" t="s">
        <v>204</v>
      </c>
      <c r="N78" s="31">
        <v>0</v>
      </c>
    </row>
    <row r="79" spans="1:14" ht="15" thickBot="1" x14ac:dyDescent="0.35">
      <c r="B79" s="31">
        <v>0.437</v>
      </c>
      <c r="C79" s="51">
        <v>44334</v>
      </c>
      <c r="D79" s="88">
        <v>44</v>
      </c>
      <c r="E79" s="81">
        <f t="shared" si="6"/>
        <v>-33059</v>
      </c>
      <c r="F79">
        <v>-0.19699999999999998</v>
      </c>
      <c r="G79" s="82">
        <v>60</v>
      </c>
      <c r="H79" t="s">
        <v>230</v>
      </c>
      <c r="I79" s="82" t="s">
        <v>36</v>
      </c>
      <c r="J79" s="33">
        <f t="shared" si="7"/>
        <v>9.9318181818181823E-3</v>
      </c>
      <c r="K79" s="84">
        <v>0.01</v>
      </c>
      <c r="L79" s="64" t="s">
        <v>204</v>
      </c>
      <c r="N79" s="31">
        <v>0</v>
      </c>
    </row>
    <row r="80" spans="1:14" ht="15" thickBot="1" x14ac:dyDescent="0.35">
      <c r="B80" s="31">
        <v>0.249</v>
      </c>
      <c r="C80" s="51">
        <v>44334</v>
      </c>
      <c r="D80" s="88">
        <v>25</v>
      </c>
      <c r="E80" s="81">
        <f t="shared" si="6"/>
        <v>5857</v>
      </c>
      <c r="F80">
        <v>3.5000000000000031E-2</v>
      </c>
      <c r="G80" s="31">
        <v>60</v>
      </c>
      <c r="H80" t="s">
        <v>46</v>
      </c>
      <c r="I80" s="1" t="s">
        <v>33</v>
      </c>
      <c r="J80" s="33">
        <f t="shared" si="7"/>
        <v>9.9600000000000001E-3</v>
      </c>
      <c r="K80" s="2">
        <v>0.01</v>
      </c>
      <c r="L80" s="64" t="s">
        <v>204</v>
      </c>
      <c r="N80" s="31">
        <v>0</v>
      </c>
    </row>
    <row r="81" spans="2:14" ht="15" thickBot="1" x14ac:dyDescent="0.35">
      <c r="B81" s="31">
        <v>0.35</v>
      </c>
      <c r="C81" s="51">
        <v>44334</v>
      </c>
      <c r="D81" s="88">
        <v>35</v>
      </c>
      <c r="E81" s="81">
        <f t="shared" si="6"/>
        <v>6333</v>
      </c>
      <c r="F81">
        <v>3.8000000000000034E-2</v>
      </c>
      <c r="G81" s="82">
        <v>60</v>
      </c>
      <c r="H81" t="s">
        <v>231</v>
      </c>
      <c r="I81" s="82" t="s">
        <v>36</v>
      </c>
      <c r="J81" s="33">
        <f t="shared" si="7"/>
        <v>0.01</v>
      </c>
      <c r="K81" s="84">
        <v>0.01</v>
      </c>
      <c r="L81" s="64" t="s">
        <v>204</v>
      </c>
      <c r="N81" s="31">
        <v>0</v>
      </c>
    </row>
    <row r="82" spans="2:14" ht="15" thickBot="1" x14ac:dyDescent="0.35">
      <c r="B82" s="31">
        <v>0.23499999999999999</v>
      </c>
      <c r="C82" s="51">
        <v>44334</v>
      </c>
      <c r="D82" s="88">
        <v>23.5</v>
      </c>
      <c r="E82" s="81">
        <f t="shared" si="6"/>
        <v>4500</v>
      </c>
      <c r="F82">
        <v>2.7000000000000024E-2</v>
      </c>
      <c r="G82" s="31">
        <v>60</v>
      </c>
      <c r="H82" t="s">
        <v>232</v>
      </c>
      <c r="I82" s="1" t="s">
        <v>36</v>
      </c>
      <c r="J82" s="33">
        <f t="shared" si="7"/>
        <v>0.01</v>
      </c>
      <c r="K82" s="2">
        <v>0.01</v>
      </c>
      <c r="L82" s="64" t="s">
        <v>204</v>
      </c>
      <c r="N82" s="31">
        <v>0</v>
      </c>
    </row>
    <row r="83" spans="2:14" ht="15" thickBot="1" x14ac:dyDescent="0.35">
      <c r="B83" s="31">
        <v>0.14000000000000001</v>
      </c>
      <c r="C83" s="51">
        <v>44334</v>
      </c>
      <c r="D83" s="88">
        <v>14</v>
      </c>
      <c r="E83" s="81">
        <f t="shared" si="6"/>
        <v>9833</v>
      </c>
      <c r="F83">
        <v>5.8999999999999997E-2</v>
      </c>
      <c r="G83" s="82">
        <v>60</v>
      </c>
      <c r="H83" t="s">
        <v>47</v>
      </c>
      <c r="I83" s="82" t="s">
        <v>36</v>
      </c>
      <c r="J83" s="33">
        <f t="shared" si="7"/>
        <v>0.01</v>
      </c>
      <c r="K83" s="84">
        <v>0.01</v>
      </c>
      <c r="L83" s="64" t="s">
        <v>204</v>
      </c>
      <c r="N83" s="31">
        <v>0</v>
      </c>
    </row>
    <row r="84" spans="2:14" ht="15" thickBot="1" x14ac:dyDescent="0.35">
      <c r="B84" s="31">
        <v>0.219</v>
      </c>
      <c r="C84" s="51">
        <v>44334</v>
      </c>
      <c r="D84" s="88">
        <v>22</v>
      </c>
      <c r="E84" s="81">
        <f t="shared" si="6"/>
        <v>3181</v>
      </c>
      <c r="F84">
        <v>1.9000000000000017E-2</v>
      </c>
      <c r="G84" s="31">
        <v>60</v>
      </c>
      <c r="H84" t="s">
        <v>233</v>
      </c>
      <c r="I84" s="1" t="s">
        <v>36</v>
      </c>
      <c r="J84" s="33">
        <f t="shared" si="7"/>
        <v>9.9545454545454538E-3</v>
      </c>
      <c r="K84" s="2">
        <v>0.01</v>
      </c>
      <c r="L84" s="64" t="s">
        <v>204</v>
      </c>
      <c r="N84" s="31">
        <v>0</v>
      </c>
    </row>
    <row r="85" spans="2:14" ht="15" thickBot="1" x14ac:dyDescent="0.35">
      <c r="B85" s="31">
        <v>0.40799999999999997</v>
      </c>
      <c r="C85" s="51">
        <v>44334</v>
      </c>
      <c r="D85" s="88">
        <v>40</v>
      </c>
      <c r="E85" s="81">
        <f t="shared" si="6"/>
        <v>14216</v>
      </c>
      <c r="F85">
        <v>8.7000000000000022E-2</v>
      </c>
      <c r="G85" s="82">
        <v>60</v>
      </c>
      <c r="H85" t="s">
        <v>45</v>
      </c>
      <c r="I85" s="82" t="s">
        <v>36</v>
      </c>
      <c r="J85" s="33">
        <f t="shared" si="7"/>
        <v>1.0199999999999999E-2</v>
      </c>
      <c r="K85" s="84">
        <v>0.01</v>
      </c>
      <c r="L85" s="64" t="s">
        <v>204</v>
      </c>
      <c r="N85" s="31">
        <v>150</v>
      </c>
    </row>
    <row r="86" spans="2:14" ht="15" thickBot="1" x14ac:dyDescent="0.35">
      <c r="B86" s="31">
        <v>0.16700000000000001</v>
      </c>
      <c r="C86" s="51">
        <v>44334</v>
      </c>
      <c r="D86" s="88">
        <v>17</v>
      </c>
      <c r="E86" s="81">
        <f t="shared" si="6"/>
        <v>134202</v>
      </c>
      <c r="F86">
        <v>0.79099999999999993</v>
      </c>
      <c r="G86" s="31">
        <v>60</v>
      </c>
      <c r="H86" t="s">
        <v>228</v>
      </c>
      <c r="I86" s="1" t="s">
        <v>36</v>
      </c>
      <c r="J86" s="33">
        <f t="shared" si="7"/>
        <v>9.8235294117647066E-3</v>
      </c>
      <c r="K86" s="2">
        <v>0.01</v>
      </c>
      <c r="L86" s="64" t="s">
        <v>204</v>
      </c>
      <c r="N86" s="31">
        <v>150</v>
      </c>
    </row>
    <row r="87" spans="2:14" ht="15" thickBot="1" x14ac:dyDescent="0.35">
      <c r="B87" s="31">
        <v>0.36</v>
      </c>
      <c r="C87" s="51">
        <v>44334</v>
      </c>
      <c r="D87" s="88">
        <v>36</v>
      </c>
      <c r="E87" s="81">
        <f t="shared" si="6"/>
        <v>18500</v>
      </c>
      <c r="F87">
        <v>0.11099999999999999</v>
      </c>
      <c r="G87" s="82">
        <v>60</v>
      </c>
      <c r="H87" t="s">
        <v>229</v>
      </c>
      <c r="I87" s="82" t="s">
        <v>36</v>
      </c>
      <c r="J87" s="33">
        <f t="shared" si="7"/>
        <v>0.01</v>
      </c>
      <c r="K87" s="84">
        <v>0.01</v>
      </c>
      <c r="L87" s="64" t="s">
        <v>204</v>
      </c>
      <c r="N87" s="31">
        <v>150</v>
      </c>
    </row>
    <row r="88" spans="2:14" ht="15" thickBot="1" x14ac:dyDescent="0.35">
      <c r="B88" s="31">
        <v>0.437</v>
      </c>
      <c r="C88" s="51">
        <v>44334</v>
      </c>
      <c r="D88" s="88">
        <v>44</v>
      </c>
      <c r="E88" s="81">
        <f t="shared" si="6"/>
        <v>12250</v>
      </c>
      <c r="F88">
        <v>7.3000000000000009E-2</v>
      </c>
      <c r="G88" s="31">
        <v>60</v>
      </c>
      <c r="H88" t="s">
        <v>230</v>
      </c>
      <c r="I88" s="1" t="s">
        <v>36</v>
      </c>
      <c r="J88" s="33">
        <f t="shared" si="7"/>
        <v>9.9318181818181823E-3</v>
      </c>
      <c r="K88" s="2">
        <v>0.01</v>
      </c>
      <c r="L88" s="64" t="s">
        <v>204</v>
      </c>
      <c r="N88" s="31">
        <v>150</v>
      </c>
    </row>
    <row r="89" spans="2:14" ht="15" thickBot="1" x14ac:dyDescent="0.35">
      <c r="B89" s="31">
        <v>0.249</v>
      </c>
      <c r="C89" s="51">
        <v>44334</v>
      </c>
      <c r="D89" s="88">
        <v>25</v>
      </c>
      <c r="E89" s="81">
        <f t="shared" si="6"/>
        <v>-167</v>
      </c>
      <c r="F89">
        <v>-1.0000000000000009E-3</v>
      </c>
      <c r="G89" s="82">
        <v>60</v>
      </c>
      <c r="H89" t="s">
        <v>46</v>
      </c>
      <c r="I89" s="82" t="s">
        <v>33</v>
      </c>
      <c r="J89" s="33">
        <f t="shared" si="7"/>
        <v>9.9600000000000001E-3</v>
      </c>
      <c r="K89" s="84">
        <v>0.01</v>
      </c>
      <c r="L89" s="64" t="s">
        <v>204</v>
      </c>
      <c r="N89" s="31">
        <v>150</v>
      </c>
    </row>
    <row r="90" spans="2:14" ht="15" thickBot="1" x14ac:dyDescent="0.35">
      <c r="B90" s="31">
        <v>0.35</v>
      </c>
      <c r="C90" s="51">
        <v>44334</v>
      </c>
      <c r="D90" s="88">
        <v>35</v>
      </c>
      <c r="E90" s="81">
        <f t="shared" si="6"/>
        <v>-3833</v>
      </c>
      <c r="F90">
        <v>-2.2999999999999993E-2</v>
      </c>
      <c r="G90" s="31">
        <v>60</v>
      </c>
      <c r="H90" t="s">
        <v>231</v>
      </c>
      <c r="I90" s="1" t="s">
        <v>36</v>
      </c>
      <c r="J90" s="33">
        <f t="shared" si="7"/>
        <v>0.01</v>
      </c>
      <c r="K90" s="2">
        <v>0.01</v>
      </c>
      <c r="L90" s="64" t="s">
        <v>204</v>
      </c>
      <c r="N90" s="31">
        <v>150</v>
      </c>
    </row>
    <row r="91" spans="2:14" ht="15" thickBot="1" x14ac:dyDescent="0.35">
      <c r="B91" s="31">
        <v>0.23499999999999999</v>
      </c>
      <c r="C91" s="51">
        <v>44334</v>
      </c>
      <c r="D91" s="88">
        <v>23.5</v>
      </c>
      <c r="E91" s="81">
        <f t="shared" si="6"/>
        <v>-3667</v>
      </c>
      <c r="F91">
        <v>-2.1999999999999992E-2</v>
      </c>
      <c r="G91" s="82">
        <v>60</v>
      </c>
      <c r="H91" t="s">
        <v>232</v>
      </c>
      <c r="I91" s="82" t="s">
        <v>36</v>
      </c>
      <c r="J91" s="33">
        <f t="shared" si="7"/>
        <v>0.01</v>
      </c>
      <c r="K91" s="84">
        <v>0.01</v>
      </c>
      <c r="L91" s="64" t="s">
        <v>204</v>
      </c>
      <c r="N91" s="31">
        <v>150</v>
      </c>
    </row>
    <row r="92" spans="2:14" ht="15" thickBot="1" x14ac:dyDescent="0.35">
      <c r="B92" s="31">
        <v>0.14000000000000001</v>
      </c>
      <c r="C92" s="51">
        <v>44334</v>
      </c>
      <c r="D92" s="88">
        <v>14</v>
      </c>
      <c r="E92" s="81">
        <f t="shared" si="6"/>
        <v>-2333</v>
      </c>
      <c r="F92">
        <v>-1.4000000000000012E-2</v>
      </c>
      <c r="G92" s="31">
        <v>60</v>
      </c>
      <c r="H92" t="s">
        <v>47</v>
      </c>
      <c r="I92" s="1" t="s">
        <v>36</v>
      </c>
      <c r="J92" s="33">
        <f t="shared" si="7"/>
        <v>0.01</v>
      </c>
      <c r="K92" s="2">
        <v>0.01</v>
      </c>
      <c r="L92" s="64" t="s">
        <v>204</v>
      </c>
      <c r="N92" s="31">
        <v>150</v>
      </c>
    </row>
    <row r="93" spans="2:14" ht="15" thickBot="1" x14ac:dyDescent="0.35">
      <c r="B93" s="31">
        <v>0.219</v>
      </c>
      <c r="C93" s="51">
        <v>44334</v>
      </c>
      <c r="D93" s="88">
        <v>22</v>
      </c>
      <c r="E93" s="81">
        <f t="shared" si="6"/>
        <v>-3349</v>
      </c>
      <c r="F93">
        <v>-1.999999999999999E-2</v>
      </c>
      <c r="G93" s="82">
        <v>60</v>
      </c>
      <c r="H93" t="s">
        <v>233</v>
      </c>
      <c r="I93" s="82" t="s">
        <v>36</v>
      </c>
      <c r="J93" s="33">
        <f t="shared" si="7"/>
        <v>9.9545454545454538E-3</v>
      </c>
      <c r="K93" s="84">
        <v>0.01</v>
      </c>
      <c r="L93" s="64" t="s">
        <v>204</v>
      </c>
      <c r="N93" s="31">
        <v>150</v>
      </c>
    </row>
    <row r="94" spans="2:14" ht="15" thickBot="1" x14ac:dyDescent="0.35">
      <c r="B94" s="31">
        <v>0.40799999999999997</v>
      </c>
      <c r="C94" s="51">
        <v>44334</v>
      </c>
      <c r="D94" s="88">
        <v>40</v>
      </c>
      <c r="E94" s="81">
        <f t="shared" si="6"/>
        <v>10621</v>
      </c>
      <c r="F94">
        <v>6.500000000000003E-2</v>
      </c>
      <c r="G94" s="31">
        <v>60</v>
      </c>
      <c r="H94" t="s">
        <v>45</v>
      </c>
      <c r="I94" s="1" t="s">
        <v>36</v>
      </c>
      <c r="J94" s="33">
        <f t="shared" si="7"/>
        <v>1.0199999999999999E-2</v>
      </c>
      <c r="K94" s="2">
        <v>0.01</v>
      </c>
      <c r="L94" s="64" t="s">
        <v>204</v>
      </c>
      <c r="N94" s="31">
        <v>5000</v>
      </c>
    </row>
    <row r="95" spans="2:14" ht="15" thickBot="1" x14ac:dyDescent="0.35">
      <c r="B95" s="31">
        <v>0.16700000000000001</v>
      </c>
      <c r="C95" s="51">
        <v>44334</v>
      </c>
      <c r="D95" s="88">
        <v>17</v>
      </c>
      <c r="E95" s="81">
        <f t="shared" si="6"/>
        <v>163383</v>
      </c>
      <c r="F95">
        <v>0.96300000000000008</v>
      </c>
      <c r="G95" s="82">
        <v>60</v>
      </c>
      <c r="H95" t="s">
        <v>228</v>
      </c>
      <c r="I95" s="82" t="s">
        <v>36</v>
      </c>
      <c r="J95" s="33">
        <f t="shared" si="7"/>
        <v>9.8235294117647066E-3</v>
      </c>
      <c r="K95" s="84">
        <v>0.01</v>
      </c>
      <c r="L95" s="64" t="s">
        <v>204</v>
      </c>
      <c r="N95" s="31">
        <v>5000</v>
      </c>
    </row>
    <row r="96" spans="2:14" ht="15" thickBot="1" x14ac:dyDescent="0.35">
      <c r="B96" s="31">
        <v>0.36</v>
      </c>
      <c r="C96" s="51">
        <v>44334</v>
      </c>
      <c r="D96" s="88">
        <v>36</v>
      </c>
      <c r="E96" s="81">
        <f t="shared" si="6"/>
        <v>22667</v>
      </c>
      <c r="F96">
        <v>0.13599999999999998</v>
      </c>
      <c r="G96" s="31">
        <v>60</v>
      </c>
      <c r="H96" t="s">
        <v>229</v>
      </c>
      <c r="I96" s="1" t="s">
        <v>36</v>
      </c>
      <c r="J96" s="33">
        <f t="shared" si="7"/>
        <v>0.01</v>
      </c>
      <c r="K96" s="2">
        <v>0.01</v>
      </c>
      <c r="L96" s="64" t="s">
        <v>204</v>
      </c>
      <c r="N96" s="31">
        <v>5000</v>
      </c>
    </row>
    <row r="97" spans="2:14" ht="15" thickBot="1" x14ac:dyDescent="0.35">
      <c r="B97" s="31">
        <v>0.437</v>
      </c>
      <c r="C97" s="51">
        <v>44334</v>
      </c>
      <c r="D97" s="88">
        <v>44</v>
      </c>
      <c r="E97" s="81">
        <f t="shared" si="6"/>
        <v>15439</v>
      </c>
      <c r="F97">
        <v>9.1999999999999998E-2</v>
      </c>
      <c r="G97" s="82">
        <v>60</v>
      </c>
      <c r="H97" t="s">
        <v>230</v>
      </c>
      <c r="I97" s="82" t="s">
        <v>36</v>
      </c>
      <c r="J97" s="33">
        <f t="shared" si="7"/>
        <v>9.9318181818181823E-3</v>
      </c>
      <c r="K97" s="84">
        <v>0.01</v>
      </c>
      <c r="L97" s="64" t="s">
        <v>204</v>
      </c>
      <c r="N97" s="31">
        <v>5000</v>
      </c>
    </row>
    <row r="98" spans="2:14" ht="15" thickBot="1" x14ac:dyDescent="0.35">
      <c r="B98" s="31">
        <v>0.249</v>
      </c>
      <c r="C98" s="51">
        <v>44334</v>
      </c>
      <c r="D98" s="88">
        <v>25</v>
      </c>
      <c r="E98" s="81">
        <f t="shared" si="6"/>
        <v>4016</v>
      </c>
      <c r="F98">
        <v>2.4000000000000021E-2</v>
      </c>
      <c r="G98" s="31">
        <v>60</v>
      </c>
      <c r="H98" t="s">
        <v>46</v>
      </c>
      <c r="I98" s="1" t="s">
        <v>33</v>
      </c>
      <c r="J98" s="33">
        <f t="shared" si="7"/>
        <v>9.9600000000000001E-3</v>
      </c>
      <c r="K98" s="2">
        <v>0.01</v>
      </c>
      <c r="L98" s="64" t="s">
        <v>204</v>
      </c>
      <c r="N98" s="31">
        <v>5000</v>
      </c>
    </row>
    <row r="99" spans="2:14" ht="15" thickBot="1" x14ac:dyDescent="0.35">
      <c r="B99" s="31">
        <v>0.35</v>
      </c>
      <c r="C99" s="51">
        <v>44334</v>
      </c>
      <c r="D99" s="88">
        <v>35</v>
      </c>
      <c r="E99" s="81">
        <f t="shared" si="6"/>
        <v>4000</v>
      </c>
      <c r="F99">
        <v>2.4000000000000021E-2</v>
      </c>
      <c r="G99" s="82">
        <v>60</v>
      </c>
      <c r="H99" t="s">
        <v>231</v>
      </c>
      <c r="I99" s="82" t="s">
        <v>36</v>
      </c>
      <c r="J99" s="33">
        <f t="shared" si="7"/>
        <v>0.01</v>
      </c>
      <c r="K99" s="84">
        <v>0.01</v>
      </c>
      <c r="L99" s="64" t="s">
        <v>204</v>
      </c>
      <c r="N99" s="31">
        <v>5000</v>
      </c>
    </row>
    <row r="100" spans="2:14" ht="15" thickBot="1" x14ac:dyDescent="0.35">
      <c r="B100" s="31">
        <v>0.23499999999999999</v>
      </c>
      <c r="C100" s="51">
        <v>44334</v>
      </c>
      <c r="D100" s="88">
        <v>23.5</v>
      </c>
      <c r="E100" s="81">
        <f t="shared" si="6"/>
        <v>4833</v>
      </c>
      <c r="F100">
        <v>2.8999999999999998E-2</v>
      </c>
      <c r="G100" s="31">
        <v>60</v>
      </c>
      <c r="H100" t="s">
        <v>232</v>
      </c>
      <c r="I100" s="1" t="s">
        <v>36</v>
      </c>
      <c r="J100" s="33">
        <f t="shared" si="7"/>
        <v>0.01</v>
      </c>
      <c r="K100" s="2">
        <v>0.01</v>
      </c>
      <c r="L100" s="64" t="s">
        <v>204</v>
      </c>
      <c r="N100" s="31">
        <v>5000</v>
      </c>
    </row>
    <row r="101" spans="2:14" ht="15" thickBot="1" x14ac:dyDescent="0.35">
      <c r="B101" s="31">
        <v>0.14000000000000001</v>
      </c>
      <c r="C101" s="51">
        <v>44334</v>
      </c>
      <c r="D101" s="88">
        <v>14</v>
      </c>
      <c r="E101" s="81">
        <f t="shared" si="6"/>
        <v>3500</v>
      </c>
      <c r="F101">
        <v>2.1000000000000019E-2</v>
      </c>
      <c r="G101" s="82">
        <v>60</v>
      </c>
      <c r="H101" t="s">
        <v>47</v>
      </c>
      <c r="I101" s="82" t="s">
        <v>36</v>
      </c>
      <c r="J101" s="33">
        <f t="shared" si="7"/>
        <v>0.01</v>
      </c>
      <c r="K101" s="84">
        <v>0.01</v>
      </c>
      <c r="L101" s="64" t="s">
        <v>204</v>
      </c>
      <c r="N101" s="31">
        <v>5000</v>
      </c>
    </row>
    <row r="102" spans="2:14" ht="15" thickBot="1" x14ac:dyDescent="0.35">
      <c r="B102" s="31">
        <v>0.219</v>
      </c>
      <c r="C102" s="51">
        <v>44334</v>
      </c>
      <c r="D102" s="88">
        <v>22</v>
      </c>
      <c r="E102" s="81">
        <f t="shared" si="6"/>
        <v>2846</v>
      </c>
      <c r="F102">
        <v>1.7000000000000015E-2</v>
      </c>
      <c r="G102" s="31">
        <v>60</v>
      </c>
      <c r="H102" t="s">
        <v>233</v>
      </c>
      <c r="I102" s="1" t="s">
        <v>36</v>
      </c>
      <c r="J102" s="33">
        <f t="shared" si="7"/>
        <v>9.9545454545454538E-3</v>
      </c>
      <c r="K102" s="2">
        <v>0.01</v>
      </c>
      <c r="L102" s="64" t="s">
        <v>204</v>
      </c>
      <c r="N102" s="31">
        <v>5000</v>
      </c>
    </row>
    <row r="103" spans="2:14" ht="15" thickBot="1" x14ac:dyDescent="0.35">
      <c r="B103" s="31">
        <v>0.40799999999999997</v>
      </c>
      <c r="C103" s="51">
        <v>44334</v>
      </c>
      <c r="D103" s="88">
        <v>40</v>
      </c>
      <c r="E103" s="81">
        <f t="shared" si="6"/>
        <v>152614</v>
      </c>
      <c r="F103">
        <v>0.93399999999999994</v>
      </c>
      <c r="G103" s="82">
        <v>60</v>
      </c>
      <c r="H103" t="s">
        <v>45</v>
      </c>
      <c r="I103" s="1" t="s">
        <v>36</v>
      </c>
      <c r="J103" s="33">
        <f t="shared" si="7"/>
        <v>1.0199999999999999E-2</v>
      </c>
      <c r="K103" s="2">
        <v>0.01</v>
      </c>
      <c r="L103" s="64" t="s">
        <v>204</v>
      </c>
      <c r="N103" s="31">
        <v>0</v>
      </c>
    </row>
    <row r="104" spans="2:14" ht="15" thickBot="1" x14ac:dyDescent="0.35">
      <c r="B104" s="31">
        <v>0.40799999999999997</v>
      </c>
      <c r="C104" s="51">
        <v>44334</v>
      </c>
      <c r="D104" s="88">
        <v>40</v>
      </c>
      <c r="E104" s="81">
        <f t="shared" si="6"/>
        <v>162092</v>
      </c>
      <c r="F104">
        <v>0.99199999999999999</v>
      </c>
      <c r="G104" s="31">
        <v>60</v>
      </c>
      <c r="H104" t="s">
        <v>45</v>
      </c>
      <c r="I104" s="1" t="s">
        <v>36</v>
      </c>
      <c r="J104" s="33">
        <f t="shared" si="7"/>
        <v>1.0199999999999999E-2</v>
      </c>
      <c r="K104" s="2">
        <v>0.01</v>
      </c>
      <c r="L104" s="64" t="s">
        <v>204</v>
      </c>
      <c r="N104" s="31">
        <v>0</v>
      </c>
    </row>
    <row r="105" spans="2:14" ht="15" thickBot="1" x14ac:dyDescent="0.35">
      <c r="B105" s="31">
        <v>0.16700000000000001</v>
      </c>
      <c r="C105" s="51">
        <v>44334</v>
      </c>
      <c r="D105" s="88">
        <v>17</v>
      </c>
      <c r="E105" s="81">
        <f t="shared" si="6"/>
        <v>175090</v>
      </c>
      <c r="F105">
        <v>1.032</v>
      </c>
      <c r="G105" s="82">
        <v>60</v>
      </c>
      <c r="H105" t="s">
        <v>228</v>
      </c>
      <c r="I105" s="1" t="s">
        <v>36</v>
      </c>
      <c r="J105" s="33">
        <f t="shared" si="7"/>
        <v>9.8235294117647066E-3</v>
      </c>
      <c r="K105" s="2">
        <v>0.01</v>
      </c>
      <c r="L105" s="64" t="s">
        <v>204</v>
      </c>
      <c r="N105" s="31">
        <v>0</v>
      </c>
    </row>
    <row r="106" spans="2:14" ht="15" thickBot="1" x14ac:dyDescent="0.35">
      <c r="B106" s="31">
        <v>0.16700000000000001</v>
      </c>
      <c r="C106" s="51">
        <v>44334</v>
      </c>
      <c r="D106" s="88">
        <v>17</v>
      </c>
      <c r="E106" s="81">
        <f t="shared" si="6"/>
        <v>164571</v>
      </c>
      <c r="F106">
        <v>0.97</v>
      </c>
      <c r="G106" s="31">
        <v>60</v>
      </c>
      <c r="H106" t="s">
        <v>228</v>
      </c>
      <c r="I106" s="1" t="s">
        <v>36</v>
      </c>
      <c r="J106" s="33">
        <f t="shared" si="7"/>
        <v>9.8235294117647066E-3</v>
      </c>
      <c r="K106" s="2">
        <v>0.01</v>
      </c>
      <c r="L106" s="64" t="s">
        <v>204</v>
      </c>
      <c r="N106" s="31">
        <v>0</v>
      </c>
    </row>
    <row r="107" spans="2:14" ht="15" thickBot="1" x14ac:dyDescent="0.35">
      <c r="B107" s="31">
        <v>0.437</v>
      </c>
      <c r="C107" s="51">
        <v>44334</v>
      </c>
      <c r="D107" s="88">
        <v>44</v>
      </c>
      <c r="E107" s="81">
        <f t="shared" si="6"/>
        <v>32220</v>
      </c>
      <c r="F107">
        <v>0.192</v>
      </c>
      <c r="G107" s="82">
        <v>60</v>
      </c>
      <c r="H107" t="s">
        <v>230</v>
      </c>
      <c r="I107" s="1" t="s">
        <v>36</v>
      </c>
      <c r="J107" s="33">
        <f t="shared" si="7"/>
        <v>9.9318181818181823E-3</v>
      </c>
      <c r="K107" s="2">
        <v>0.01</v>
      </c>
      <c r="L107" s="64" t="s">
        <v>204</v>
      </c>
      <c r="N107" s="31">
        <v>0</v>
      </c>
    </row>
    <row r="108" spans="2:14" ht="15" thickBot="1" x14ac:dyDescent="0.35">
      <c r="B108" s="31">
        <v>0.40799999999999997</v>
      </c>
      <c r="C108" s="51">
        <v>44334</v>
      </c>
      <c r="D108" s="88">
        <v>40</v>
      </c>
      <c r="E108" s="81">
        <f t="shared" si="6"/>
        <v>19118</v>
      </c>
      <c r="F108">
        <v>0.11700000000000002</v>
      </c>
      <c r="G108" s="31">
        <v>60</v>
      </c>
      <c r="H108" t="s">
        <v>45</v>
      </c>
      <c r="I108" s="1" t="s">
        <v>36</v>
      </c>
      <c r="J108" s="33">
        <f t="shared" si="7"/>
        <v>1.0199999999999999E-2</v>
      </c>
      <c r="K108" s="2">
        <v>0.01</v>
      </c>
      <c r="L108" s="64" t="s">
        <v>204</v>
      </c>
      <c r="N108" s="31">
        <v>150</v>
      </c>
    </row>
    <row r="109" spans="2:14" ht="15" thickBot="1" x14ac:dyDescent="0.35">
      <c r="B109" s="31">
        <v>0.40799999999999997</v>
      </c>
      <c r="C109" s="51">
        <v>44334</v>
      </c>
      <c r="D109" s="88">
        <v>40</v>
      </c>
      <c r="E109" s="81">
        <f t="shared" si="6"/>
        <v>18954</v>
      </c>
      <c r="F109">
        <v>0.11600000000000002</v>
      </c>
      <c r="G109" s="82">
        <v>60</v>
      </c>
      <c r="H109" t="s">
        <v>45</v>
      </c>
      <c r="I109" s="1" t="s">
        <v>36</v>
      </c>
      <c r="J109" s="33">
        <f t="shared" si="7"/>
        <v>1.0199999999999999E-2</v>
      </c>
      <c r="K109" s="2">
        <v>0.01</v>
      </c>
      <c r="L109" s="64" t="s">
        <v>204</v>
      </c>
      <c r="N109" s="31">
        <v>150</v>
      </c>
    </row>
    <row r="110" spans="2:14" ht="15" thickBot="1" x14ac:dyDescent="0.35">
      <c r="B110" s="31">
        <v>0.16700000000000001</v>
      </c>
      <c r="C110" s="51">
        <v>44334</v>
      </c>
      <c r="D110" s="88">
        <v>17</v>
      </c>
      <c r="E110" s="81">
        <f t="shared" si="6"/>
        <v>161687</v>
      </c>
      <c r="F110">
        <v>0.95299999999999996</v>
      </c>
      <c r="G110" s="31">
        <v>60</v>
      </c>
      <c r="H110" t="s">
        <v>228</v>
      </c>
      <c r="I110" s="1" t="s">
        <v>36</v>
      </c>
      <c r="J110" s="33">
        <f t="shared" si="7"/>
        <v>9.8235294117647066E-3</v>
      </c>
      <c r="K110" s="2">
        <v>0.01</v>
      </c>
      <c r="L110" s="64" t="s">
        <v>204</v>
      </c>
      <c r="N110" s="31">
        <v>150</v>
      </c>
    </row>
    <row r="111" spans="2:14" ht="15" thickBot="1" x14ac:dyDescent="0.35">
      <c r="B111" s="31">
        <v>0.16700000000000001</v>
      </c>
      <c r="C111" s="51">
        <v>44334</v>
      </c>
      <c r="D111" s="88">
        <v>17</v>
      </c>
      <c r="E111" s="81">
        <f t="shared" si="6"/>
        <v>150828</v>
      </c>
      <c r="F111">
        <v>0.88900000000000012</v>
      </c>
      <c r="G111" s="82">
        <v>60</v>
      </c>
      <c r="H111" t="s">
        <v>228</v>
      </c>
      <c r="I111" s="1" t="s">
        <v>36</v>
      </c>
      <c r="J111" s="33">
        <f t="shared" si="7"/>
        <v>9.8235294117647066E-3</v>
      </c>
      <c r="K111" s="2">
        <v>0.01</v>
      </c>
      <c r="L111" s="64" t="s">
        <v>204</v>
      </c>
      <c r="N111" s="31">
        <v>150</v>
      </c>
    </row>
    <row r="112" spans="2:14" ht="15" thickBot="1" x14ac:dyDescent="0.35">
      <c r="B112" s="31">
        <v>0.40799999999999997</v>
      </c>
      <c r="C112" s="51">
        <v>44334</v>
      </c>
      <c r="D112" s="88">
        <v>40</v>
      </c>
      <c r="E112" s="81">
        <f t="shared" si="6"/>
        <v>16340</v>
      </c>
      <c r="F112">
        <v>0.1</v>
      </c>
      <c r="G112" s="31">
        <v>60</v>
      </c>
      <c r="H112" t="s">
        <v>45</v>
      </c>
      <c r="I112" s="1" t="s">
        <v>36</v>
      </c>
      <c r="J112" s="33">
        <f t="shared" si="7"/>
        <v>1.0199999999999999E-2</v>
      </c>
      <c r="K112" s="2">
        <v>0.01</v>
      </c>
      <c r="L112" s="64" t="s">
        <v>204</v>
      </c>
      <c r="N112" s="31">
        <v>5000</v>
      </c>
    </row>
    <row r="113" spans="2:14" ht="15" thickBot="1" x14ac:dyDescent="0.35">
      <c r="B113" s="31">
        <v>0.40799999999999997</v>
      </c>
      <c r="C113" s="51">
        <v>44334</v>
      </c>
      <c r="D113" s="88">
        <v>40</v>
      </c>
      <c r="E113" s="81">
        <f t="shared" si="6"/>
        <v>16176</v>
      </c>
      <c r="F113">
        <v>9.9000000000000005E-2</v>
      </c>
      <c r="G113" s="82">
        <v>60</v>
      </c>
      <c r="H113" t="s">
        <v>45</v>
      </c>
      <c r="I113" s="1" t="s">
        <v>36</v>
      </c>
      <c r="J113" s="33">
        <f t="shared" si="7"/>
        <v>1.0199999999999999E-2</v>
      </c>
      <c r="K113" s="2">
        <v>0.01</v>
      </c>
      <c r="L113" s="64" t="s">
        <v>204</v>
      </c>
      <c r="N113" s="31">
        <v>5000</v>
      </c>
    </row>
    <row r="114" spans="2:14" ht="15" thickBot="1" x14ac:dyDescent="0.35">
      <c r="B114" s="31">
        <v>0.16700000000000001</v>
      </c>
      <c r="C114" s="51">
        <v>44334</v>
      </c>
      <c r="D114" s="88">
        <v>17</v>
      </c>
      <c r="E114" s="81">
        <f t="shared" si="6"/>
        <v>149810</v>
      </c>
      <c r="F114">
        <v>0.88300000000000012</v>
      </c>
      <c r="G114" s="31">
        <v>60</v>
      </c>
      <c r="H114" t="s">
        <v>228</v>
      </c>
      <c r="I114" s="1" t="s">
        <v>36</v>
      </c>
      <c r="J114" s="33">
        <f t="shared" si="7"/>
        <v>9.8235294117647066E-3</v>
      </c>
      <c r="K114" s="2">
        <v>0.01</v>
      </c>
      <c r="L114" s="64" t="s">
        <v>204</v>
      </c>
      <c r="N114" s="31">
        <v>5000</v>
      </c>
    </row>
    <row r="115" spans="2:14" ht="15" thickBot="1" x14ac:dyDescent="0.35">
      <c r="B115" s="31">
        <v>0.16700000000000001</v>
      </c>
      <c r="C115" s="51">
        <v>44334</v>
      </c>
      <c r="D115" s="88">
        <v>17</v>
      </c>
      <c r="E115" s="81">
        <f t="shared" si="6"/>
        <v>145399</v>
      </c>
      <c r="F115">
        <v>0.8570000000000001</v>
      </c>
      <c r="G115" s="82">
        <v>60</v>
      </c>
      <c r="H115" t="s">
        <v>228</v>
      </c>
      <c r="I115" s="1" t="s">
        <v>36</v>
      </c>
      <c r="J115" s="33">
        <f t="shared" si="7"/>
        <v>9.8235294117647066E-3</v>
      </c>
      <c r="K115" s="2">
        <v>0.01</v>
      </c>
      <c r="L115" s="64" t="s">
        <v>204</v>
      </c>
      <c r="N115" s="31">
        <v>5000</v>
      </c>
    </row>
    <row r="116" spans="2:14" ht="15" thickBot="1" x14ac:dyDescent="0.35">
      <c r="B116" s="31">
        <v>0.437</v>
      </c>
      <c r="C116" s="51">
        <v>44334</v>
      </c>
      <c r="D116" s="88">
        <v>44</v>
      </c>
      <c r="E116" s="81">
        <f t="shared" si="6"/>
        <v>41449</v>
      </c>
      <c r="F116">
        <v>0.24700000000000003</v>
      </c>
      <c r="G116" s="31">
        <v>60</v>
      </c>
      <c r="H116" t="s">
        <v>230</v>
      </c>
      <c r="I116" s="1" t="s">
        <v>36</v>
      </c>
      <c r="J116" s="33">
        <f t="shared" si="7"/>
        <v>9.9318181818181823E-3</v>
      </c>
      <c r="K116" s="2">
        <v>0.01</v>
      </c>
      <c r="L116" s="64" t="s">
        <v>204</v>
      </c>
      <c r="N116" s="31">
        <v>5000</v>
      </c>
    </row>
    <row r="117" spans="2:14" ht="15" thickBot="1" x14ac:dyDescent="0.35">
      <c r="B117" s="31">
        <v>0.40799999999999997</v>
      </c>
      <c r="C117" s="51">
        <v>44337</v>
      </c>
      <c r="D117" s="88">
        <v>40</v>
      </c>
      <c r="E117" s="81">
        <f t="shared" si="6"/>
        <v>128922</v>
      </c>
      <c r="F117">
        <v>0.78899999999999992</v>
      </c>
      <c r="G117" s="82">
        <v>60</v>
      </c>
      <c r="H117" t="s">
        <v>45</v>
      </c>
      <c r="I117" s="1" t="s">
        <v>36</v>
      </c>
      <c r="J117" s="33">
        <f t="shared" si="7"/>
        <v>1.0199999999999999E-2</v>
      </c>
      <c r="K117" s="2">
        <v>0.01</v>
      </c>
      <c r="L117" s="64" t="s">
        <v>204</v>
      </c>
      <c r="N117" s="31">
        <v>0</v>
      </c>
    </row>
    <row r="118" spans="2:14" ht="15" thickBot="1" x14ac:dyDescent="0.35">
      <c r="B118" s="31">
        <v>0.40799999999999997</v>
      </c>
      <c r="C118" s="51">
        <v>44337</v>
      </c>
      <c r="D118" s="88">
        <v>40</v>
      </c>
      <c r="E118" s="81">
        <f t="shared" si="6"/>
        <v>136438</v>
      </c>
      <c r="F118">
        <v>0.83499999999999996</v>
      </c>
      <c r="G118" s="31">
        <v>60</v>
      </c>
      <c r="H118" t="s">
        <v>45</v>
      </c>
      <c r="I118" s="1" t="s">
        <v>36</v>
      </c>
      <c r="J118" s="33">
        <f t="shared" si="7"/>
        <v>1.0199999999999999E-2</v>
      </c>
      <c r="K118" s="2">
        <v>0.01</v>
      </c>
      <c r="L118" s="64" t="s">
        <v>204</v>
      </c>
      <c r="N118" s="31">
        <v>0</v>
      </c>
    </row>
    <row r="119" spans="2:14" ht="15" thickBot="1" x14ac:dyDescent="0.35">
      <c r="B119" s="31">
        <v>0.437</v>
      </c>
      <c r="C119" s="51">
        <v>44337</v>
      </c>
      <c r="D119" s="88">
        <v>44</v>
      </c>
      <c r="E119" s="81">
        <f t="shared" si="6"/>
        <v>127201</v>
      </c>
      <c r="F119">
        <v>0.75800000000000001</v>
      </c>
      <c r="G119" s="82">
        <v>60</v>
      </c>
      <c r="H119" t="s">
        <v>230</v>
      </c>
      <c r="I119" s="1" t="s">
        <v>36</v>
      </c>
      <c r="J119" s="33">
        <f t="shared" si="7"/>
        <v>9.9318181818181823E-3</v>
      </c>
      <c r="K119" s="2">
        <v>0.01</v>
      </c>
      <c r="L119" s="64" t="s">
        <v>204</v>
      </c>
      <c r="N119" s="31">
        <v>0</v>
      </c>
    </row>
    <row r="120" spans="2:14" ht="15" thickBot="1" x14ac:dyDescent="0.35">
      <c r="B120" s="31">
        <v>0.437</v>
      </c>
      <c r="C120" s="51">
        <v>44337</v>
      </c>
      <c r="D120" s="88">
        <v>44</v>
      </c>
      <c r="E120" s="81">
        <f t="shared" si="6"/>
        <v>101022</v>
      </c>
      <c r="F120">
        <v>0.60200000000000009</v>
      </c>
      <c r="G120" s="31">
        <v>60</v>
      </c>
      <c r="H120" t="s">
        <v>230</v>
      </c>
      <c r="I120" s="1" t="s">
        <v>36</v>
      </c>
      <c r="J120" s="33">
        <f t="shared" si="7"/>
        <v>9.9318181818181823E-3</v>
      </c>
      <c r="K120" s="2">
        <v>0.01</v>
      </c>
      <c r="L120" s="64" t="s">
        <v>204</v>
      </c>
      <c r="N120" s="31">
        <v>0</v>
      </c>
    </row>
    <row r="121" spans="2:14" ht="15" thickBot="1" x14ac:dyDescent="0.35">
      <c r="B121" s="31">
        <v>0.40799999999999997</v>
      </c>
      <c r="C121" s="51">
        <v>44337</v>
      </c>
      <c r="D121" s="88">
        <v>40</v>
      </c>
      <c r="E121" s="81">
        <f t="shared" si="6"/>
        <v>109477</v>
      </c>
      <c r="F121">
        <v>0.66999999999999993</v>
      </c>
      <c r="G121" s="82">
        <v>60</v>
      </c>
      <c r="H121" t="s">
        <v>45</v>
      </c>
      <c r="I121" s="1" t="s">
        <v>36</v>
      </c>
      <c r="J121" s="33">
        <f t="shared" si="7"/>
        <v>1.0199999999999999E-2</v>
      </c>
      <c r="K121" s="2">
        <v>0.01</v>
      </c>
      <c r="L121" s="64" t="s">
        <v>204</v>
      </c>
      <c r="N121" s="31">
        <v>12.5</v>
      </c>
    </row>
    <row r="122" spans="2:14" ht="15" thickBot="1" x14ac:dyDescent="0.35">
      <c r="B122" s="31">
        <v>0.40799999999999997</v>
      </c>
      <c r="C122" s="51">
        <v>44337</v>
      </c>
      <c r="D122" s="88">
        <v>40</v>
      </c>
      <c r="E122" s="81">
        <f t="shared" si="6"/>
        <v>100327</v>
      </c>
      <c r="F122">
        <v>0.6140000000000001</v>
      </c>
      <c r="G122" s="31">
        <v>60</v>
      </c>
      <c r="H122" t="s">
        <v>45</v>
      </c>
      <c r="I122" s="1" t="s">
        <v>36</v>
      </c>
      <c r="J122" s="33">
        <f t="shared" si="7"/>
        <v>1.0199999999999999E-2</v>
      </c>
      <c r="K122" s="2">
        <v>0.01</v>
      </c>
      <c r="L122" s="64" t="s">
        <v>204</v>
      </c>
      <c r="N122" s="31">
        <v>12.5</v>
      </c>
    </row>
    <row r="123" spans="2:14" ht="15" thickBot="1" x14ac:dyDescent="0.35">
      <c r="B123" s="31">
        <v>0.437</v>
      </c>
      <c r="C123" s="51">
        <v>44337</v>
      </c>
      <c r="D123" s="88">
        <v>44</v>
      </c>
      <c r="E123" s="81">
        <f t="shared" si="6"/>
        <v>49001</v>
      </c>
      <c r="F123">
        <v>0.29199999999999998</v>
      </c>
      <c r="G123" s="82">
        <v>60</v>
      </c>
      <c r="H123" t="s">
        <v>230</v>
      </c>
      <c r="I123" s="1" t="s">
        <v>36</v>
      </c>
      <c r="J123" s="33">
        <f t="shared" si="7"/>
        <v>9.9318181818181823E-3</v>
      </c>
      <c r="K123" s="2">
        <v>0.01</v>
      </c>
      <c r="L123" s="64" t="s">
        <v>204</v>
      </c>
      <c r="N123" s="31">
        <v>12.5</v>
      </c>
    </row>
    <row r="124" spans="2:14" ht="15" thickBot="1" x14ac:dyDescent="0.35">
      <c r="B124" s="31">
        <v>0.437</v>
      </c>
      <c r="C124" s="51">
        <v>44337</v>
      </c>
      <c r="D124" s="88">
        <v>44</v>
      </c>
      <c r="E124" s="81">
        <f t="shared" si="6"/>
        <v>37925</v>
      </c>
      <c r="F124">
        <v>0.22599999999999998</v>
      </c>
      <c r="G124" s="31">
        <v>60</v>
      </c>
      <c r="H124" t="s">
        <v>230</v>
      </c>
      <c r="I124" s="1" t="s">
        <v>36</v>
      </c>
      <c r="J124" s="33">
        <f t="shared" si="7"/>
        <v>9.9318181818181823E-3</v>
      </c>
      <c r="K124" s="2">
        <v>0.01</v>
      </c>
      <c r="L124" s="64" t="s">
        <v>204</v>
      </c>
      <c r="N124" s="31">
        <v>12.5</v>
      </c>
    </row>
    <row r="125" spans="2:14" ht="15" thickBot="1" x14ac:dyDescent="0.35">
      <c r="B125" s="31">
        <v>0.40799999999999997</v>
      </c>
      <c r="C125" s="51">
        <v>44337</v>
      </c>
      <c r="D125" s="88">
        <v>40</v>
      </c>
      <c r="E125" s="81">
        <f t="shared" si="6"/>
        <v>41013</v>
      </c>
      <c r="F125">
        <v>0.251</v>
      </c>
      <c r="G125" s="82">
        <v>60</v>
      </c>
      <c r="H125" t="s">
        <v>45</v>
      </c>
      <c r="I125" s="1" t="s">
        <v>36</v>
      </c>
      <c r="J125" s="33">
        <f t="shared" si="7"/>
        <v>1.0199999999999999E-2</v>
      </c>
      <c r="K125" s="2">
        <v>0.01</v>
      </c>
      <c r="L125" s="64" t="s">
        <v>204</v>
      </c>
      <c r="N125" s="31">
        <v>25</v>
      </c>
    </row>
    <row r="126" spans="2:14" ht="15" thickBot="1" x14ac:dyDescent="0.35">
      <c r="B126" s="31">
        <v>0.40799999999999997</v>
      </c>
      <c r="C126" s="51">
        <v>44337</v>
      </c>
      <c r="D126" s="88">
        <v>40</v>
      </c>
      <c r="E126" s="81">
        <f t="shared" si="6"/>
        <v>48529</v>
      </c>
      <c r="F126">
        <v>0.29699999999999999</v>
      </c>
      <c r="G126" s="31">
        <v>60</v>
      </c>
      <c r="H126" t="s">
        <v>45</v>
      </c>
      <c r="I126" s="1" t="s">
        <v>36</v>
      </c>
      <c r="J126" s="33">
        <f t="shared" si="7"/>
        <v>1.0199999999999999E-2</v>
      </c>
      <c r="K126" s="2">
        <v>0.01</v>
      </c>
      <c r="L126" s="64" t="s">
        <v>204</v>
      </c>
      <c r="N126" s="31">
        <v>25</v>
      </c>
    </row>
    <row r="127" spans="2:14" ht="15" thickBot="1" x14ac:dyDescent="0.35">
      <c r="B127" s="31">
        <v>0.437</v>
      </c>
      <c r="C127" s="51">
        <v>44337</v>
      </c>
      <c r="D127" s="88">
        <v>44</v>
      </c>
      <c r="E127" s="81">
        <f t="shared" si="6"/>
        <v>28360</v>
      </c>
      <c r="F127">
        <v>0.16899999999999998</v>
      </c>
      <c r="G127" s="82">
        <v>60</v>
      </c>
      <c r="H127" t="s">
        <v>230</v>
      </c>
      <c r="I127" s="1" t="s">
        <v>36</v>
      </c>
      <c r="J127" s="33">
        <f t="shared" si="7"/>
        <v>9.9318181818181823E-3</v>
      </c>
      <c r="K127" s="2">
        <v>0.01</v>
      </c>
      <c r="L127" s="64" t="s">
        <v>204</v>
      </c>
      <c r="N127" s="31">
        <v>25</v>
      </c>
    </row>
    <row r="128" spans="2:14" ht="15" thickBot="1" x14ac:dyDescent="0.35">
      <c r="B128" s="31">
        <v>0.437</v>
      </c>
      <c r="C128" s="51">
        <v>44337</v>
      </c>
      <c r="D128" s="88">
        <v>44</v>
      </c>
      <c r="E128" s="81">
        <f t="shared" si="6"/>
        <v>29535</v>
      </c>
      <c r="F128">
        <v>0.17599999999999999</v>
      </c>
      <c r="G128" s="31">
        <v>60</v>
      </c>
      <c r="H128" t="s">
        <v>230</v>
      </c>
      <c r="I128" s="1" t="s">
        <v>36</v>
      </c>
      <c r="J128" s="33">
        <f t="shared" si="7"/>
        <v>9.9318181818181823E-3</v>
      </c>
      <c r="K128" s="2">
        <v>0.01</v>
      </c>
      <c r="L128" s="64" t="s">
        <v>204</v>
      </c>
      <c r="N128" s="31">
        <v>25</v>
      </c>
    </row>
    <row r="129" spans="2:14" ht="15" thickBot="1" x14ac:dyDescent="0.35">
      <c r="B129" s="31">
        <v>0.40799999999999997</v>
      </c>
      <c r="C129" s="51">
        <v>44337</v>
      </c>
      <c r="D129" s="88">
        <v>40</v>
      </c>
      <c r="E129" s="81">
        <f t="shared" si="6"/>
        <v>39542</v>
      </c>
      <c r="F129">
        <v>0.24199999999999999</v>
      </c>
      <c r="G129" s="82">
        <v>60</v>
      </c>
      <c r="H129" t="s">
        <v>45</v>
      </c>
      <c r="I129" s="1" t="s">
        <v>36</v>
      </c>
      <c r="J129" s="33">
        <f t="shared" si="7"/>
        <v>1.0199999999999999E-2</v>
      </c>
      <c r="K129" s="2">
        <v>0.01</v>
      </c>
      <c r="L129" s="64" t="s">
        <v>204</v>
      </c>
      <c r="N129" s="31">
        <v>50</v>
      </c>
    </row>
    <row r="130" spans="2:14" ht="15" thickBot="1" x14ac:dyDescent="0.35">
      <c r="B130" s="31">
        <v>0.40799999999999997</v>
      </c>
      <c r="C130" s="51">
        <v>44337</v>
      </c>
      <c r="D130" s="88">
        <v>40</v>
      </c>
      <c r="E130" s="81">
        <f t="shared" si="6"/>
        <v>29412</v>
      </c>
      <c r="F130">
        <v>0.18</v>
      </c>
      <c r="G130" s="31">
        <v>60</v>
      </c>
      <c r="H130" t="s">
        <v>45</v>
      </c>
      <c r="I130" s="1" t="s">
        <v>36</v>
      </c>
      <c r="J130" s="33">
        <f t="shared" si="7"/>
        <v>1.0199999999999999E-2</v>
      </c>
      <c r="K130" s="2">
        <v>0.01</v>
      </c>
      <c r="L130" s="64" t="s">
        <v>204</v>
      </c>
      <c r="N130" s="31">
        <v>50</v>
      </c>
    </row>
    <row r="131" spans="2:14" ht="15" thickBot="1" x14ac:dyDescent="0.35">
      <c r="B131" s="31">
        <v>0.437</v>
      </c>
      <c r="C131" s="51">
        <v>44337</v>
      </c>
      <c r="D131" s="88">
        <v>44</v>
      </c>
      <c r="E131" s="81">
        <f t="shared" si="6"/>
        <v>23829</v>
      </c>
      <c r="F131">
        <v>0.14200000000000002</v>
      </c>
      <c r="G131" s="82">
        <v>60</v>
      </c>
      <c r="H131" t="s">
        <v>230</v>
      </c>
      <c r="I131" s="1" t="s">
        <v>36</v>
      </c>
      <c r="J131" s="33">
        <f t="shared" si="7"/>
        <v>9.9318181818181823E-3</v>
      </c>
      <c r="K131" s="2">
        <v>0.01</v>
      </c>
      <c r="L131" s="64" t="s">
        <v>204</v>
      </c>
      <c r="N131" s="31">
        <v>50</v>
      </c>
    </row>
    <row r="132" spans="2:14" ht="15" thickBot="1" x14ac:dyDescent="0.35">
      <c r="B132" s="31">
        <v>0.437</v>
      </c>
      <c r="C132" s="51">
        <v>44337</v>
      </c>
      <c r="D132" s="88">
        <v>44</v>
      </c>
      <c r="E132" s="81">
        <f t="shared" ref="E132:E170" si="8">ROUND((F132*1000)/(G132*J132*K132),0)</f>
        <v>26011</v>
      </c>
      <c r="F132">
        <v>0.15499999999999997</v>
      </c>
      <c r="G132" s="31">
        <v>60</v>
      </c>
      <c r="H132" t="s">
        <v>230</v>
      </c>
      <c r="I132" s="1" t="s">
        <v>36</v>
      </c>
      <c r="J132" s="33">
        <f t="shared" si="7"/>
        <v>9.9318181818181823E-3</v>
      </c>
      <c r="K132" s="2">
        <v>0.01</v>
      </c>
      <c r="L132" s="64" t="s">
        <v>204</v>
      </c>
      <c r="N132" s="31">
        <v>50</v>
      </c>
    </row>
    <row r="133" spans="2:14" ht="15" thickBot="1" x14ac:dyDescent="0.35">
      <c r="B133" s="31">
        <v>0.40799999999999997</v>
      </c>
      <c r="C133" s="51">
        <v>44337</v>
      </c>
      <c r="D133" s="88">
        <v>40</v>
      </c>
      <c r="E133" s="81">
        <f t="shared" si="8"/>
        <v>21732</v>
      </c>
      <c r="F133">
        <v>0.13300000000000001</v>
      </c>
      <c r="G133" s="82">
        <v>60</v>
      </c>
      <c r="H133" t="s">
        <v>45</v>
      </c>
      <c r="I133" s="1" t="s">
        <v>36</v>
      </c>
      <c r="J133" s="33">
        <f t="shared" si="7"/>
        <v>1.0199999999999999E-2</v>
      </c>
      <c r="K133" s="2">
        <v>0.01</v>
      </c>
      <c r="L133" s="64" t="s">
        <v>204</v>
      </c>
      <c r="N133" s="31">
        <v>100</v>
      </c>
    </row>
    <row r="134" spans="2:14" ht="15" thickBot="1" x14ac:dyDescent="0.35">
      <c r="B134" s="31">
        <v>0.40799999999999997</v>
      </c>
      <c r="C134" s="51">
        <v>44337</v>
      </c>
      <c r="D134" s="88">
        <v>40</v>
      </c>
      <c r="E134" s="81">
        <f t="shared" si="8"/>
        <v>22712</v>
      </c>
      <c r="F134">
        <v>0.13900000000000001</v>
      </c>
      <c r="G134" s="31">
        <v>60</v>
      </c>
      <c r="H134" t="s">
        <v>45</v>
      </c>
      <c r="I134" s="1" t="s">
        <v>36</v>
      </c>
      <c r="J134" s="33">
        <f t="shared" ref="J134:J136" si="9">B134/D134</f>
        <v>1.0199999999999999E-2</v>
      </c>
      <c r="K134" s="2">
        <v>0.01</v>
      </c>
      <c r="L134" s="64" t="s">
        <v>204</v>
      </c>
      <c r="N134" s="31">
        <v>100</v>
      </c>
    </row>
    <row r="135" spans="2:14" ht="15" thickBot="1" x14ac:dyDescent="0.35">
      <c r="B135" s="31">
        <v>0.437</v>
      </c>
      <c r="C135" s="51">
        <v>44337</v>
      </c>
      <c r="D135" s="88">
        <v>44</v>
      </c>
      <c r="E135" s="81">
        <f t="shared" si="8"/>
        <v>18963</v>
      </c>
      <c r="F135">
        <v>0.11299999999999999</v>
      </c>
      <c r="G135" s="82">
        <v>60</v>
      </c>
      <c r="H135" t="s">
        <v>230</v>
      </c>
      <c r="I135" s="1" t="s">
        <v>36</v>
      </c>
      <c r="J135" s="33">
        <f t="shared" si="9"/>
        <v>9.9318181818181823E-3</v>
      </c>
      <c r="K135" s="2">
        <v>0.01</v>
      </c>
      <c r="L135" s="64" t="s">
        <v>204</v>
      </c>
      <c r="N135" s="31">
        <v>100</v>
      </c>
    </row>
    <row r="136" spans="2:14" ht="15" thickBot="1" x14ac:dyDescent="0.35">
      <c r="B136" s="31">
        <v>0.437</v>
      </c>
      <c r="C136" s="51">
        <v>44337</v>
      </c>
      <c r="D136" s="88">
        <v>44</v>
      </c>
      <c r="E136" s="81">
        <f t="shared" si="8"/>
        <v>19466</v>
      </c>
      <c r="F136">
        <v>0.11599999999999999</v>
      </c>
      <c r="G136" s="31">
        <v>60</v>
      </c>
      <c r="H136" t="s">
        <v>230</v>
      </c>
      <c r="I136" s="1" t="s">
        <v>36</v>
      </c>
      <c r="J136" s="33">
        <f t="shared" si="9"/>
        <v>9.9318181818181823E-3</v>
      </c>
      <c r="K136" s="2">
        <v>0.01</v>
      </c>
      <c r="L136" s="64" t="s">
        <v>204</v>
      </c>
      <c r="N136" s="31">
        <v>100</v>
      </c>
    </row>
    <row r="137" spans="2:14" ht="15" thickBot="1" x14ac:dyDescent="0.35">
      <c r="B137" s="31">
        <v>0.16700000000000001</v>
      </c>
      <c r="C137" s="51">
        <v>44337</v>
      </c>
      <c r="D137" s="88">
        <v>17</v>
      </c>
      <c r="E137" s="81">
        <f t="shared" si="8"/>
        <v>74481</v>
      </c>
      <c r="F137">
        <v>0.439</v>
      </c>
      <c r="G137" s="82">
        <v>60</v>
      </c>
      <c r="H137" t="s">
        <v>228</v>
      </c>
      <c r="I137" s="1" t="s">
        <v>36</v>
      </c>
      <c r="J137" s="33">
        <f t="shared" ref="J137:J146" si="10">B137/D137</f>
        <v>9.8235294117647066E-3</v>
      </c>
      <c r="K137" s="2">
        <v>0.01</v>
      </c>
      <c r="L137" s="64" t="s">
        <v>204</v>
      </c>
      <c r="N137" s="31">
        <v>0</v>
      </c>
    </row>
    <row r="138" spans="2:14" ht="15" thickBot="1" x14ac:dyDescent="0.35">
      <c r="B138" s="31">
        <v>0.16700000000000001</v>
      </c>
      <c r="C138" s="51">
        <v>44337</v>
      </c>
      <c r="D138" s="88">
        <v>17</v>
      </c>
      <c r="E138" s="81">
        <f t="shared" si="8"/>
        <v>82964</v>
      </c>
      <c r="F138">
        <v>0.48899999999999993</v>
      </c>
      <c r="G138" s="31">
        <v>60</v>
      </c>
      <c r="H138" t="s">
        <v>228</v>
      </c>
      <c r="I138" s="1" t="s">
        <v>36</v>
      </c>
      <c r="J138" s="33">
        <f t="shared" si="10"/>
        <v>9.8235294117647066E-3</v>
      </c>
      <c r="K138" s="2">
        <v>0.01</v>
      </c>
      <c r="L138" s="64" t="s">
        <v>204</v>
      </c>
      <c r="N138" s="31">
        <v>0</v>
      </c>
    </row>
    <row r="139" spans="2:14" ht="15" thickBot="1" x14ac:dyDescent="0.35">
      <c r="B139" s="31">
        <v>0.16700000000000001</v>
      </c>
      <c r="C139" s="51">
        <v>44337</v>
      </c>
      <c r="D139" s="88">
        <v>17</v>
      </c>
      <c r="E139" s="81">
        <f t="shared" si="8"/>
        <v>77365</v>
      </c>
      <c r="F139">
        <v>0.45600000000000002</v>
      </c>
      <c r="G139" s="82">
        <v>60</v>
      </c>
      <c r="H139" t="s">
        <v>228</v>
      </c>
      <c r="I139" s="1" t="s">
        <v>36</v>
      </c>
      <c r="J139" s="33">
        <f t="shared" si="10"/>
        <v>9.8235294117647066E-3</v>
      </c>
      <c r="K139" s="2">
        <v>0.01</v>
      </c>
      <c r="L139" s="64" t="s">
        <v>204</v>
      </c>
      <c r="N139" s="31">
        <v>12.5</v>
      </c>
    </row>
    <row r="140" spans="2:14" ht="15" thickBot="1" x14ac:dyDescent="0.35">
      <c r="B140" s="31">
        <v>0.16700000000000001</v>
      </c>
      <c r="C140" s="51">
        <v>44337</v>
      </c>
      <c r="D140" s="88">
        <v>17</v>
      </c>
      <c r="E140" s="81">
        <f t="shared" si="8"/>
        <v>74820</v>
      </c>
      <c r="F140">
        <v>0.441</v>
      </c>
      <c r="G140" s="31">
        <v>60</v>
      </c>
      <c r="H140" t="s">
        <v>228</v>
      </c>
      <c r="I140" s="1" t="s">
        <v>36</v>
      </c>
      <c r="J140" s="33">
        <f t="shared" si="10"/>
        <v>9.8235294117647066E-3</v>
      </c>
      <c r="K140" s="2">
        <v>0.01</v>
      </c>
      <c r="L140" s="64" t="s">
        <v>204</v>
      </c>
      <c r="N140" s="31">
        <v>12.5</v>
      </c>
    </row>
    <row r="141" spans="2:14" ht="15" thickBot="1" x14ac:dyDescent="0.35">
      <c r="B141" s="31">
        <v>0.16700000000000001</v>
      </c>
      <c r="C141" s="51">
        <v>44337</v>
      </c>
      <c r="D141" s="88">
        <v>17</v>
      </c>
      <c r="E141" s="81">
        <f t="shared" si="8"/>
        <v>76008</v>
      </c>
      <c r="F141">
        <v>0.44800000000000001</v>
      </c>
      <c r="G141" s="82">
        <v>60</v>
      </c>
      <c r="H141" t="s">
        <v>228</v>
      </c>
      <c r="I141" s="1" t="s">
        <v>36</v>
      </c>
      <c r="J141" s="33">
        <f t="shared" si="10"/>
        <v>9.8235294117647066E-3</v>
      </c>
      <c r="K141" s="2">
        <v>0.01</v>
      </c>
      <c r="L141" s="64" t="s">
        <v>204</v>
      </c>
      <c r="N141" s="31">
        <v>25</v>
      </c>
    </row>
    <row r="142" spans="2:14" ht="15" thickBot="1" x14ac:dyDescent="0.35">
      <c r="B142" s="31">
        <v>0.16700000000000001</v>
      </c>
      <c r="C142" s="51">
        <v>44337</v>
      </c>
      <c r="D142" s="88">
        <v>17</v>
      </c>
      <c r="E142" s="81">
        <f t="shared" si="8"/>
        <v>74651</v>
      </c>
      <c r="F142">
        <v>0.44</v>
      </c>
      <c r="G142" s="31">
        <v>60</v>
      </c>
      <c r="H142" t="s">
        <v>228</v>
      </c>
      <c r="I142" s="1" t="s">
        <v>36</v>
      </c>
      <c r="J142" s="33">
        <f t="shared" si="10"/>
        <v>9.8235294117647066E-3</v>
      </c>
      <c r="K142" s="2">
        <v>0.01</v>
      </c>
      <c r="L142" s="64" t="s">
        <v>204</v>
      </c>
      <c r="N142" s="31">
        <v>25</v>
      </c>
    </row>
    <row r="143" spans="2:14" ht="15" thickBot="1" x14ac:dyDescent="0.35">
      <c r="B143" s="31">
        <v>0.16700000000000001</v>
      </c>
      <c r="C143" s="51">
        <v>44337</v>
      </c>
      <c r="D143" s="88">
        <v>17</v>
      </c>
      <c r="E143" s="81">
        <f t="shared" si="8"/>
        <v>72445</v>
      </c>
      <c r="F143">
        <v>0.42699999999999999</v>
      </c>
      <c r="G143" s="82">
        <v>60</v>
      </c>
      <c r="H143" t="s">
        <v>228</v>
      </c>
      <c r="I143" s="1" t="s">
        <v>36</v>
      </c>
      <c r="J143" s="33">
        <f t="shared" si="10"/>
        <v>9.8235294117647066E-3</v>
      </c>
      <c r="K143" s="2">
        <v>0.01</v>
      </c>
      <c r="L143" s="64" t="s">
        <v>204</v>
      </c>
      <c r="N143" s="31">
        <v>50</v>
      </c>
    </row>
    <row r="144" spans="2:14" ht="15" thickBot="1" x14ac:dyDescent="0.35">
      <c r="B144" s="31">
        <v>0.16700000000000001</v>
      </c>
      <c r="C144" s="51">
        <v>44337</v>
      </c>
      <c r="D144" s="88">
        <v>17</v>
      </c>
      <c r="E144" s="81">
        <f t="shared" si="8"/>
        <v>73463</v>
      </c>
      <c r="F144">
        <v>0.433</v>
      </c>
      <c r="G144" s="31">
        <v>60</v>
      </c>
      <c r="H144" t="s">
        <v>228</v>
      </c>
      <c r="I144" s="1" t="s">
        <v>36</v>
      </c>
      <c r="J144" s="33">
        <f t="shared" si="10"/>
        <v>9.8235294117647066E-3</v>
      </c>
      <c r="K144" s="2">
        <v>0.01</v>
      </c>
      <c r="L144" s="64" t="s">
        <v>204</v>
      </c>
      <c r="N144" s="31">
        <v>50</v>
      </c>
    </row>
    <row r="145" spans="1:14" ht="15" thickBot="1" x14ac:dyDescent="0.35">
      <c r="B145" s="31">
        <v>0.16700000000000001</v>
      </c>
      <c r="C145" s="51">
        <v>44337</v>
      </c>
      <c r="D145" s="88">
        <v>17</v>
      </c>
      <c r="E145" s="81">
        <f t="shared" si="8"/>
        <v>78723</v>
      </c>
      <c r="F145">
        <v>0.46400000000000002</v>
      </c>
      <c r="G145" s="82">
        <v>60</v>
      </c>
      <c r="H145" t="s">
        <v>228</v>
      </c>
      <c r="I145" s="1" t="s">
        <v>36</v>
      </c>
      <c r="J145" s="33">
        <f t="shared" si="10"/>
        <v>9.8235294117647066E-3</v>
      </c>
      <c r="K145" s="2">
        <v>0.01</v>
      </c>
      <c r="L145" s="64" t="s">
        <v>204</v>
      </c>
      <c r="N145" s="31">
        <v>100</v>
      </c>
    </row>
    <row r="146" spans="1:14" ht="29.4" thickBot="1" x14ac:dyDescent="0.35">
      <c r="B146" s="31">
        <v>0.16700000000000001</v>
      </c>
      <c r="C146" s="51">
        <v>44337</v>
      </c>
      <c r="D146" s="88">
        <v>17</v>
      </c>
      <c r="E146" s="81">
        <f t="shared" si="8"/>
        <v>85916</v>
      </c>
      <c r="F146">
        <v>0.42199999999999999</v>
      </c>
      <c r="G146" s="31">
        <v>50</v>
      </c>
      <c r="H146" t="s">
        <v>228</v>
      </c>
      <c r="I146" s="1" t="s">
        <v>36</v>
      </c>
      <c r="J146" s="33">
        <f t="shared" si="10"/>
        <v>9.8235294117647066E-3</v>
      </c>
      <c r="K146" s="2">
        <v>0.01</v>
      </c>
      <c r="L146" s="64" t="s">
        <v>290</v>
      </c>
      <c r="N146" s="31">
        <v>100</v>
      </c>
    </row>
    <row r="147" spans="1:14" ht="29.4" thickBot="1" x14ac:dyDescent="0.35">
      <c r="A147" s="74" t="s">
        <v>206</v>
      </c>
      <c r="B147" s="39">
        <v>0.35634353741496605</v>
      </c>
      <c r="C147" s="51">
        <v>44348</v>
      </c>
      <c r="D147" s="88">
        <v>35</v>
      </c>
      <c r="E147" s="81">
        <f t="shared" si="8"/>
        <v>41449</v>
      </c>
      <c r="F147">
        <v>0.21100000000000002</v>
      </c>
      <c r="G147" s="31">
        <v>50</v>
      </c>
      <c r="H147" t="s">
        <v>32</v>
      </c>
      <c r="I147" s="31" t="s">
        <v>33</v>
      </c>
      <c r="J147" s="33">
        <f>B147/D147</f>
        <v>1.0181243926141887E-2</v>
      </c>
      <c r="K147" s="2">
        <v>0.01</v>
      </c>
      <c r="L147" s="64" t="s">
        <v>290</v>
      </c>
      <c r="M147" t="s">
        <v>271</v>
      </c>
      <c r="N147" s="31">
        <v>0</v>
      </c>
    </row>
    <row r="148" spans="1:14" ht="29.4" thickBot="1" x14ac:dyDescent="0.35">
      <c r="A148" s="74" t="s">
        <v>206</v>
      </c>
      <c r="B148" s="39">
        <v>0.35634353741496605</v>
      </c>
      <c r="C148" s="51">
        <v>44348</v>
      </c>
      <c r="D148" s="88">
        <v>35</v>
      </c>
      <c r="E148" s="81">
        <f t="shared" si="8"/>
        <v>11983</v>
      </c>
      <c r="F148">
        <v>6.1000000000000013E-2</v>
      </c>
      <c r="G148" s="31">
        <v>50</v>
      </c>
      <c r="H148" t="s">
        <v>32</v>
      </c>
      <c r="I148" s="31" t="s">
        <v>33</v>
      </c>
      <c r="J148" s="33">
        <f t="shared" ref="J148:J170" si="11">B148/D148</f>
        <v>1.0181243926141887E-2</v>
      </c>
      <c r="K148" s="2">
        <v>0.01</v>
      </c>
      <c r="L148" s="64" t="s">
        <v>290</v>
      </c>
      <c r="M148" t="s">
        <v>274</v>
      </c>
      <c r="N148" s="31">
        <v>150</v>
      </c>
    </row>
    <row r="149" spans="1:14" ht="29.4" thickBot="1" x14ac:dyDescent="0.35">
      <c r="A149" s="74" t="s">
        <v>206</v>
      </c>
      <c r="B149" s="39">
        <v>0.35634353741496605</v>
      </c>
      <c r="C149" s="51">
        <v>44348</v>
      </c>
      <c r="D149" s="88">
        <v>35</v>
      </c>
      <c r="E149" s="81">
        <f t="shared" si="8"/>
        <v>6875</v>
      </c>
      <c r="F149">
        <v>3.4999999999999989E-2</v>
      </c>
      <c r="G149" s="31">
        <v>50</v>
      </c>
      <c r="H149" t="s">
        <v>32</v>
      </c>
      <c r="I149" s="31" t="s">
        <v>33</v>
      </c>
      <c r="J149" s="33">
        <f t="shared" si="11"/>
        <v>1.0181243926141887E-2</v>
      </c>
      <c r="K149" s="2">
        <v>0.01</v>
      </c>
      <c r="L149" s="64" t="s">
        <v>290</v>
      </c>
      <c r="M149" t="s">
        <v>275</v>
      </c>
      <c r="N149" s="31">
        <v>5000</v>
      </c>
    </row>
    <row r="150" spans="1:14" ht="29.4" thickBot="1" x14ac:dyDescent="0.35">
      <c r="A150" s="74" t="s">
        <v>206</v>
      </c>
      <c r="B150" s="39">
        <v>0.24920068027210884</v>
      </c>
      <c r="C150" s="51">
        <v>44348</v>
      </c>
      <c r="D150" s="88">
        <v>25</v>
      </c>
      <c r="E150" s="81">
        <f t="shared" si="8"/>
        <v>-803</v>
      </c>
      <c r="F150">
        <v>-4.0000000000000036E-3</v>
      </c>
      <c r="G150" s="31">
        <v>50</v>
      </c>
      <c r="H150" t="s">
        <v>34</v>
      </c>
      <c r="I150" s="31" t="s">
        <v>33</v>
      </c>
      <c r="J150" s="33">
        <f t="shared" si="11"/>
        <v>9.9680272108843542E-3</v>
      </c>
      <c r="K150" s="2">
        <v>0.01</v>
      </c>
      <c r="L150" s="64" t="s">
        <v>290</v>
      </c>
      <c r="M150" t="s">
        <v>276</v>
      </c>
      <c r="N150" s="93">
        <v>0</v>
      </c>
    </row>
    <row r="151" spans="1:14" ht="29.4" thickBot="1" x14ac:dyDescent="0.35">
      <c r="A151" s="74" t="s">
        <v>206</v>
      </c>
      <c r="B151" s="39">
        <v>0.24920068027210884</v>
      </c>
      <c r="C151" s="51">
        <v>44348</v>
      </c>
      <c r="D151" s="88">
        <v>25</v>
      </c>
      <c r="E151" s="81">
        <f t="shared" si="8"/>
        <v>45144</v>
      </c>
      <c r="F151">
        <v>0.22500000000000003</v>
      </c>
      <c r="G151" s="31">
        <v>50</v>
      </c>
      <c r="H151" t="s">
        <v>34</v>
      </c>
      <c r="I151" s="31" t="s">
        <v>33</v>
      </c>
      <c r="J151" s="33">
        <f t="shared" si="11"/>
        <v>9.9680272108843542E-3</v>
      </c>
      <c r="K151" s="2">
        <v>0.01</v>
      </c>
      <c r="L151" s="64" t="s">
        <v>290</v>
      </c>
      <c r="M151" t="s">
        <v>277</v>
      </c>
      <c r="N151" s="93">
        <v>150</v>
      </c>
    </row>
    <row r="152" spans="1:14" ht="29.4" thickBot="1" x14ac:dyDescent="0.35">
      <c r="A152" s="74" t="s">
        <v>206</v>
      </c>
      <c r="B152" s="39">
        <v>0.24920068027210884</v>
      </c>
      <c r="C152" s="51">
        <v>44348</v>
      </c>
      <c r="D152" s="88">
        <v>25</v>
      </c>
      <c r="E152" s="81">
        <f t="shared" si="8"/>
        <v>3210</v>
      </c>
      <c r="F152">
        <v>1.6E-2</v>
      </c>
      <c r="G152" s="31">
        <v>50</v>
      </c>
      <c r="H152" t="s">
        <v>34</v>
      </c>
      <c r="I152" s="31" t="s">
        <v>33</v>
      </c>
      <c r="J152" s="33">
        <f t="shared" si="11"/>
        <v>9.9680272108843542E-3</v>
      </c>
      <c r="K152" s="2">
        <v>0.01</v>
      </c>
      <c r="L152" s="64" t="s">
        <v>290</v>
      </c>
      <c r="M152" t="s">
        <v>278</v>
      </c>
      <c r="N152" s="93">
        <v>5000</v>
      </c>
    </row>
    <row r="153" spans="1:14" ht="29.4" thickBot="1" x14ac:dyDescent="0.35">
      <c r="A153" s="74" t="s">
        <v>206</v>
      </c>
      <c r="B153" s="39">
        <v>4.9030612244897971E-2</v>
      </c>
      <c r="C153" s="51">
        <v>44348</v>
      </c>
      <c r="D153" s="88">
        <v>5</v>
      </c>
      <c r="E153" s="81">
        <f t="shared" si="8"/>
        <v>-408</v>
      </c>
      <c r="F153" s="26">
        <v>-2.0000000000000018E-3</v>
      </c>
      <c r="G153" s="31">
        <v>50</v>
      </c>
      <c r="H153" t="s">
        <v>35</v>
      </c>
      <c r="I153" s="31" t="s">
        <v>33</v>
      </c>
      <c r="J153" s="33">
        <f t="shared" si="11"/>
        <v>9.8061224489795935E-3</v>
      </c>
      <c r="K153" s="2">
        <v>0.01</v>
      </c>
      <c r="L153" s="64" t="s">
        <v>290</v>
      </c>
      <c r="M153" t="s">
        <v>279</v>
      </c>
      <c r="N153" s="93">
        <v>0</v>
      </c>
    </row>
    <row r="154" spans="1:14" ht="29.4" thickBot="1" x14ac:dyDescent="0.35">
      <c r="A154" s="74" t="s">
        <v>206</v>
      </c>
      <c r="B154" s="39">
        <v>4.9030612244897971E-2</v>
      </c>
      <c r="C154" s="51">
        <v>44348</v>
      </c>
      <c r="D154" s="88">
        <v>5</v>
      </c>
      <c r="E154" s="81">
        <f>ROUND((F154*1000)/(G154*J154*K154),0)</f>
        <v>13257</v>
      </c>
      <c r="F154" s="26">
        <v>6.5000000000000016E-2</v>
      </c>
      <c r="G154" s="31">
        <v>50</v>
      </c>
      <c r="H154" t="s">
        <v>35</v>
      </c>
      <c r="I154" s="31" t="s">
        <v>33</v>
      </c>
      <c r="J154" s="33">
        <f t="shared" si="11"/>
        <v>9.8061224489795935E-3</v>
      </c>
      <c r="K154" s="2">
        <v>0.01</v>
      </c>
      <c r="L154" s="64" t="s">
        <v>290</v>
      </c>
      <c r="M154" t="s">
        <v>280</v>
      </c>
      <c r="N154" s="93">
        <v>150</v>
      </c>
    </row>
    <row r="155" spans="1:14" ht="29.4" thickBot="1" x14ac:dyDescent="0.35">
      <c r="A155" s="74" t="s">
        <v>206</v>
      </c>
      <c r="B155" s="39">
        <v>4.9030612244897971E-2</v>
      </c>
      <c r="C155" s="51">
        <v>44348</v>
      </c>
      <c r="D155" s="88">
        <v>5</v>
      </c>
      <c r="E155" s="81">
        <f t="shared" si="8"/>
        <v>2040</v>
      </c>
      <c r="F155" s="26">
        <v>9.999999999999995E-3</v>
      </c>
      <c r="G155" s="31">
        <v>50</v>
      </c>
      <c r="H155" t="s">
        <v>35</v>
      </c>
      <c r="I155" s="31" t="s">
        <v>33</v>
      </c>
      <c r="J155" s="33">
        <f t="shared" si="11"/>
        <v>9.8061224489795935E-3</v>
      </c>
      <c r="K155" s="2">
        <v>0.01</v>
      </c>
      <c r="L155" s="64" t="s">
        <v>290</v>
      </c>
      <c r="M155" t="s">
        <v>281</v>
      </c>
      <c r="N155" s="93">
        <v>5000</v>
      </c>
    </row>
    <row r="156" spans="1:14" ht="29.4" thickBot="1" x14ac:dyDescent="0.35">
      <c r="A156" s="74" t="s">
        <v>206</v>
      </c>
      <c r="B156" s="39">
        <v>6.9948979591836727E-2</v>
      </c>
      <c r="C156" s="51">
        <v>44348</v>
      </c>
      <c r="D156" s="88">
        <v>7</v>
      </c>
      <c r="E156" s="81">
        <f t="shared" si="8"/>
        <v>39229</v>
      </c>
      <c r="F156">
        <v>0.19600000000000001</v>
      </c>
      <c r="G156" s="31">
        <v>50</v>
      </c>
      <c r="H156" t="s">
        <v>272</v>
      </c>
      <c r="I156" s="31" t="s">
        <v>33</v>
      </c>
      <c r="J156" s="33">
        <f t="shared" si="11"/>
        <v>9.9927113702623898E-3</v>
      </c>
      <c r="K156" s="2">
        <v>0.01</v>
      </c>
      <c r="L156" s="64" t="s">
        <v>290</v>
      </c>
      <c r="M156" t="s">
        <v>282</v>
      </c>
      <c r="N156" s="93">
        <v>0</v>
      </c>
    </row>
    <row r="157" spans="1:14" ht="29.4" thickBot="1" x14ac:dyDescent="0.35">
      <c r="A157" s="74" t="s">
        <v>206</v>
      </c>
      <c r="B157" s="39">
        <v>6.9948979591836727E-2</v>
      </c>
      <c r="C157" s="51">
        <v>44348</v>
      </c>
      <c r="D157" s="88">
        <v>7</v>
      </c>
      <c r="E157" s="81">
        <f t="shared" si="8"/>
        <v>45833</v>
      </c>
      <c r="F157">
        <v>0.22900000000000004</v>
      </c>
      <c r="G157" s="31">
        <v>50</v>
      </c>
      <c r="H157" t="s">
        <v>272</v>
      </c>
      <c r="I157" s="31" t="s">
        <v>33</v>
      </c>
      <c r="J157" s="33">
        <f t="shared" si="11"/>
        <v>9.9927113702623898E-3</v>
      </c>
      <c r="K157" s="2">
        <v>0.01</v>
      </c>
      <c r="L157" s="64" t="s">
        <v>290</v>
      </c>
      <c r="M157" t="s">
        <v>283</v>
      </c>
      <c r="N157" s="93">
        <v>150</v>
      </c>
    </row>
    <row r="158" spans="1:14" ht="29.4" thickBot="1" x14ac:dyDescent="0.35">
      <c r="A158" s="74" t="s">
        <v>206</v>
      </c>
      <c r="B158" s="39">
        <v>6.9948979591836727E-2</v>
      </c>
      <c r="C158" s="51">
        <v>44348</v>
      </c>
      <c r="D158" s="88">
        <v>7</v>
      </c>
      <c r="E158" s="81">
        <f t="shared" si="8"/>
        <v>45833</v>
      </c>
      <c r="F158">
        <v>0.22900000000000004</v>
      </c>
      <c r="G158" s="31">
        <v>50</v>
      </c>
      <c r="H158" t="s">
        <v>272</v>
      </c>
      <c r="I158" s="31" t="s">
        <v>33</v>
      </c>
      <c r="J158" s="33">
        <f t="shared" si="11"/>
        <v>9.9927113702623898E-3</v>
      </c>
      <c r="K158" s="2">
        <v>0.01</v>
      </c>
      <c r="L158" s="64" t="s">
        <v>290</v>
      </c>
      <c r="M158" t="s">
        <v>284</v>
      </c>
      <c r="N158" s="93">
        <v>5000</v>
      </c>
    </row>
    <row r="159" spans="1:14" ht="29.4" thickBot="1" x14ac:dyDescent="0.35">
      <c r="A159" s="74" t="s">
        <v>206</v>
      </c>
      <c r="B159" s="39">
        <v>0.16688775510204082</v>
      </c>
      <c r="C159" s="51">
        <v>44348</v>
      </c>
      <c r="D159" s="88">
        <v>15</v>
      </c>
      <c r="E159" s="81">
        <f t="shared" si="8"/>
        <v>35593</v>
      </c>
      <c r="F159">
        <v>0.19800000000000001</v>
      </c>
      <c r="G159" s="31">
        <v>50</v>
      </c>
      <c r="H159" t="s">
        <v>140</v>
      </c>
      <c r="I159" s="31" t="s">
        <v>33</v>
      </c>
      <c r="J159" s="33">
        <f t="shared" si="11"/>
        <v>1.1125850340136054E-2</v>
      </c>
      <c r="K159" s="2">
        <v>0.01</v>
      </c>
      <c r="L159" s="64" t="s">
        <v>290</v>
      </c>
      <c r="M159" t="s">
        <v>184</v>
      </c>
      <c r="N159" s="93">
        <v>0</v>
      </c>
    </row>
    <row r="160" spans="1:14" ht="29.4" thickBot="1" x14ac:dyDescent="0.35">
      <c r="A160" s="74" t="s">
        <v>206</v>
      </c>
      <c r="B160" s="39">
        <v>0.16688775510204082</v>
      </c>
      <c r="C160" s="51">
        <v>44348</v>
      </c>
      <c r="D160" s="88">
        <v>15</v>
      </c>
      <c r="E160" s="81">
        <f t="shared" si="8"/>
        <v>40806</v>
      </c>
      <c r="F160">
        <v>0.22700000000000004</v>
      </c>
      <c r="G160" s="31">
        <v>50</v>
      </c>
      <c r="H160" t="s">
        <v>140</v>
      </c>
      <c r="I160" s="31" t="s">
        <v>33</v>
      </c>
      <c r="J160" s="33">
        <f t="shared" si="11"/>
        <v>1.1125850340136054E-2</v>
      </c>
      <c r="K160" s="2">
        <v>0.01</v>
      </c>
      <c r="L160" s="64" t="s">
        <v>290</v>
      </c>
      <c r="M160" t="s">
        <v>185</v>
      </c>
      <c r="N160" s="93">
        <v>150</v>
      </c>
    </row>
    <row r="161" spans="1:14" ht="29.4" thickBot="1" x14ac:dyDescent="0.35">
      <c r="A161" s="74" t="s">
        <v>206</v>
      </c>
      <c r="B161" s="39">
        <v>0.16688775510204082</v>
      </c>
      <c r="C161" s="51">
        <v>44348</v>
      </c>
      <c r="D161" s="88">
        <v>15</v>
      </c>
      <c r="E161" s="81">
        <f t="shared" si="8"/>
        <v>40986</v>
      </c>
      <c r="F161">
        <v>0.22800000000000004</v>
      </c>
      <c r="G161" s="31">
        <v>50</v>
      </c>
      <c r="H161" t="s">
        <v>140</v>
      </c>
      <c r="I161" s="31" t="s">
        <v>33</v>
      </c>
      <c r="J161" s="33">
        <f t="shared" si="11"/>
        <v>1.1125850340136054E-2</v>
      </c>
      <c r="K161" s="2">
        <v>0.01</v>
      </c>
      <c r="L161" s="64" t="s">
        <v>290</v>
      </c>
      <c r="M161" t="s">
        <v>186</v>
      </c>
      <c r="N161" s="93">
        <v>5000</v>
      </c>
    </row>
    <row r="162" spans="1:14" ht="29.4" thickBot="1" x14ac:dyDescent="0.35">
      <c r="A162" s="74" t="s">
        <v>206</v>
      </c>
      <c r="B162" s="39">
        <v>0.34954081632653061</v>
      </c>
      <c r="C162" s="51">
        <v>44348</v>
      </c>
      <c r="D162" s="88">
        <v>35</v>
      </c>
      <c r="E162" s="81">
        <f t="shared" si="8"/>
        <v>-1402</v>
      </c>
      <c r="F162">
        <v>-6.9999999999999923E-3</v>
      </c>
      <c r="G162" s="31">
        <v>50</v>
      </c>
      <c r="H162" t="s">
        <v>143</v>
      </c>
      <c r="I162" s="31" t="s">
        <v>33</v>
      </c>
      <c r="J162" s="33">
        <f t="shared" si="11"/>
        <v>9.9868804664723036E-3</v>
      </c>
      <c r="K162" s="2">
        <v>0.01</v>
      </c>
      <c r="L162" s="64" t="s">
        <v>290</v>
      </c>
      <c r="M162" t="s">
        <v>187</v>
      </c>
      <c r="N162" s="93">
        <v>0</v>
      </c>
    </row>
    <row r="163" spans="1:14" ht="29.4" thickBot="1" x14ac:dyDescent="0.35">
      <c r="A163" s="74" t="s">
        <v>206</v>
      </c>
      <c r="B163" s="39">
        <v>0.34954081632653061</v>
      </c>
      <c r="C163" s="51">
        <v>44348</v>
      </c>
      <c r="D163" s="88">
        <v>35</v>
      </c>
      <c r="E163" s="81">
        <f t="shared" si="8"/>
        <v>5407</v>
      </c>
      <c r="F163">
        <v>2.700000000000001E-2</v>
      </c>
      <c r="G163" s="31">
        <v>50</v>
      </c>
      <c r="H163" t="s">
        <v>143</v>
      </c>
      <c r="I163" s="31" t="s">
        <v>33</v>
      </c>
      <c r="J163" s="33">
        <f t="shared" si="11"/>
        <v>9.9868804664723036E-3</v>
      </c>
      <c r="K163" s="2">
        <v>0.01</v>
      </c>
      <c r="L163" s="64" t="s">
        <v>290</v>
      </c>
      <c r="M163" t="s">
        <v>285</v>
      </c>
      <c r="N163" s="93">
        <v>150</v>
      </c>
    </row>
    <row r="164" spans="1:14" ht="29.4" thickBot="1" x14ac:dyDescent="0.35">
      <c r="A164" s="74" t="s">
        <v>206</v>
      </c>
      <c r="B164" s="39">
        <v>0.34954081632653061</v>
      </c>
      <c r="C164" s="51">
        <v>44348</v>
      </c>
      <c r="D164" s="88">
        <v>35</v>
      </c>
      <c r="E164" s="81">
        <f t="shared" si="8"/>
        <v>2603</v>
      </c>
      <c r="F164">
        <v>1.2999999999999998E-2</v>
      </c>
      <c r="G164" s="31">
        <v>50</v>
      </c>
      <c r="H164" t="s">
        <v>143</v>
      </c>
      <c r="I164" s="31" t="s">
        <v>33</v>
      </c>
      <c r="J164" s="33">
        <f t="shared" si="11"/>
        <v>9.9868804664723036E-3</v>
      </c>
      <c r="K164" s="2">
        <v>0.01</v>
      </c>
      <c r="L164" s="64" t="s">
        <v>290</v>
      </c>
      <c r="M164" t="s">
        <v>286</v>
      </c>
      <c r="N164" s="93">
        <v>5000</v>
      </c>
    </row>
    <row r="165" spans="1:14" ht="29.4" thickBot="1" x14ac:dyDescent="0.35">
      <c r="A165" s="74" t="s">
        <v>206</v>
      </c>
      <c r="B165" s="39">
        <v>0.36025510204081629</v>
      </c>
      <c r="C165" s="51">
        <v>44348</v>
      </c>
      <c r="D165" s="88">
        <v>35</v>
      </c>
      <c r="E165" s="81">
        <f t="shared" si="8"/>
        <v>39056</v>
      </c>
      <c r="F165">
        <v>0.20100000000000001</v>
      </c>
      <c r="G165" s="31">
        <v>50</v>
      </c>
      <c r="H165" t="s">
        <v>141</v>
      </c>
      <c r="I165" s="31" t="s">
        <v>33</v>
      </c>
      <c r="J165" s="33">
        <f t="shared" si="11"/>
        <v>1.0293002915451894E-2</v>
      </c>
      <c r="K165" s="2">
        <v>0.01</v>
      </c>
      <c r="L165" s="64" t="s">
        <v>290</v>
      </c>
      <c r="M165" t="s">
        <v>188</v>
      </c>
      <c r="N165" s="93">
        <v>0</v>
      </c>
    </row>
    <row r="166" spans="1:14" ht="29.4" thickBot="1" x14ac:dyDescent="0.35">
      <c r="A166" s="74" t="s">
        <v>206</v>
      </c>
      <c r="B166" s="39">
        <v>0.36025510204081629</v>
      </c>
      <c r="C166" s="51">
        <v>44348</v>
      </c>
      <c r="D166" s="88">
        <v>35</v>
      </c>
      <c r="E166" s="81">
        <f t="shared" si="8"/>
        <v>26426</v>
      </c>
      <c r="F166">
        <v>0.13600000000000001</v>
      </c>
      <c r="G166" s="31">
        <v>50</v>
      </c>
      <c r="H166" t="s">
        <v>141</v>
      </c>
      <c r="I166" s="31" t="s">
        <v>33</v>
      </c>
      <c r="J166" s="33">
        <f t="shared" si="11"/>
        <v>1.0293002915451894E-2</v>
      </c>
      <c r="K166" s="2">
        <v>0.01</v>
      </c>
      <c r="L166" s="64" t="s">
        <v>290</v>
      </c>
      <c r="M166" t="s">
        <v>189</v>
      </c>
      <c r="N166" s="93">
        <v>150</v>
      </c>
    </row>
    <row r="167" spans="1:14" ht="29.4" thickBot="1" x14ac:dyDescent="0.35">
      <c r="A167" s="74" t="s">
        <v>206</v>
      </c>
      <c r="B167" s="39">
        <v>0.36025510204081629</v>
      </c>
      <c r="C167" s="51">
        <v>44348</v>
      </c>
      <c r="D167" s="88">
        <v>35</v>
      </c>
      <c r="E167" s="81">
        <f t="shared" si="8"/>
        <v>18071</v>
      </c>
      <c r="F167">
        <v>9.2999999999999985E-2</v>
      </c>
      <c r="G167" s="31">
        <v>50</v>
      </c>
      <c r="H167" t="s">
        <v>141</v>
      </c>
      <c r="I167" s="31" t="s">
        <v>33</v>
      </c>
      <c r="J167" s="33">
        <f t="shared" si="11"/>
        <v>1.0293002915451894E-2</v>
      </c>
      <c r="K167" s="2">
        <v>0.01</v>
      </c>
      <c r="L167" s="64" t="s">
        <v>290</v>
      </c>
      <c r="M167" t="s">
        <v>190</v>
      </c>
      <c r="N167" s="93">
        <v>5000</v>
      </c>
    </row>
    <row r="168" spans="1:14" ht="29.4" thickBot="1" x14ac:dyDescent="0.35">
      <c r="A168" s="74" t="s">
        <v>206</v>
      </c>
      <c r="B168" s="39">
        <v>0.43729591836734694</v>
      </c>
      <c r="C168" s="51">
        <v>44348</v>
      </c>
      <c r="D168" s="88">
        <v>45</v>
      </c>
      <c r="E168" s="81">
        <f t="shared" si="8"/>
        <v>42603</v>
      </c>
      <c r="F168">
        <v>0.20700000000000002</v>
      </c>
      <c r="G168" s="31">
        <v>50</v>
      </c>
      <c r="H168" t="s">
        <v>273</v>
      </c>
      <c r="I168" s="31" t="s">
        <v>33</v>
      </c>
      <c r="J168" s="33">
        <f t="shared" si="11"/>
        <v>9.7176870748299313E-3</v>
      </c>
      <c r="K168" s="2">
        <v>0.01</v>
      </c>
      <c r="L168" s="64" t="s">
        <v>290</v>
      </c>
      <c r="M168" t="s">
        <v>192</v>
      </c>
      <c r="N168" s="93">
        <v>0</v>
      </c>
    </row>
    <row r="169" spans="1:14" ht="29.4" thickBot="1" x14ac:dyDescent="0.35">
      <c r="A169" s="74" t="s">
        <v>206</v>
      </c>
      <c r="B169" s="39">
        <v>0.43729591836734694</v>
      </c>
      <c r="C169" s="51">
        <v>44348</v>
      </c>
      <c r="D169" s="88">
        <v>45</v>
      </c>
      <c r="E169" s="81">
        <f t="shared" si="8"/>
        <v>15642</v>
      </c>
      <c r="F169">
        <v>7.5999999999999998E-2</v>
      </c>
      <c r="G169" s="31">
        <v>50</v>
      </c>
      <c r="H169" t="s">
        <v>273</v>
      </c>
      <c r="I169" s="31" t="s">
        <v>33</v>
      </c>
      <c r="J169" s="33">
        <f t="shared" si="11"/>
        <v>9.7176870748299313E-3</v>
      </c>
      <c r="K169" s="2">
        <v>0.01</v>
      </c>
      <c r="L169" s="64" t="s">
        <v>290</v>
      </c>
      <c r="M169" t="s">
        <v>287</v>
      </c>
      <c r="N169" s="93">
        <v>150</v>
      </c>
    </row>
    <row r="170" spans="1:14" ht="29.4" thickBot="1" x14ac:dyDescent="0.35">
      <c r="A170" s="74" t="s">
        <v>206</v>
      </c>
      <c r="B170" s="39">
        <v>0.43729591836734694</v>
      </c>
      <c r="C170" s="51">
        <v>44348</v>
      </c>
      <c r="D170" s="88">
        <v>45</v>
      </c>
      <c r="E170" s="81">
        <f t="shared" si="8"/>
        <v>15847</v>
      </c>
      <c r="F170">
        <v>7.6999999999999999E-2</v>
      </c>
      <c r="G170" s="31">
        <v>50</v>
      </c>
      <c r="H170" t="s">
        <v>273</v>
      </c>
      <c r="I170" s="31" t="s">
        <v>33</v>
      </c>
      <c r="J170" s="33">
        <f t="shared" si="11"/>
        <v>9.7176870748299313E-3</v>
      </c>
      <c r="K170" s="2">
        <v>0.01</v>
      </c>
      <c r="L170" s="64" t="s">
        <v>290</v>
      </c>
      <c r="M170" t="s">
        <v>288</v>
      </c>
      <c r="N170" s="93">
        <v>5000</v>
      </c>
    </row>
    <row r="171" spans="1:14" x14ac:dyDescent="0.3">
      <c r="B171" s="39"/>
    </row>
    <row r="172" spans="1:14" x14ac:dyDescent="0.3">
      <c r="B172" s="39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5"/>
  <sheetViews>
    <sheetView topLeftCell="A13" workbookViewId="0">
      <selection activeCell="B1" sqref="B1:D4"/>
    </sheetView>
  </sheetViews>
  <sheetFormatPr defaultRowHeight="14.4" x14ac:dyDescent="0.3"/>
  <sheetData>
    <row r="1" spans="2:8" x14ac:dyDescent="0.3">
      <c r="C1" t="s">
        <v>213</v>
      </c>
      <c r="D1" t="s">
        <v>214</v>
      </c>
      <c r="H1" t="s">
        <v>215</v>
      </c>
    </row>
    <row r="2" spans="2:8" x14ac:dyDescent="0.3">
      <c r="B2" s="13" t="s">
        <v>216</v>
      </c>
      <c r="C2">
        <v>1713</v>
      </c>
      <c r="D2">
        <v>1717</v>
      </c>
      <c r="H2">
        <v>0</v>
      </c>
    </row>
    <row r="3" spans="2:8" x14ac:dyDescent="0.3">
      <c r="B3" s="13" t="s">
        <v>217</v>
      </c>
      <c r="C3">
        <v>12697</v>
      </c>
      <c r="D3">
        <v>8047</v>
      </c>
      <c r="H3">
        <v>0</v>
      </c>
    </row>
    <row r="4" spans="2:8" x14ac:dyDescent="0.3">
      <c r="B4" s="13" t="s">
        <v>218</v>
      </c>
      <c r="C4">
        <v>116953</v>
      </c>
      <c r="D4">
        <v>43276</v>
      </c>
      <c r="H4">
        <v>0</v>
      </c>
    </row>
    <row r="5" spans="2:8" x14ac:dyDescent="0.3">
      <c r="H5">
        <v>5</v>
      </c>
    </row>
    <row r="6" spans="2:8" x14ac:dyDescent="0.3">
      <c r="C6" t="s">
        <v>213</v>
      </c>
      <c r="D6" t="s">
        <v>214</v>
      </c>
      <c r="H6">
        <v>5</v>
      </c>
    </row>
    <row r="7" spans="2:8" x14ac:dyDescent="0.3">
      <c r="B7" s="13" t="s">
        <v>216</v>
      </c>
      <c r="C7" s="14">
        <v>1</v>
      </c>
      <c r="D7" s="14">
        <f>D2/C2</f>
        <v>1.0023350846468184</v>
      </c>
      <c r="H7">
        <v>5</v>
      </c>
    </row>
    <row r="8" spans="2:8" x14ac:dyDescent="0.3">
      <c r="B8" s="13" t="s">
        <v>217</v>
      </c>
      <c r="C8" s="14">
        <v>1</v>
      </c>
      <c r="D8" s="14">
        <f t="shared" ref="D8:D9" si="0">D3/C3</f>
        <v>0.63377175710797828</v>
      </c>
    </row>
    <row r="9" spans="2:8" x14ac:dyDescent="0.3">
      <c r="B9" s="13" t="s">
        <v>218</v>
      </c>
      <c r="C9" s="14">
        <v>1</v>
      </c>
      <c r="D9" s="14">
        <f t="shared" si="0"/>
        <v>0.37002898600292428</v>
      </c>
    </row>
    <row r="10" spans="2:8" x14ac:dyDescent="0.3">
      <c r="F10">
        <v>1713</v>
      </c>
    </row>
    <row r="11" spans="2:8" x14ac:dyDescent="0.3">
      <c r="F11">
        <v>12697</v>
      </c>
    </row>
    <row r="12" spans="2:8" x14ac:dyDescent="0.3">
      <c r="F12">
        <v>116953</v>
      </c>
    </row>
    <row r="13" spans="2:8" x14ac:dyDescent="0.3">
      <c r="F13">
        <v>1717</v>
      </c>
    </row>
    <row r="14" spans="2:8" x14ac:dyDescent="0.3">
      <c r="F14">
        <v>8047</v>
      </c>
    </row>
    <row r="15" spans="2:8" x14ac:dyDescent="0.3">
      <c r="F15">
        <v>43276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topLeftCell="A14" workbookViewId="0">
      <selection activeCell="G31" sqref="G31"/>
    </sheetView>
  </sheetViews>
  <sheetFormatPr defaultRowHeight="14.4" x14ac:dyDescent="0.3"/>
  <cols>
    <col min="1" max="1" width="15.109375" bestFit="1" customWidth="1"/>
    <col min="2" max="2" width="11.33203125" bestFit="1" customWidth="1"/>
    <col min="3" max="3" width="35.88671875" bestFit="1" customWidth="1"/>
    <col min="4" max="4" width="9" bestFit="1" customWidth="1"/>
    <col min="6" max="6" width="5.33203125" bestFit="1" customWidth="1"/>
    <col min="7" max="7" width="8.6640625" bestFit="1" customWidth="1"/>
    <col min="8" max="8" width="5.44140625" customWidth="1"/>
    <col min="9" max="9" width="10.44140625" bestFit="1" customWidth="1"/>
    <col min="10" max="10" width="5.33203125" bestFit="1" customWidth="1"/>
    <col min="11" max="11" width="23.44140625" bestFit="1" customWidth="1"/>
    <col min="12" max="12" width="5" bestFit="1" customWidth="1"/>
    <col min="13" max="13" width="4.44140625" bestFit="1" customWidth="1"/>
  </cols>
  <sheetData>
    <row r="1" spans="1:20" x14ac:dyDescent="0.3">
      <c r="A1" s="1" t="s">
        <v>219</v>
      </c>
      <c r="B1" s="1"/>
      <c r="C1" s="1" t="s">
        <v>220</v>
      </c>
      <c r="D1" s="1"/>
    </row>
    <row r="2" spans="1:20" x14ac:dyDescent="0.3">
      <c r="A2" s="1"/>
      <c r="B2" s="15" t="s">
        <v>152</v>
      </c>
      <c r="C2" s="15" t="s">
        <v>221</v>
      </c>
      <c r="D2" s="15" t="s">
        <v>214</v>
      </c>
      <c r="E2" s="1" t="s">
        <v>222</v>
      </c>
    </row>
    <row r="3" spans="1:20" x14ac:dyDescent="0.3">
      <c r="A3" s="1"/>
      <c r="B3" s="15" t="s">
        <v>159</v>
      </c>
      <c r="C3" s="15">
        <v>127686</v>
      </c>
      <c r="D3" s="15">
        <v>56471</v>
      </c>
      <c r="E3" s="1">
        <f>1-D3/C3</f>
        <v>0.55773538210923679</v>
      </c>
    </row>
    <row r="4" spans="1:20" ht="52.2" x14ac:dyDescent="0.3">
      <c r="A4" s="1"/>
      <c r="B4" s="15" t="s">
        <v>172</v>
      </c>
      <c r="C4" s="15">
        <v>65116</v>
      </c>
      <c r="D4" s="15">
        <v>57807</v>
      </c>
      <c r="E4" s="1">
        <f t="shared" ref="E4:E5" si="0">1-D4/C4</f>
        <v>0.1122458381964494</v>
      </c>
      <c r="H4" s="16" t="s">
        <v>147</v>
      </c>
      <c r="I4" s="16" t="s">
        <v>148</v>
      </c>
      <c r="J4" s="16" t="s">
        <v>73</v>
      </c>
      <c r="K4" s="17" t="s">
        <v>149</v>
      </c>
      <c r="L4" s="16" t="s">
        <v>150</v>
      </c>
      <c r="M4" s="16" t="s">
        <v>151</v>
      </c>
      <c r="N4" s="16" t="s">
        <v>152</v>
      </c>
      <c r="O4" s="16" t="s">
        <v>153</v>
      </c>
      <c r="P4" s="16" t="s">
        <v>154</v>
      </c>
      <c r="Q4" s="16" t="s">
        <v>155</v>
      </c>
      <c r="R4" s="16" t="s">
        <v>156</v>
      </c>
      <c r="S4" s="16" t="s">
        <v>157</v>
      </c>
      <c r="T4" s="16" t="s">
        <v>158</v>
      </c>
    </row>
    <row r="5" spans="1:20" x14ac:dyDescent="0.3">
      <c r="A5" s="1"/>
      <c r="B5" s="15" t="s">
        <v>175</v>
      </c>
      <c r="C5" s="15">
        <v>66340</v>
      </c>
      <c r="D5" s="15">
        <v>65359</v>
      </c>
      <c r="E5" s="1">
        <f t="shared" si="0"/>
        <v>1.4787458546879684E-2</v>
      </c>
      <c r="H5" s="18">
        <v>0.85</v>
      </c>
      <c r="I5" s="18">
        <v>44293</v>
      </c>
      <c r="J5" s="18">
        <v>160</v>
      </c>
      <c r="K5" s="18">
        <v>127686</v>
      </c>
      <c r="L5" s="18">
        <v>0.40700000000000003</v>
      </c>
      <c r="M5" s="18">
        <v>60</v>
      </c>
      <c r="N5" s="18" t="s">
        <v>159</v>
      </c>
      <c r="O5" s="18" t="s">
        <v>36</v>
      </c>
      <c r="P5" s="18">
        <v>5.3124999999999995E-3</v>
      </c>
      <c r="Q5" s="18">
        <v>0.01</v>
      </c>
      <c r="R5" s="18" t="s">
        <v>169</v>
      </c>
      <c r="S5" s="18" t="s">
        <v>184</v>
      </c>
      <c r="T5" s="18">
        <v>0</v>
      </c>
    </row>
    <row r="6" spans="1:20" x14ac:dyDescent="0.3">
      <c r="H6" s="18">
        <v>0.30099999999999999</v>
      </c>
      <c r="I6" s="18">
        <v>44293</v>
      </c>
      <c r="J6" s="18">
        <v>60</v>
      </c>
      <c r="K6" s="18">
        <v>65116</v>
      </c>
      <c r="L6" s="18">
        <v>0.19600000000000001</v>
      </c>
      <c r="M6" s="18">
        <v>60</v>
      </c>
      <c r="N6" s="18" t="s">
        <v>172</v>
      </c>
      <c r="O6" s="18" t="s">
        <v>33</v>
      </c>
      <c r="P6" s="18">
        <v>5.0166666666666667E-3</v>
      </c>
      <c r="Q6" s="18">
        <v>0.01</v>
      </c>
      <c r="R6" s="18" t="s">
        <v>169</v>
      </c>
      <c r="S6" s="18" t="s">
        <v>185</v>
      </c>
      <c r="T6" s="18">
        <v>0</v>
      </c>
    </row>
    <row r="7" spans="1:20" x14ac:dyDescent="0.3">
      <c r="H7" s="18">
        <v>0.10199999999999999</v>
      </c>
      <c r="I7" s="18">
        <v>44293</v>
      </c>
      <c r="J7" s="18">
        <v>20</v>
      </c>
      <c r="K7" s="18">
        <v>66340</v>
      </c>
      <c r="L7" s="18">
        <v>0.20299999999999999</v>
      </c>
      <c r="M7" s="18">
        <v>60</v>
      </c>
      <c r="N7" s="18" t="s">
        <v>175</v>
      </c>
      <c r="O7" s="18" t="s">
        <v>36</v>
      </c>
      <c r="P7" s="18">
        <v>5.0999999999999995E-3</v>
      </c>
      <c r="Q7" s="18">
        <v>0.01</v>
      </c>
      <c r="R7" s="18" t="s">
        <v>169</v>
      </c>
      <c r="S7" s="18" t="s">
        <v>186</v>
      </c>
      <c r="T7" s="18">
        <v>0</v>
      </c>
    </row>
    <row r="8" spans="1:20" x14ac:dyDescent="0.3">
      <c r="H8" s="18">
        <v>0.85</v>
      </c>
      <c r="I8" s="18">
        <v>44293</v>
      </c>
      <c r="J8" s="18">
        <v>1600</v>
      </c>
      <c r="K8" s="18">
        <v>633725</v>
      </c>
      <c r="L8" s="18">
        <v>0.20199999999999999</v>
      </c>
      <c r="M8" s="18">
        <v>60</v>
      </c>
      <c r="N8" s="18" t="s">
        <v>159</v>
      </c>
      <c r="O8" s="18" t="s">
        <v>36</v>
      </c>
      <c r="P8" s="18">
        <v>5.3125000000000004E-4</v>
      </c>
      <c r="Q8" s="18">
        <v>0.01</v>
      </c>
      <c r="R8" s="18" t="s">
        <v>169</v>
      </c>
      <c r="S8" s="18" t="s">
        <v>187</v>
      </c>
      <c r="T8" s="18">
        <v>0</v>
      </c>
    </row>
    <row r="9" spans="1:20" x14ac:dyDescent="0.3">
      <c r="H9" s="18">
        <v>0.85</v>
      </c>
      <c r="I9" s="18">
        <v>44293</v>
      </c>
      <c r="J9" s="18">
        <v>160</v>
      </c>
      <c r="K9" s="18">
        <v>56471</v>
      </c>
      <c r="L9" s="18">
        <v>0.18</v>
      </c>
      <c r="M9" s="18">
        <v>60</v>
      </c>
      <c r="N9" s="18" t="s">
        <v>159</v>
      </c>
      <c r="O9" s="18" t="s">
        <v>36</v>
      </c>
      <c r="P9" s="18">
        <v>5.3124999999999995E-3</v>
      </c>
      <c r="Q9" s="18">
        <v>0.01</v>
      </c>
      <c r="R9" s="18" t="s">
        <v>169</v>
      </c>
      <c r="S9" s="18" t="s">
        <v>188</v>
      </c>
      <c r="T9" s="18">
        <v>5000</v>
      </c>
    </row>
    <row r="10" spans="1:20" x14ac:dyDescent="0.3">
      <c r="H10" s="18">
        <v>0.30099999999999999</v>
      </c>
      <c r="I10" s="18">
        <v>44293</v>
      </c>
      <c r="J10" s="18">
        <v>60</v>
      </c>
      <c r="K10" s="18">
        <v>57807</v>
      </c>
      <c r="L10" s="18">
        <v>0.17399999999999999</v>
      </c>
      <c r="M10" s="18">
        <v>60</v>
      </c>
      <c r="N10" s="18" t="s">
        <v>172</v>
      </c>
      <c r="O10" s="18" t="s">
        <v>33</v>
      </c>
      <c r="P10" s="18">
        <v>5.0166666666666667E-3</v>
      </c>
      <c r="Q10" s="18">
        <v>0.01</v>
      </c>
      <c r="R10" s="18" t="s">
        <v>169</v>
      </c>
      <c r="S10" s="18" t="s">
        <v>189</v>
      </c>
      <c r="T10" s="18">
        <v>5000</v>
      </c>
    </row>
    <row r="11" spans="1:20" x14ac:dyDescent="0.3">
      <c r="H11" s="18">
        <v>0.10199999999999999</v>
      </c>
      <c r="I11" s="18">
        <v>44293</v>
      </c>
      <c r="J11" s="18">
        <v>20</v>
      </c>
      <c r="K11" s="18">
        <v>65359</v>
      </c>
      <c r="L11" s="18">
        <v>0.19999999999999998</v>
      </c>
      <c r="M11" s="18">
        <v>60</v>
      </c>
      <c r="N11" s="18" t="s">
        <v>175</v>
      </c>
      <c r="O11" s="18" t="s">
        <v>36</v>
      </c>
      <c r="P11" s="18">
        <v>5.0999999999999995E-3</v>
      </c>
      <c r="Q11" s="18">
        <v>0.01</v>
      </c>
      <c r="R11" s="18" t="s">
        <v>169</v>
      </c>
      <c r="S11" s="18" t="s">
        <v>190</v>
      </c>
      <c r="T11" s="18">
        <v>5000</v>
      </c>
    </row>
    <row r="12" spans="1:20" x14ac:dyDescent="0.3">
      <c r="H12" s="18">
        <v>0.85</v>
      </c>
      <c r="I12" s="18">
        <v>44293</v>
      </c>
      <c r="J12" s="18">
        <v>1600</v>
      </c>
      <c r="K12" s="18">
        <v>602353</v>
      </c>
      <c r="L12" s="18">
        <v>0.192</v>
      </c>
      <c r="M12" s="18">
        <v>60</v>
      </c>
      <c r="N12" s="18" t="s">
        <v>159</v>
      </c>
      <c r="O12" s="18" t="s">
        <v>36</v>
      </c>
      <c r="P12" s="18">
        <v>5.3125000000000004E-4</v>
      </c>
      <c r="Q12" s="18">
        <v>0.01</v>
      </c>
      <c r="R12" s="18" t="s">
        <v>191</v>
      </c>
      <c r="S12" s="18" t="s">
        <v>192</v>
      </c>
      <c r="T12" s="18">
        <v>5000</v>
      </c>
    </row>
    <row r="33" spans="1:7" x14ac:dyDescent="0.3">
      <c r="A33" s="1" t="s">
        <v>219</v>
      </c>
      <c r="B33" s="1"/>
      <c r="C33" s="1" t="s">
        <v>223</v>
      </c>
      <c r="D33" s="1"/>
    </row>
    <row r="34" spans="1:7" x14ac:dyDescent="0.3">
      <c r="A34" s="1"/>
      <c r="B34" s="15"/>
      <c r="C34" s="15" t="s">
        <v>221</v>
      </c>
      <c r="D34" s="15" t="s">
        <v>214</v>
      </c>
      <c r="E34" s="1" t="s">
        <v>222</v>
      </c>
    </row>
    <row r="35" spans="1:7" x14ac:dyDescent="0.3">
      <c r="A35" s="1"/>
      <c r="B35" s="15" t="s">
        <v>159</v>
      </c>
      <c r="C35" s="1">
        <v>94902</v>
      </c>
      <c r="D35" s="1">
        <v>34510</v>
      </c>
      <c r="E35" s="1">
        <f>1-D35/C35</f>
        <v>0.63636172051168571</v>
      </c>
    </row>
    <row r="36" spans="1:7" x14ac:dyDescent="0.3">
      <c r="A36" s="1"/>
      <c r="B36" s="15" t="s">
        <v>172</v>
      </c>
      <c r="C36" s="1">
        <v>30731</v>
      </c>
      <c r="D36" s="1">
        <v>30565</v>
      </c>
      <c r="E36" s="1">
        <f t="shared" ref="E36:E37" si="1">1-D36/C36</f>
        <v>5.4017116266961152E-3</v>
      </c>
    </row>
    <row r="37" spans="1:7" x14ac:dyDescent="0.3">
      <c r="A37" s="1"/>
      <c r="B37" s="15" t="s">
        <v>175</v>
      </c>
      <c r="C37" s="1">
        <v>58824</v>
      </c>
      <c r="D37" s="1">
        <v>26307</v>
      </c>
      <c r="E37" s="1">
        <f t="shared" si="1"/>
        <v>0.55278457772337819</v>
      </c>
    </row>
    <row r="42" spans="1:7" x14ac:dyDescent="0.3">
      <c r="G42">
        <v>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0"/>
  <sheetViews>
    <sheetView topLeftCell="A4" workbookViewId="0">
      <selection activeCell="J41" sqref="J41"/>
    </sheetView>
  </sheetViews>
  <sheetFormatPr defaultRowHeight="14.4" x14ac:dyDescent="0.3"/>
  <sheetData>
    <row r="1" spans="1:13" x14ac:dyDescent="0.3">
      <c r="B1" t="s">
        <v>213</v>
      </c>
      <c r="C1" t="s">
        <v>214</v>
      </c>
      <c r="L1" t="s">
        <v>213</v>
      </c>
      <c r="M1" t="s">
        <v>214</v>
      </c>
    </row>
    <row r="2" spans="1:13" x14ac:dyDescent="0.3">
      <c r="A2" s="1" t="s">
        <v>159</v>
      </c>
      <c r="B2">
        <v>51467</v>
      </c>
      <c r="C2">
        <v>20133</v>
      </c>
      <c r="D2" t="s">
        <v>224</v>
      </c>
      <c r="E2">
        <f>1-C2/B2</f>
        <v>0.6088173004060855</v>
      </c>
      <c r="K2" s="1" t="s">
        <v>159</v>
      </c>
      <c r="L2">
        <v>90824</v>
      </c>
      <c r="M2">
        <v>31843</v>
      </c>
    </row>
    <row r="3" spans="1:13" x14ac:dyDescent="0.3">
      <c r="A3" s="1" t="s">
        <v>172</v>
      </c>
      <c r="B3">
        <v>8623</v>
      </c>
      <c r="C3">
        <v>12536</v>
      </c>
      <c r="K3" s="1" t="s">
        <v>172</v>
      </c>
      <c r="L3">
        <v>24585</v>
      </c>
      <c r="M3">
        <v>23422</v>
      </c>
    </row>
    <row r="4" spans="1:13" x14ac:dyDescent="0.3">
      <c r="A4" s="1" t="s">
        <v>175</v>
      </c>
      <c r="B4">
        <v>3200</v>
      </c>
      <c r="C4">
        <v>6600</v>
      </c>
      <c r="K4" s="1" t="s">
        <v>175</v>
      </c>
      <c r="L4">
        <v>23039</v>
      </c>
      <c r="M4">
        <v>22876</v>
      </c>
    </row>
    <row r="5" spans="1:13" x14ac:dyDescent="0.3">
      <c r="A5" s="31" t="s">
        <v>205</v>
      </c>
      <c r="B5">
        <v>2505</v>
      </c>
      <c r="C5">
        <v>6906</v>
      </c>
      <c r="K5" s="31" t="s">
        <v>205</v>
      </c>
      <c r="L5">
        <v>34222</v>
      </c>
      <c r="M5">
        <v>31889</v>
      </c>
    </row>
    <row r="22" spans="1:13" x14ac:dyDescent="0.3">
      <c r="B22" t="s">
        <v>213</v>
      </c>
      <c r="C22" t="s">
        <v>214</v>
      </c>
    </row>
    <row r="23" spans="1:13" x14ac:dyDescent="0.3">
      <c r="A23" s="1" t="s">
        <v>159</v>
      </c>
      <c r="B23">
        <v>140364</v>
      </c>
      <c r="C23">
        <v>49212</v>
      </c>
    </row>
    <row r="24" spans="1:13" x14ac:dyDescent="0.3">
      <c r="A24" s="1" t="s">
        <v>172</v>
      </c>
      <c r="B24">
        <v>32174</v>
      </c>
      <c r="C24">
        <v>30652</v>
      </c>
      <c r="E24">
        <f>1-(C23/B23)</f>
        <v>0.64939728135419339</v>
      </c>
    </row>
    <row r="25" spans="1:13" x14ac:dyDescent="0.3">
      <c r="A25" s="1" t="s">
        <v>175</v>
      </c>
      <c r="B25">
        <v>6714</v>
      </c>
      <c r="C25">
        <v>6667</v>
      </c>
    </row>
    <row r="26" spans="1:13" x14ac:dyDescent="0.3">
      <c r="A26" s="31" t="s">
        <v>205</v>
      </c>
      <c r="B26">
        <v>19250</v>
      </c>
      <c r="C26">
        <v>17938</v>
      </c>
    </row>
    <row r="27" spans="1:13" x14ac:dyDescent="0.3">
      <c r="L27" t="s">
        <v>213</v>
      </c>
      <c r="M27" t="s">
        <v>214</v>
      </c>
    </row>
    <row r="28" spans="1:13" x14ac:dyDescent="0.3">
      <c r="K28" s="13" t="s">
        <v>216</v>
      </c>
      <c r="L28">
        <v>1713</v>
      </c>
      <c r="M28">
        <v>1717</v>
      </c>
    </row>
    <row r="29" spans="1:13" x14ac:dyDescent="0.3">
      <c r="K29" s="13" t="s">
        <v>217</v>
      </c>
      <c r="L29">
        <v>12697</v>
      </c>
      <c r="M29">
        <v>8047</v>
      </c>
    </row>
    <row r="30" spans="1:13" x14ac:dyDescent="0.3">
      <c r="K30" s="13" t="s">
        <v>218</v>
      </c>
      <c r="L30">
        <v>116953</v>
      </c>
      <c r="M30">
        <v>43276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F1:I4"/>
  <sheetViews>
    <sheetView workbookViewId="0">
      <selection activeCell="H8" sqref="H8"/>
    </sheetView>
  </sheetViews>
  <sheetFormatPr defaultRowHeight="14.4" x14ac:dyDescent="0.3"/>
  <cols>
    <col min="5" max="6" width="11.33203125" bestFit="1" customWidth="1"/>
    <col min="7" max="7" width="15.109375" bestFit="1" customWidth="1"/>
    <col min="8" max="8" width="10.44140625" bestFit="1" customWidth="1"/>
    <col min="9" max="9" width="8.5546875" bestFit="1" customWidth="1"/>
  </cols>
  <sheetData>
    <row r="1" spans="6:9" x14ac:dyDescent="0.3">
      <c r="G1" t="s">
        <v>221</v>
      </c>
      <c r="H1" t="s">
        <v>225</v>
      </c>
      <c r="I1" t="s">
        <v>226</v>
      </c>
    </row>
    <row r="2" spans="6:9" x14ac:dyDescent="0.3">
      <c r="F2" t="s">
        <v>159</v>
      </c>
      <c r="G2">
        <v>209114</v>
      </c>
      <c r="H2">
        <v>17943</v>
      </c>
      <c r="I2">
        <v>-14086</v>
      </c>
    </row>
    <row r="3" spans="6:9" x14ac:dyDescent="0.3">
      <c r="F3" t="s">
        <v>172</v>
      </c>
      <c r="G3">
        <v>7143</v>
      </c>
      <c r="H3">
        <v>2857</v>
      </c>
      <c r="I3">
        <v>-893</v>
      </c>
    </row>
    <row r="4" spans="6:9" x14ac:dyDescent="0.3">
      <c r="F4" t="s">
        <v>175</v>
      </c>
      <c r="G4">
        <v>167</v>
      </c>
      <c r="H4">
        <v>1500</v>
      </c>
      <c r="I4">
        <v>-1833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6F1104DE9E20459C524F04A9B4DF7B" ma:contentTypeVersion="12" ma:contentTypeDescription="Create a new document." ma:contentTypeScope="" ma:versionID="a2aa2620d11cbfd6bc6b19915df1b0b9">
  <xsd:schema xmlns:xsd="http://www.w3.org/2001/XMLSchema" xmlns:xs="http://www.w3.org/2001/XMLSchema" xmlns:p="http://schemas.microsoft.com/office/2006/metadata/properties" xmlns:ns2="63efcc6c-b29a-4e6d-889c-d00d4f00ec3a" xmlns:ns3="102ef9a2-5c89-4160-90c7-08cbfa66e538" targetNamespace="http://schemas.microsoft.com/office/2006/metadata/properties" ma:root="true" ma:fieldsID="fb4d082991482a5bc65db15688b7ccf7" ns2:_="" ns3:_="">
    <xsd:import namespace="63efcc6c-b29a-4e6d-889c-d00d4f00ec3a"/>
    <xsd:import namespace="102ef9a2-5c89-4160-90c7-08cbfa66e538"/>
    <xsd:element name="properties">
      <xsd:complexType>
        <xsd:sequence>
          <xsd:element name="documentManagement">
            <xsd:complexType>
              <xsd:all>
                <xsd:element ref="ns2:Datum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fcc6c-b29a-4e6d-889c-d00d4f00ec3a" elementFormDefault="qualified">
    <xsd:import namespace="http://schemas.microsoft.com/office/2006/documentManagement/types"/>
    <xsd:import namespace="http://schemas.microsoft.com/office/infopath/2007/PartnerControls"/>
    <xsd:element name="Datum" ma:index="8" nillable="true" ma:displayName="Datum" ma:format="DateTime" ma:internalName="Datum">
      <xsd:simpleType>
        <xsd:restriction base="dms:DateTim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ef9a2-5c89-4160-90c7-08cbfa66e53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um xmlns="63efcc6c-b29a-4e6d-889c-d00d4f00ec3a" xsi:nil="true"/>
  </documentManagement>
</p:properties>
</file>

<file path=customXml/itemProps1.xml><?xml version="1.0" encoding="utf-8"?>
<ds:datastoreItem xmlns:ds="http://schemas.openxmlformats.org/officeDocument/2006/customXml" ds:itemID="{92914EBE-3E91-4906-A93F-8A09D62B0E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fcc6c-b29a-4e6d-889c-d00d4f00ec3a"/>
    <ds:schemaRef ds:uri="102ef9a2-5c89-4160-90c7-08cbfa66e5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11C1BD-34B8-41E6-9E15-DA009C8CE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FDD69C-C735-4A43-A613-B839F668DA3D}">
  <ds:schemaRefs>
    <ds:schemaRef ds:uri="http://schemas.microsoft.com/office/2006/metadata/properties"/>
    <ds:schemaRef ds:uri="http://schemas.microsoft.com/office/infopath/2007/PartnerControls"/>
    <ds:schemaRef ds:uri="63efcc6c-b29a-4e6d-889c-d00d4f00ec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BRADFORD_RK</vt:lpstr>
      <vt:lpstr>BRADFORD_PJ</vt:lpstr>
      <vt:lpstr>BRADFORD_3</vt:lpstr>
      <vt:lpstr>Nanodrop</vt:lpstr>
      <vt:lpstr>SPEC_ACTIVITY</vt:lpstr>
      <vt:lpstr>GRAPHS1</vt:lpstr>
      <vt:lpstr>GRAPHS2</vt:lpstr>
      <vt:lpstr>GRAPHS3PJ</vt:lpstr>
      <vt:lpstr>6mei</vt:lpstr>
      <vt:lpstr>ASA 06_06</vt:lpstr>
      <vt:lpstr>ASA 18 mei</vt:lpstr>
      <vt:lpstr>21 mei</vt:lpstr>
      <vt:lpstr>ApoA-&gt;B</vt:lpstr>
      <vt:lpstr>1 juni</vt:lpstr>
      <vt:lpstr>p80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</dc:creator>
  <cp:keywords/>
  <dc:description/>
  <cp:lastModifiedBy>Pieter-Jan De Bodt</cp:lastModifiedBy>
  <cp:revision/>
  <dcterms:created xsi:type="dcterms:W3CDTF">2021-04-07T17:32:44Z</dcterms:created>
  <dcterms:modified xsi:type="dcterms:W3CDTF">2021-06-07T01:41:05Z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0x010100AB6F1104DE9E20459C524F04A9B4DF7B</vt:lpwstr>
  </property>
</Properties>
</file>