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nce\Financial_Analysis\Commercial Services\Cintas_Corporation\Cintas Acquisition of Vestis\"/>
    </mc:Choice>
  </mc:AlternateContent>
  <xr:revisionPtr revIDLastSave="0" documentId="13_ncr:1_{D9AD08B6-128C-484E-912F-C694F7CE9422}" xr6:coauthVersionLast="47" xr6:coauthVersionMax="47" xr10:uidLastSave="{00000000-0000-0000-0000-000000000000}"/>
  <bookViews>
    <workbookView xWindow="-108" yWindow="-108" windowWidth="23256" windowHeight="12456" tabRatio="709" firstSheet="5" activeTab="7" xr2:uid="{B291BA41-1CF5-4F4A-82E2-24AF40F3096F}"/>
  </bookViews>
  <sheets>
    <sheet name="Cover" sheetId="16" r:id="rId1"/>
    <sheet name="Cintas PNL" sheetId="2" r:id="rId2"/>
    <sheet name="Cintas BS" sheetId="3" r:id="rId3"/>
    <sheet name="Cintas CF" sheetId="4" r:id="rId4"/>
    <sheet name="Cintas Cash Flow" sheetId="19" r:id="rId5"/>
    <sheet name="Vestis Corporation PNL" sheetId="9" r:id="rId6"/>
    <sheet name="Merger Model_Updated" sheetId="12" r:id="rId7"/>
    <sheet name="Pro-Forma DCF Valuation_Updated" sheetId="5" r:id="rId8"/>
    <sheet name="Add_Pro-Forma BS_Debt Schedule" sheetId="18" r:id="rId9"/>
    <sheet name="Conclusion_Updated" sheetId="17" r:id="rId10"/>
    <sheet name="Appendix" sheetId="13" r:id="rId11"/>
    <sheet name="JAZZ Products" sheetId="6" r:id="rId12"/>
    <sheet name="Transaction" sheetId="15" r:id="rId13"/>
  </sheets>
  <externalReferences>
    <externalReference r:id="rId14"/>
    <externalReference r:id="rId15"/>
    <externalReference r:id="rId16"/>
  </externalReferences>
  <definedNames>
    <definedName name="aassas" localSheetId="12" hidden="1">{"PR1","pr1",TRUE,"Sch PR-1"}</definedName>
    <definedName name="aassas" hidden="1">{"PR1","pr1",TRUE,"Sch PR-1"}</definedName>
    <definedName name="adasdasdasdasd" localSheetId="12" hidden="1">{"PR1","pr1",TRUE,"Sch PR-1"}</definedName>
    <definedName name="adasdasdasdasd" hidden="1">{"PR1","pr1",TRUE,"Sch PR-1"}</definedName>
    <definedName name="AS2DocOpenMode" hidden="1">"AS2DocumentEdit"</definedName>
    <definedName name="asasasasas" localSheetId="12" hidden="1">{"PR1","pr1",TRUE,"Sch PR-1"}</definedName>
    <definedName name="asasasasas" hidden="1">{"PR1","pr1",TRUE,"Sch PR-1"}</definedName>
    <definedName name="assasdafsda" localSheetId="12" hidden="1">{"PR1","pr1",TRUE,"Sch PR-1"}</definedName>
    <definedName name="assasdafsda" hidden="1">{"PR1","pr1",TRUE,"Sch PR-1"}</definedName>
    <definedName name="cover_analyst">#REF!</definedName>
    <definedName name="cover_company">#REF!</definedName>
    <definedName name="cover_date">#REF!</definedName>
    <definedName name="cover_industry">#REF!</definedName>
    <definedName name="cover_library">#REF!</definedName>
    <definedName name="cover_pt">#REF!</definedName>
    <definedName name="cover_sector">#REF!</definedName>
    <definedName name="cover_version">#REF!</definedName>
    <definedName name="f" localSheetId="12" hidden="1">{"PR1","pr1",TRUE,"Sch PR-1"}</definedName>
    <definedName name="f" hidden="1">{"PR1","pr1",TRUE,"Sch PR-1"}</definedName>
    <definedName name="fasdfs" localSheetId="12" hidden="1">{#N/A,#N/A,FALSE,"Aging Summary";#N/A,#N/A,FALSE,"Ratio Analysis";#N/A,#N/A,FALSE,"Test 120 Day Accts";#N/A,#N/A,FALSE,"Tickmarks"}</definedName>
    <definedName name="fasdfs" hidden="1">{#N/A,#N/A,FALSE,"Aging Summary";#N/A,#N/A,FALSE,"Ratio Analysis";#N/A,#N/A,FALSE,"Test 120 Day Accts";#N/A,#N/A,FALSE,"Tickmarks"}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FPS_ACT_OR_EST" hidden="1">"c2217"</definedName>
    <definedName name="IQ_CFPS_EST" hidden="1">"c1667"</definedName>
    <definedName name="IQ_CFPS_HIGH_EST" hidden="1">"c1669"</definedName>
    <definedName name="IQ_CFPS_LOW_EST" hidden="1">"c1670"</definedName>
    <definedName name="IQ_CFPS_MEDIAN_EST" hidden="1">"c1668"</definedName>
    <definedName name="IQ_CFPS_NUM_EST" hidden="1">"c1671"</definedName>
    <definedName name="IQ_CFPS_STDDEV_EST" hidden="1">"c1672"</definedName>
    <definedName name="IQ_CH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PS_ACT_OR_EST" hidden="1">"c2218"</definedName>
    <definedName name="IQ_DPS_EST" hidden="1">"c1674"</definedName>
    <definedName name="IQ_DPS_HIGH_EST" hidden="1">"c1676"</definedName>
    <definedName name="IQ_DPS_LOW_EST" hidden="1">"c1677"</definedName>
    <definedName name="IQ_DPS_MEDIAN_EST" hidden="1">"c1675"</definedName>
    <definedName name="IQ_DPS_NUM_EST" hidden="1">"c1678"</definedName>
    <definedName name="IQ_DPS_STDDEV_EST" hidden="1">"c1679"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ACT_OR_EST" hidden="1">"c2219"</definedName>
    <definedName name="IQ_EBIT_EST" hidden="1">"c1681"</definedName>
    <definedName name="IQ_EBIT_HIGH_EST" hidden="1">"c1683"</definedName>
    <definedName name="IQ_EBIT_INT" hidden="1">"c360"</definedName>
    <definedName name="IQ_EBIT_LOW_EST" hidden="1">"c1684"</definedName>
    <definedName name="IQ_EBIT_MARGIN" hidden="1">"c359"</definedName>
    <definedName name="IQ_EBIT_MEDIAN_EST" hidden="1">"c1682"</definedName>
    <definedName name="IQ_EBIT_NUM_EST" hidden="1">"c1685"</definedName>
    <definedName name="IQ_EBIT_OVER_IE" hidden="1">"c1369"</definedName>
    <definedName name="IQ_EBIT_STDDEV_EST" hidden="1">"c1686"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ACT_OR_EST" hidden="1">"c2215"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ACT_OR_EST" hidden="1">"c2213"</definedName>
    <definedName name="IQ_EPS_EST" hidden="1">"c399"</definedName>
    <definedName name="IQ_EPS_GW_ACT_OR_EST" hidden="1">"c2223"</definedName>
    <definedName name="IQ_EPS_GW_EST" hidden="1">"c1737"</definedName>
    <definedName name="IQ_EPS_GW_HIGH_EST" hidden="1">"c1739"</definedName>
    <definedName name="IQ_EPS_GW_LOW_EST" hidden="1">"c1740"</definedName>
    <definedName name="IQ_EPS_GW_MEDIAN_EST" hidden="1">"c1738"</definedName>
    <definedName name="IQ_EPS_GW_NUM_EST" hidden="1">"c1741"</definedName>
    <definedName name="IQ_EPS_GW_STDDEV_EST" hidden="1">"c1742"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ORM_EST" hidden="1">"c2226"</definedName>
    <definedName name="IQ_EPS_NORM_HIGH_EST" hidden="1">"c2228"</definedName>
    <definedName name="IQ_EPS_NORM_LOW_EST" hidden="1">"c2229"</definedName>
    <definedName name="IQ_EPS_NORM_MEDIAN_EST" hidden="1">"c2227"</definedName>
    <definedName name="IQ_EPS_NORM_NUM_EST" hidden="1">"c2230"</definedName>
    <definedName name="IQ_EPS_NORM_STDDEV_EST" hidden="1">"c2231"</definedName>
    <definedName name="IQ_EPS_NUM_EST" hidden="1">"c402"</definedName>
    <definedName name="IQ_EPS_REPORT_ACT_OR_EST" hidden="1">"c2224"</definedName>
    <definedName name="IQ_EPS_REPORTED_EST" hidden="1">"c1744"</definedName>
    <definedName name="IQ_EPS_REPORTED_HIGH_EST" hidden="1">"c1746"</definedName>
    <definedName name="IQ_EPS_REPORTED_LOW_EST" hidden="1">"c1747"</definedName>
    <definedName name="IQ_EPS_REPORTED_MEDIAN_EST" hidden="1">"c1745"</definedName>
    <definedName name="IQ_EPS_REPORTED_NUM_EST" hidden="1">"c1748"</definedName>
    <definedName name="IQ_EPS_REPORTED_STDDEV_EST" hidden="1">"c1749"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CFPS" hidden="1">"c1673"</definedName>
    <definedName name="IQ_EST_ACT_DPS" hidden="1">"c1680"</definedName>
    <definedName name="IQ_EST_ACT_EBIT" hidden="1">"c1687"</definedName>
    <definedName name="IQ_EST_ACT_EBITDA" hidden="1">"c1664"</definedName>
    <definedName name="IQ_EST_ACT_EPS" hidden="1">"c1648"</definedName>
    <definedName name="IQ_EST_ACT_EPS_GW" hidden="1">"c1743"</definedName>
    <definedName name="IQ_EST_ACT_EPS_NORM" hidden="1">"c2232"</definedName>
    <definedName name="IQ_EST_ACT_EPS_REPORTED" hidden="1">"c1750"</definedName>
    <definedName name="IQ_EST_ACT_FFO" hidden="1">"c1666"</definedName>
    <definedName name="IQ_EST_ACT_NAV" hidden="1">"c1757"</definedName>
    <definedName name="IQ_EST_ACT_NI" hidden="1">"c1722"</definedName>
    <definedName name="IQ_EST_ACT_NI_GW" hidden="1">"c1729"</definedName>
    <definedName name="IQ_EST_ACT_NI_REPORTED" hidden="1">"c1736"</definedName>
    <definedName name="IQ_EST_ACT_OPER_INC" hidden="1">"c1694"</definedName>
    <definedName name="IQ_EST_ACT_PRETAX_GW_INC" hidden="1">"c1708"</definedName>
    <definedName name="IQ_EST_ACT_PRETAX_INC" hidden="1">"c1701"</definedName>
    <definedName name="IQ_EST_ACT_PRETAX_REPORT_INC" hidden="1">"c1715"</definedName>
    <definedName name="IQ_EST_ACT_REV" hidden="1">"c2113"</definedName>
    <definedName name="IQ_EST_CFPS_DIFF" hidden="1">"c1871"</definedName>
    <definedName name="IQ_EST_CFPS_GROWTH_1YR" hidden="1">"c1774"</definedName>
    <definedName name="IQ_EST_CFPS_GROWTH_2YR" hidden="1">"c1775"</definedName>
    <definedName name="IQ_EST_CFPS_GROWTH_Q_1YR" hidden="1">"c1776"</definedName>
    <definedName name="IQ_EST_CFPS_SEQ_GROWTH_Q" hidden="1">"c1777"</definedName>
    <definedName name="IQ_EST_CFPS_SURPRISE_PERCENT" hidden="1">"c1872"</definedName>
    <definedName name="IQ_EST_CURRENCY" hidden="1">"c2140"</definedName>
    <definedName name="IQ_EST_DATE" hidden="1">"c1634"</definedName>
    <definedName name="IQ_EST_DPS_DIFF" hidden="1">"c1873"</definedName>
    <definedName name="IQ_EST_DPS_GROWTH_1YR" hidden="1">"c1778"</definedName>
    <definedName name="IQ_EST_DPS_GROWTH_2YR" hidden="1">"c1779"</definedName>
    <definedName name="IQ_EST_DPS_GROWTH_Q_1YR" hidden="1">"c1780"</definedName>
    <definedName name="IQ_EST_DPS_SEQ_GROWTH_Q" hidden="1">"c1781"</definedName>
    <definedName name="IQ_EST_DPS_SURPRISE_PERCENT" hidden="1">"c1874"</definedName>
    <definedName name="IQ_EST_EBIT_DIFF" hidden="1">"c1875"</definedName>
    <definedName name="IQ_EST_EBIT_SURPRISE_PERCENT" hidden="1">"c1876"</definedName>
    <definedName name="IQ_EST_EBITDA_DIFF" hidden="1">"c1867"</definedName>
    <definedName name="IQ_EST_EBITDA_GROWTH_1YR" hidden="1">"c1766"</definedName>
    <definedName name="IQ_EST_EBITDA_GROWTH_2YR" hidden="1">"c1767"</definedName>
    <definedName name="IQ_EST_EBITDA_GROWTH_Q_1YR" hidden="1">"c1768"</definedName>
    <definedName name="IQ_EST_EBITDA_SEQ_GROWTH_Q" hidden="1">"c1769"</definedName>
    <definedName name="IQ_EST_EBITDA_SURPRISE_PERCENT" hidden="1">"c1868"</definedName>
    <definedName name="IQ_EST_EPS_DIFF" hidden="1">"c1864"</definedName>
    <definedName name="IQ_EST_EPS_GROWTH_1YR" hidden="1">"c1636"</definedName>
    <definedName name="IQ_EST_EPS_GROWTH_2YR" hidden="1">"c1637"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ST_EPS_GW_DIFF" hidden="1">"c1891"</definedName>
    <definedName name="IQ_EST_EPS_GW_SURPRISE_PERCENT" hidden="1">"c1892"</definedName>
    <definedName name="IQ_EST_EPS_NORM_DIFF" hidden="1">"c2247"</definedName>
    <definedName name="IQ_EST_EPS_NORM_SURPRISE_PERCENT" hidden="1">"c2248"</definedName>
    <definedName name="IQ_EST_EPS_REPORT_DIFF" hidden="1">"c1893"</definedName>
    <definedName name="IQ_EST_EPS_REPORT_SURPRISE_PERCENT" hidden="1">"c1894"</definedName>
    <definedName name="IQ_EST_EPS_SEQ_GROWTH_Q" hidden="1">"c1764"</definedName>
    <definedName name="IQ_EST_EPS_SURPRISE_PERCENT" hidden="1">"c1635"</definedName>
    <definedName name="IQ_EST_FFO_DIFF" hidden="1">"c1869"</definedName>
    <definedName name="IQ_EST_FFO_GROWTH_1YR" hidden="1">"c1770"</definedName>
    <definedName name="IQ_EST_FFO_GROWTH_2YR" hidden="1">"c1771"</definedName>
    <definedName name="IQ_EST_FFO_GROWTH_Q_1YR" hidden="1">"c1772"</definedName>
    <definedName name="IQ_EST_FFO_SEQ_GROWTH_Q" hidden="1">"c1773"</definedName>
    <definedName name="IQ_EST_FFO_SURPRISE_PERCENT" hidden="1">"c1870"</definedName>
    <definedName name="IQ_EST_NAV_DIFF" hidden="1">"c1895"</definedName>
    <definedName name="IQ_EST_NAV_SURPRISE_PERCENT" hidden="1">"c1896"</definedName>
    <definedName name="IQ_EST_NI_DIFF" hidden="1">"c1885"</definedName>
    <definedName name="IQ_EST_NI_GW_DIFF" hidden="1">"c1887"</definedName>
    <definedName name="IQ_EST_NI_GW_SURPRISE_PERCENT" hidden="1">"c1888"</definedName>
    <definedName name="IQ_EST_NI_REPORT_DIFF" hidden="1">"c1889"</definedName>
    <definedName name="IQ_EST_NI_REPORT_SURPRISE_PERCENT" hidden="1">"c1890"</definedName>
    <definedName name="IQ_EST_NI_SURPRISE_PERCENT" hidden="1">"c1886"</definedName>
    <definedName name="IQ_EST_NUM_BUY" hidden="1">"c1759"</definedName>
    <definedName name="IQ_EST_NUM_HOLD" hidden="1">"c1761"</definedName>
    <definedName name="IQ_EST_NUM_NO_OPINION" hidden="1">"c1758"</definedName>
    <definedName name="IQ_EST_NUM_OUTPERFORM" hidden="1">"c1760"</definedName>
    <definedName name="IQ_EST_NUM_SELL" hidden="1">"c1763"</definedName>
    <definedName name="IQ_EST_NUM_UNDERPERFORM" hidden="1">"c1762"</definedName>
    <definedName name="IQ_EST_OPER_INC_DIFF" hidden="1">"c1877"</definedName>
    <definedName name="IQ_EST_OPER_INC_SURPRISE_PERCENT" hidden="1">"c1878"</definedName>
    <definedName name="IQ_EST_PRE_TAX_DIFF" hidden="1">"c1879"</definedName>
    <definedName name="IQ_EST_PRE_TAX_GW_DIFF" hidden="1">"c1881"</definedName>
    <definedName name="IQ_EST_PRE_TAX_GW_SURPRISE_PERCENT" hidden="1">"c1882"</definedName>
    <definedName name="IQ_EST_PRE_TAX_REPORT_DIFF" hidden="1">"c1883"</definedName>
    <definedName name="IQ_EST_PRE_TAX_REPORT_SURPRISE_PERCENT" hidden="1">"c1884"</definedName>
    <definedName name="IQ_EST_PRE_TAX_SURPRISE_PERCENT" hidden="1">"c1880"</definedName>
    <definedName name="IQ_EST_REV_DIFF" hidden="1">"c1865"</definedName>
    <definedName name="IQ_EST_REV_GROWTH_1YR" hidden="1">"c1638"</definedName>
    <definedName name="IQ_EST_REV_GROWTH_2YR" hidden="1">"c1639"</definedName>
    <definedName name="IQ_EST_REV_GROWTH_Q_1YR" hidden="1">"c1640"</definedName>
    <definedName name="IQ_EST_REV_SEQ_GROWTH_Q" hidden="1">"c1765"</definedName>
    <definedName name="IQ_EST_REV_SURPRISE_PERCENT" hidden="1">"c1866"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CT_OR_EST" hidden="1">"c2216"</definedName>
    <definedName name="IQ_FFO_EST" hidden="1">"c418"</definedName>
    <definedName name="IQ_FFO_HIGH_EST" hidden="1">"c419"</definedName>
    <definedName name="IQ_FFO_LOW_EST" hidden="1">"c420"</definedName>
    <definedName name="IQ_FFO_MEDIAN_EST" hidden="1">"c1665"</definedName>
    <definedName name="IQ_FFO_NUM_EST" hidden="1">"c421"</definedName>
    <definedName name="IQ_FFO_STDDEV_EST" hidden="1">"c422"</definedName>
    <definedName name="IQ_FH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NTH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42478.0535648148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STDDEV_EST" hidden="1">"c1756"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CT_OR_EST" hidden="1">"c2222"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EST" hidden="1">"c1716"</definedName>
    <definedName name="IQ_NI_GW_EST" hidden="1">"c1723"</definedName>
    <definedName name="IQ_NI_GW_HIGH_EST" hidden="1">"c1725"</definedName>
    <definedName name="IQ_NI_GW_LOW_EST" hidden="1">"c1726"</definedName>
    <definedName name="IQ_NI_GW_MEDIAN_EST" hidden="1">"c1724"</definedName>
    <definedName name="IQ_NI_GW_NUM_EST" hidden="1">"c1727"</definedName>
    <definedName name="IQ_NI_GW_STDDEV_EST" hidden="1">"c1728"</definedName>
    <definedName name="IQ_NI_HIGH_EST" hidden="1">"c1718"</definedName>
    <definedName name="IQ_NI_LOW_EST" hidden="1">"c1719"</definedName>
    <definedName name="IQ_NI_MARGIN" hidden="1">"c794"</definedName>
    <definedName name="IQ_NI_MEDIAN_EST" hidden="1">"c1717"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NUM_EST" hidden="1">"c1720"</definedName>
    <definedName name="IQ_NI_REPORTED_EST" hidden="1">"c1730"</definedName>
    <definedName name="IQ_NI_REPORTED_HIGH_EST" hidden="1">"c1732"</definedName>
    <definedName name="IQ_NI_REPORTED_LOW_EST" hidden="1">"c1733"</definedName>
    <definedName name="IQ_NI_REPORTED_MEDIAN_EST" hidden="1">"c1731"</definedName>
    <definedName name="IQ_NI_REPORTED_NUM_EST" hidden="1">"c1734"</definedName>
    <definedName name="IQ_NI_REPORTED_STDDEV_EST" hidden="1">"c1735"</definedName>
    <definedName name="IQ_NI_SFAS" hidden="1">"c795"</definedName>
    <definedName name="IQ_NI_STDDEV_EST" hidden="1">"c1721"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_EPS_ACT_OR_EST" hidden="1">"c2249"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ACT_OR_EST" hidden="1">"c2220"</definedName>
    <definedName name="IQ_OPER_INC_BR" hidden="1">"c850"</definedName>
    <definedName name="IQ_OPER_INC_EST" hidden="1">"c1688"</definedName>
    <definedName name="IQ_OPER_INC_FIN" hidden="1">"c851"</definedName>
    <definedName name="IQ_OPER_INC_HIGH_EST" hidden="1">"c1690"</definedName>
    <definedName name="IQ_OPER_INC_INS" hidden="1">"c852"</definedName>
    <definedName name="IQ_OPER_INC_LOW_EST" hidden="1">"c1691"</definedName>
    <definedName name="IQ_OPER_INC_MARGIN" hidden="1">"c1448"</definedName>
    <definedName name="IQ_OPER_INC_MEDIAN_EST" hidden="1">"c1689"</definedName>
    <definedName name="IQ_OPER_INC_NUM_EST" hidden="1">"c1692"</definedName>
    <definedName name="IQ_OPER_INC_REIT" hidden="1">"c853"</definedName>
    <definedName name="IQ_OPER_INC_STDDEV_EST" hidden="1">"c1693"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G_FWD" hidden="1">"c1863"</definedName>
    <definedName name="IQ_PENSION" hidden="1">"c1031"</definedName>
    <definedName name="IQ_PERCENT_CHANGE_EST_5YR_GROWTH_RATE_12MONTHS" hidden="1">"c1852"</definedName>
    <definedName name="IQ_PERCENT_CHANGE_EST_5YR_GROWTH_RATE_18MONTHS" hidden="1">"c1853"</definedName>
    <definedName name="IQ_PERCENT_CHANGE_EST_5YR_GROWTH_RATE_3MONTHS" hidden="1">"c1849"</definedName>
    <definedName name="IQ_PERCENT_CHANGE_EST_5YR_GROWTH_RATE_6MONTHS" hidden="1">"c1850"</definedName>
    <definedName name="IQ_PERCENT_CHANGE_EST_5YR_GROWTH_RATE_9MONTHS" hidden="1">"c1851"</definedName>
    <definedName name="IQ_PERCENT_CHANGE_EST_5YR_GROWTH_RATE_DAY" hidden="1">"c1846"</definedName>
    <definedName name="IQ_PERCENT_CHANGE_EST_5YR_GROWTH_RATE_MONTH" hidden="1">"c1848"</definedName>
    <definedName name="IQ_PERCENT_CHANGE_EST_5YR_GROWTH_RATE_WEEK" hidden="1">"c1847"</definedName>
    <definedName name="IQ_PERCENT_CHANGE_EST_CFPS_12MONTHS" hidden="1">"c1812"</definedName>
    <definedName name="IQ_PERCENT_CHANGE_EST_CFPS_18MONTHS" hidden="1">"c1813"</definedName>
    <definedName name="IQ_PERCENT_CHANGE_EST_CFPS_3MONTHS" hidden="1">"c1809"</definedName>
    <definedName name="IQ_PERCENT_CHANGE_EST_CFPS_6MONTHS" hidden="1">"c1810"</definedName>
    <definedName name="IQ_PERCENT_CHANGE_EST_CFPS_9MONTHS" hidden="1">"c1811"</definedName>
    <definedName name="IQ_PERCENT_CHANGE_EST_CFPS_DAY" hidden="1">"c1806"</definedName>
    <definedName name="IQ_PERCENT_CHANGE_EST_CFPS_MONTH" hidden="1">"c1808"</definedName>
    <definedName name="IQ_PERCENT_CHANGE_EST_CFPS_WEEK" hidden="1">"c1807"</definedName>
    <definedName name="IQ_PERCENT_CHANGE_EST_DPS_12MONTHS" hidden="1">"c1820"</definedName>
    <definedName name="IQ_PERCENT_CHANGE_EST_DPS_18MONTHS" hidden="1">"c1821"</definedName>
    <definedName name="IQ_PERCENT_CHANGE_EST_DPS_3MONTHS" hidden="1">"c1817"</definedName>
    <definedName name="IQ_PERCENT_CHANGE_EST_DPS_6MONTHS" hidden="1">"c1818"</definedName>
    <definedName name="IQ_PERCENT_CHANGE_EST_DPS_9MONTHS" hidden="1">"c1819"</definedName>
    <definedName name="IQ_PERCENT_CHANGE_EST_DPS_DAY" hidden="1">"c1814"</definedName>
    <definedName name="IQ_PERCENT_CHANGE_EST_DPS_MONTH" hidden="1">"c1816"</definedName>
    <definedName name="IQ_PERCENT_CHANGE_EST_DPS_WEEK" hidden="1">"c1815"</definedName>
    <definedName name="IQ_PERCENT_CHANGE_EST_EBITDA_12MONTHS" hidden="1">"c1804"</definedName>
    <definedName name="IQ_PERCENT_CHANGE_EST_EBITDA_18MONTHS" hidden="1">"c1805"</definedName>
    <definedName name="IQ_PERCENT_CHANGE_EST_EBITDA_3MONTHS" hidden="1">"c1801"</definedName>
    <definedName name="IQ_PERCENT_CHANGE_EST_EBITDA_6MONTHS" hidden="1">"c1802"</definedName>
    <definedName name="IQ_PERCENT_CHANGE_EST_EBITDA_9MONTHS" hidden="1">"c1803"</definedName>
    <definedName name="IQ_PERCENT_CHANGE_EST_EBITDA_DAY" hidden="1">"c1798"</definedName>
    <definedName name="IQ_PERCENT_CHANGE_EST_EBITDA_MONTH" hidden="1">"c1800"</definedName>
    <definedName name="IQ_PERCENT_CHANGE_EST_EBITDA_WEEK" hidden="1">"c1799"</definedName>
    <definedName name="IQ_PERCENT_CHANGE_EST_EPS_12MONTHS" hidden="1">"c1788"</definedName>
    <definedName name="IQ_PERCENT_CHANGE_EST_EPS_18MONTHS" hidden="1">"c1789"</definedName>
    <definedName name="IQ_PERCENT_CHANGE_EST_EPS_3MONTHS" hidden="1">"c1785"</definedName>
    <definedName name="IQ_PERCENT_CHANGE_EST_EPS_6MONTHS" hidden="1">"c1786"</definedName>
    <definedName name="IQ_PERCENT_CHANGE_EST_EPS_9MONTHS" hidden="1">"c1787"</definedName>
    <definedName name="IQ_PERCENT_CHANGE_EST_EPS_DAY" hidden="1">"c1782"</definedName>
    <definedName name="IQ_PERCENT_CHANGE_EST_EPS_MONTH" hidden="1">"c1784"</definedName>
    <definedName name="IQ_PERCENT_CHANGE_EST_EPS_WEEK" hidden="1">"c1783"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8MONTHS" hidden="1">"c1845"</definedName>
    <definedName name="IQ_PERCENT_CHANGE_EST_PRICE_TARGET_3MONTHS" hidden="1">"c1841"</definedName>
    <definedName name="IQ_PERCENT_CHANGE_EST_PRICE_TARGET_6MONTHS" hidden="1">"c1842"</definedName>
    <definedName name="IQ_PERCENT_CHANGE_EST_PRICE_TARGET_9MONTHS" hidden="1">"c1843"</definedName>
    <definedName name="IQ_PERCENT_CHANGE_EST_PRICE_TARGET_DAY" hidden="1">"c1838"</definedName>
    <definedName name="IQ_PERCENT_CHANGE_EST_PRICE_TARGET_MONTH" hidden="1">"c1840"</definedName>
    <definedName name="IQ_PERCENT_CHANGE_EST_PRICE_TARGET_WEEK" hidden="1">"c1839"</definedName>
    <definedName name="IQ_PERCENT_CHANGE_EST_RECO_12MONTHS" hidden="1">"c1836"</definedName>
    <definedName name="IQ_PERCENT_CHANGE_EST_RECO_18MONTHS" hidden="1">"c1837"</definedName>
    <definedName name="IQ_PERCENT_CHANGE_EST_RECO_3MONTHS" hidden="1">"c1833"</definedName>
    <definedName name="IQ_PERCENT_CHANGE_EST_RECO_6MONTHS" hidden="1">"c1834"</definedName>
    <definedName name="IQ_PERCENT_CHANGE_EST_RECO_9MONTHS" hidden="1">"c1835"</definedName>
    <definedName name="IQ_PERCENT_CHANGE_EST_RECO_DAY" hidden="1">"c1830"</definedName>
    <definedName name="IQ_PERCENT_CHANGE_EST_RECO_MONTH" hidden="1">"c1832"</definedName>
    <definedName name="IQ_PERCENT_CHANGE_EST_RECO_WEEK" hidden="1">"c1831"</definedName>
    <definedName name="IQ_PERCENT_CHANGE_EST_REV_12MONTHS" hidden="1">"c1796"</definedName>
    <definedName name="IQ_PERCENT_CHANGE_EST_REV_18MONTHS" hidden="1">"c1797"</definedName>
    <definedName name="IQ_PERCENT_CHANGE_EST_REV_3MONTHS" hidden="1">"c1793"</definedName>
    <definedName name="IQ_PERCENT_CHANGE_EST_REV_6MONTHS" hidden="1">"c1794"</definedName>
    <definedName name="IQ_PERCENT_CHANGE_EST_REV_9MONTHS" hidden="1">"c1795"</definedName>
    <definedName name="IQ_PERCENT_CHANGE_EST_REV_DAY" hidden="1">"c1790"</definedName>
    <definedName name="IQ_PERCENT_CHANGE_EST_REV_MONTH" hidden="1">"c1792"</definedName>
    <definedName name="IQ_PERCENT_CHANGE_EST_REV_WEEK" hidden="1">"c1791"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RE_OPEN_COST" hidden="1">"c1040"</definedName>
    <definedName name="IQ_PRE_TAX_ACT_OR_EST" hidden="1">"c2221"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TAX_GW_INC_EST" hidden="1">"c1702"</definedName>
    <definedName name="IQ_PRETAX_GW_INC_HIGH_EST" hidden="1">"c1704"</definedName>
    <definedName name="IQ_PRETAX_GW_INC_LOW_EST" hidden="1">"c1705"</definedName>
    <definedName name="IQ_PRETAX_GW_INC_MEDIAN_EST" hidden="1">"c1703"</definedName>
    <definedName name="IQ_PRETAX_GW_INC_NUM_EST" hidden="1">"c1706"</definedName>
    <definedName name="IQ_PRETAX_GW_INC_STDDEV_EST" hidden="1">"c1707"</definedName>
    <definedName name="IQ_PRETAX_INC_EST" hidden="1">"c1695"</definedName>
    <definedName name="IQ_PRETAX_INC_HIGH_EST" hidden="1">"c1697"</definedName>
    <definedName name="IQ_PRETAX_INC_LOW_EST" hidden="1">"c1698"</definedName>
    <definedName name="IQ_PRETAX_INC_MEDIAN_EST" hidden="1">"c1696"</definedName>
    <definedName name="IQ_PRETAX_INC_NUM_EST" hidden="1">"c1699"</definedName>
    <definedName name="IQ_PRETAX_INC_STDDEV_EST" hidden="1">"c1700"</definedName>
    <definedName name="IQ_PRETAX_REPORT_INC_EST" hidden="1">"c1709"</definedName>
    <definedName name="IQ_PRETAX_REPORT_INC_HIGH_EST" hidden="1">"c1711"</definedName>
    <definedName name="IQ_PRETAX_REPORT_INC_LOW_EST" hidden="1">"c1712"</definedName>
    <definedName name="IQ_PRETAX_REPORT_INC_MEDIAN_EST" hidden="1">"c1710"</definedName>
    <definedName name="IQ_PRETAX_REPORT_INC_NUM_EST" hidden="1">"c1713"</definedName>
    <definedName name="IQ_PRETAX_REPORT_INC_STDDEV_EST" hidden="1">"c1714"</definedName>
    <definedName name="IQ_PRICE_CFPS_FWD" hidden="1">"c2237"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ACT_OR_EST" hidden="1">"c2214"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39170.5951967593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>50000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new">[1]Publishing!$Y$11</definedName>
    <definedName name="no" localSheetId="12" hidden="1">{"PR1","pr1",TRUE,"Sch PR-1"}</definedName>
    <definedName name="no" hidden="1">{"PR1","pr1",TRUE,"Sch PR-1"}</definedName>
    <definedName name="publishing_analystemail" localSheetId="5">[2]Publishing!$Y$11</definedName>
    <definedName name="publishing_analystemail">[1]Publishing!$Y$11</definedName>
    <definedName name="publishing_analystname" localSheetId="5">[2]Publishing!$X$11</definedName>
    <definedName name="publishing_analystname">[1]Publishing!$X$11</definedName>
    <definedName name="publishing_analystphone" localSheetId="5">[2]Publishing!$Z$11</definedName>
    <definedName name="publishing_analystphone">[1]Publishing!$Z$11</definedName>
    <definedName name="publishing_annotations">#REF!</definedName>
    <definedName name="publishing_bloomberghistory" localSheetId="5">[2]Publishing!$O$30:$P$395</definedName>
    <definedName name="publishing_bloomberghistory">[1]Publishing!$O$30:$P$395</definedName>
    <definedName name="publishing_companyname" localSheetId="5">#REF!</definedName>
    <definedName name="publishing_companyname">#REF!</definedName>
    <definedName name="publishing_coverage" localSheetId="5">#REF!</definedName>
    <definedName name="publishing_coverage">#REF!</definedName>
    <definedName name="publishing_date" localSheetId="5">#REF!</definedName>
    <definedName name="publishing_date">#REF!</definedName>
    <definedName name="publishing_disclosures">#REF!</definedName>
    <definedName name="publishing_estimates">#REF!</definedName>
    <definedName name="publishing_extension">#REF!</definedName>
    <definedName name="publishing_factsethistory" localSheetId="5">[2]Publishing!$J$30:$M$395</definedName>
    <definedName name="publishing_factsethistory">[1]Publishing!$J$30:$M$395</definedName>
    <definedName name="publishing_fiscalyear" localSheetId="5">#REF!</definedName>
    <definedName name="publishing_fiscalyear">#REF!</definedName>
    <definedName name="publishing_freeform" localSheetId="5">#REF!</definedName>
    <definedName name="publishing_freeform">#REF!</definedName>
    <definedName name="publishing_id" localSheetId="5">[2]Publishing!$G$1</definedName>
    <definedName name="publishing_id">[1]Publishing!$G$1</definedName>
    <definedName name="publishing_id_type" localSheetId="5">[2]Publishing!$F$1</definedName>
    <definedName name="publishing_id_type">[1]Publishing!$F$1</definedName>
    <definedName name="publishing_link" localSheetId="5">#REF!</definedName>
    <definedName name="publishing_link">#REF!</definedName>
    <definedName name="publishing_path" localSheetId="5">[2]Publishing!$K$2</definedName>
    <definedName name="publishing_path">[1]Publishing!$K$2</definedName>
    <definedName name="publishing_previousdate" localSheetId="5">#REF!</definedName>
    <definedName name="publishing_previousdate">#REF!</definedName>
    <definedName name="publishing_price" localSheetId="5">#REF!</definedName>
    <definedName name="publishing_price">#REF!</definedName>
    <definedName name="publishing_priceperfdata" localSheetId="5">#REF!</definedName>
    <definedName name="publishing_priceperfdata">#REF!</definedName>
    <definedName name="publishing_pricingdate" localSheetId="5">[2]Publishing!$G$3</definedName>
    <definedName name="publishing_pricingdate">[1]Publishing!$G$3</definedName>
    <definedName name="publishing_ratings" localSheetId="5">[2]Publishing!$Y$2:$Y$6</definedName>
    <definedName name="publishing_ratings">[1]Publishing!$Y$2:$Y$6</definedName>
    <definedName name="publishing_source" localSheetId="5">[2]Publishing!$G$4</definedName>
    <definedName name="publishing_source">[1]Publishing!$G$4</definedName>
    <definedName name="publishing_symbol" localSheetId="5">[2]Publishing!$G$2</definedName>
    <definedName name="publishing_symbol">[1]Publishing!$G$2</definedName>
    <definedName name="publishing_tfdata" localSheetId="5">#REF!</definedName>
    <definedName name="publishing_tfdata">#REF!</definedName>
    <definedName name="publishing_version" localSheetId="5">#REF!</definedName>
    <definedName name="publishing_version">#REF!</definedName>
    <definedName name="s" localSheetId="12" hidden="1">{"PR1","pr1",TRUE,"Sch PR-1"}</definedName>
    <definedName name="s" hidden="1">{"PR1","pr1",TRUE,"Sch PR-1"}</definedName>
    <definedName name="sdsds" localSheetId="12" hidden="1">{"PR1","pr1",TRUE,"Sch PR-1"}</definedName>
    <definedName name="sdsds" hidden="1">{"PR1","pr1",TRUE,"Sch PR-1"}</definedName>
    <definedName name="solver_adj" hidden="1">#REF!</definedName>
    <definedName name="solver_cvg" hidden="1">0.0001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2</definedName>
    <definedName name="solver_neg" hidden="1">2</definedName>
    <definedName name="solver_num" hidden="1">1</definedName>
    <definedName name="solver_nwt" hidden="1">1</definedName>
    <definedName name="solver_opt" hidden="1">#REF!</definedName>
    <definedName name="solver_pre" hidden="1">0.000001</definedName>
    <definedName name="solver_rel1" hidden="1">2</definedName>
    <definedName name="solver_rel10" hidden="1">1</definedName>
    <definedName name="solver_rel11" hidden="1">3</definedName>
    <definedName name="solver_rel2" hidden="1">2</definedName>
    <definedName name="solver_rel3" hidden="1">2</definedName>
    <definedName name="solver_rel4" hidden="1">2</definedName>
    <definedName name="solver_rel5" hidden="1">1</definedName>
    <definedName name="solver_rel6" hidden="1">3</definedName>
    <definedName name="solver_rel7" hidden="1">2</definedName>
    <definedName name="solver_rel8" hidden="1">1</definedName>
    <definedName name="solver_rel9" hidden="1">3</definedName>
    <definedName name="solver_rhs1" hidden="1">#REF!</definedName>
    <definedName name="solver_rhs10" hidden="1">#REF!</definedName>
    <definedName name="solver_rhs11" hidden="1">#REF!</definedName>
    <definedName name="solver_rhs2" hidden="1">#REF!</definedName>
    <definedName name="solver_rhs3" hidden="1">#REF!</definedName>
    <definedName name="solver_rhs4" hidden="1">#REF!</definedName>
    <definedName name="solver_rhs5" hidden="1">#REF!</definedName>
    <definedName name="solver_rhs6" hidden="1">#REF!</definedName>
    <definedName name="solver_rhs7" hidden="1">#REF!</definedName>
    <definedName name="solver_rhs8" hidden="1">#REF!</definedName>
    <definedName name="solver_rhs9" hidden="1">#REF!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3</definedName>
    <definedName name="solver_val" hidden="1">1053</definedName>
    <definedName name="sssssss" localSheetId="12" hidden="1">{"PR1","pr1",TRUE,"Sch PR-1"}</definedName>
    <definedName name="sssssss" hidden="1">{"PR1","pr1",TRUE,"Sch PR-1"}</definedName>
    <definedName name="wrn.Aging._.and._.Trend._.Analysis." localSheetId="12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Report_PR_1." localSheetId="12" hidden="1">{"PR1","pr1",TRUE,"Sch PR-1"}</definedName>
    <definedName name="wrn.Report_PR_1." hidden="1">{"PR1","pr1",TRUE,"Sch PR-1"}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2" i="19" l="1"/>
  <c r="AF2" i="19" s="1"/>
  <c r="AG2" i="19" s="1"/>
  <c r="AH2" i="19" s="1"/>
  <c r="AI2" i="19" s="1"/>
  <c r="AJ2" i="19" s="1"/>
  <c r="AK2" i="19" s="1"/>
  <c r="F36" i="12"/>
  <c r="G36" i="12"/>
  <c r="H36" i="12"/>
  <c r="I36" i="12"/>
  <c r="J36" i="12"/>
  <c r="L36" i="12"/>
  <c r="M36" i="12"/>
  <c r="N36" i="12"/>
  <c r="D36" i="12"/>
  <c r="M19" i="19"/>
  <c r="N19" i="19"/>
  <c r="Q19" i="19"/>
  <c r="R19" i="19"/>
  <c r="L19" i="19"/>
  <c r="W48" i="19"/>
  <c r="V48" i="19"/>
  <c r="U48" i="19"/>
  <c r="Y46" i="19"/>
  <c r="Y48" i="19" s="1"/>
  <c r="X46" i="19"/>
  <c r="X48" i="19" s="1"/>
  <c r="W46" i="19"/>
  <c r="R46" i="19"/>
  <c r="R48" i="19" s="1"/>
  <c r="Q46" i="19"/>
  <c r="Q48" i="19" s="1"/>
  <c r="P46" i="19"/>
  <c r="V45" i="19"/>
  <c r="U45" i="19"/>
  <c r="T45" i="19"/>
  <c r="S45" i="19"/>
  <c r="R45" i="19"/>
  <c r="M45" i="19"/>
  <c r="AD43" i="19"/>
  <c r="AC43" i="19"/>
  <c r="V43" i="19"/>
  <c r="S43" i="19"/>
  <c r="R43" i="19"/>
  <c r="Q43" i="19"/>
  <c r="N43" i="19"/>
  <c r="N45" i="19" s="1"/>
  <c r="M43" i="19"/>
  <c r="L43" i="19"/>
  <c r="L45" i="19" s="1"/>
  <c r="S42" i="19"/>
  <c r="AA41" i="19"/>
  <c r="AA40" i="19" s="1"/>
  <c r="AD40" i="19"/>
  <c r="AC40" i="19"/>
  <c r="AC42" i="19" s="1"/>
  <c r="S40" i="19"/>
  <c r="R40" i="19"/>
  <c r="R42" i="19" s="1"/>
  <c r="Q40" i="19"/>
  <c r="N40" i="19"/>
  <c r="N42" i="19" s="1"/>
  <c r="M40" i="19"/>
  <c r="M42" i="19" s="1"/>
  <c r="L40" i="19"/>
  <c r="L42" i="19" s="1"/>
  <c r="AD34" i="19"/>
  <c r="Z34" i="19"/>
  <c r="Y34" i="19"/>
  <c r="S34" i="19"/>
  <c r="N34" i="19"/>
  <c r="M34" i="19"/>
  <c r="L34" i="19"/>
  <c r="L31" i="19"/>
  <c r="L37" i="19" s="1"/>
  <c r="K31" i="19"/>
  <c r="Y30" i="19"/>
  <c r="K30" i="19"/>
  <c r="J30" i="19"/>
  <c r="I30" i="19"/>
  <c r="H30" i="19"/>
  <c r="G30" i="19"/>
  <c r="F30" i="19"/>
  <c r="E30" i="19"/>
  <c r="D30" i="19"/>
  <c r="C30" i="19"/>
  <c r="B30" i="19"/>
  <c r="AC28" i="19"/>
  <c r="AC36" i="19" s="1"/>
  <c r="Y28" i="19"/>
  <c r="X28" i="19"/>
  <c r="W28" i="19"/>
  <c r="X30" i="19" s="1"/>
  <c r="V28" i="19"/>
  <c r="V30" i="19" s="1"/>
  <c r="U28" i="19"/>
  <c r="U30" i="19" s="1"/>
  <c r="L28" i="19"/>
  <c r="L36" i="19" s="1"/>
  <c r="AD27" i="19"/>
  <c r="S27" i="19"/>
  <c r="R27" i="19"/>
  <c r="N27" i="19"/>
  <c r="M27" i="19"/>
  <c r="J27" i="19"/>
  <c r="I27" i="19"/>
  <c r="D27" i="19"/>
  <c r="C27" i="19"/>
  <c r="B27" i="19"/>
  <c r="AD25" i="19"/>
  <c r="AD35" i="19" s="1"/>
  <c r="AC25" i="19"/>
  <c r="AC35" i="19" s="1"/>
  <c r="V25" i="19"/>
  <c r="S25" i="19"/>
  <c r="S35" i="19" s="1"/>
  <c r="R25" i="19"/>
  <c r="R35" i="19" s="1"/>
  <c r="Q25" i="19"/>
  <c r="Q35" i="19" s="1"/>
  <c r="N25" i="19"/>
  <c r="N35" i="19" s="1"/>
  <c r="M25" i="19"/>
  <c r="M35" i="19" s="1"/>
  <c r="L25" i="19"/>
  <c r="L35" i="19" s="1"/>
  <c r="K25" i="19"/>
  <c r="K27" i="19" s="1"/>
  <c r="J25" i="19"/>
  <c r="J31" i="19" s="1"/>
  <c r="I25" i="19"/>
  <c r="I31" i="19" s="1"/>
  <c r="H25" i="19"/>
  <c r="H31" i="19" s="1"/>
  <c r="G25" i="19"/>
  <c r="H27" i="19" s="1"/>
  <c r="F25" i="19"/>
  <c r="F27" i="19" s="1"/>
  <c r="E25" i="19"/>
  <c r="E27" i="19" s="1"/>
  <c r="D25" i="19"/>
  <c r="C25" i="19"/>
  <c r="B25" i="19"/>
  <c r="AD24" i="19"/>
  <c r="S24" i="19"/>
  <c r="N24" i="19"/>
  <c r="M24" i="19"/>
  <c r="L24" i="19"/>
  <c r="H24" i="19"/>
  <c r="G24" i="19"/>
  <c r="D24" i="19"/>
  <c r="C24" i="19"/>
  <c r="B24" i="19"/>
  <c r="AD22" i="19"/>
  <c r="AC22" i="19"/>
  <c r="AC34" i="19" s="1"/>
  <c r="Z22" i="19"/>
  <c r="Z24" i="19" s="1"/>
  <c r="Y22" i="19"/>
  <c r="S22" i="19"/>
  <c r="R22" i="19"/>
  <c r="R34" i="19" s="1"/>
  <c r="Q22" i="19"/>
  <c r="R24" i="19" s="1"/>
  <c r="N22" i="19"/>
  <c r="M22" i="19"/>
  <c r="L22" i="19"/>
  <c r="K22" i="19"/>
  <c r="J22" i="19"/>
  <c r="K24" i="19" s="1"/>
  <c r="I22" i="19"/>
  <c r="I24" i="19" s="1"/>
  <c r="H22" i="19"/>
  <c r="G22" i="19"/>
  <c r="F22" i="19"/>
  <c r="F24" i="19" s="1"/>
  <c r="E22" i="19"/>
  <c r="E24" i="19" s="1"/>
  <c r="D22" i="19"/>
  <c r="D31" i="19" s="1"/>
  <c r="C22" i="19"/>
  <c r="C31" i="19" s="1"/>
  <c r="B22" i="19"/>
  <c r="B31" i="19" s="1"/>
  <c r="AD19" i="19"/>
  <c r="AD17" i="19" s="1"/>
  <c r="AC19" i="19"/>
  <c r="AC17" i="19" s="1"/>
  <c r="AB19" i="19"/>
  <c r="K19" i="19"/>
  <c r="K8" i="19" s="1"/>
  <c r="J19" i="19"/>
  <c r="I19" i="19"/>
  <c r="I8" i="19" s="1"/>
  <c r="H19" i="19"/>
  <c r="H14" i="19" s="1"/>
  <c r="G19" i="19"/>
  <c r="G14" i="19" s="1"/>
  <c r="F19" i="19"/>
  <c r="F8" i="19" s="1"/>
  <c r="E19" i="19"/>
  <c r="E5" i="19" s="1"/>
  <c r="D19" i="19"/>
  <c r="C19" i="19"/>
  <c r="C17" i="19" s="1"/>
  <c r="B19" i="19"/>
  <c r="B17" i="19" s="1"/>
  <c r="AD18" i="19"/>
  <c r="Y18" i="19"/>
  <c r="X18" i="19"/>
  <c r="K18" i="19"/>
  <c r="J18" i="19"/>
  <c r="I18" i="19"/>
  <c r="H18" i="19"/>
  <c r="G18" i="19"/>
  <c r="F18" i="19"/>
  <c r="E18" i="19"/>
  <c r="D18" i="19"/>
  <c r="C18" i="19"/>
  <c r="B18" i="19"/>
  <c r="J17" i="19"/>
  <c r="I17" i="19"/>
  <c r="H17" i="19"/>
  <c r="G17" i="19"/>
  <c r="F17" i="19"/>
  <c r="E17" i="19"/>
  <c r="D17" i="19"/>
  <c r="AB16" i="19"/>
  <c r="AC18" i="19" s="1"/>
  <c r="AA16" i="19"/>
  <c r="AA18" i="19" s="1"/>
  <c r="Z16" i="19"/>
  <c r="Z18" i="19" s="1"/>
  <c r="Y16" i="19"/>
  <c r="X16" i="19"/>
  <c r="W16" i="19"/>
  <c r="W18" i="19" s="1"/>
  <c r="AD15" i="19"/>
  <c r="Y15" i="19"/>
  <c r="X15" i="19"/>
  <c r="K15" i="19"/>
  <c r="J15" i="19"/>
  <c r="I15" i="19"/>
  <c r="H15" i="19"/>
  <c r="G15" i="19"/>
  <c r="F15" i="19"/>
  <c r="E15" i="19"/>
  <c r="D15" i="19"/>
  <c r="C15" i="19"/>
  <c r="B15" i="19"/>
  <c r="J14" i="19"/>
  <c r="I14" i="19"/>
  <c r="E14" i="19"/>
  <c r="D14" i="19"/>
  <c r="AB13" i="19"/>
  <c r="AB10" i="19" s="1"/>
  <c r="AA13" i="19"/>
  <c r="AA10" i="19" s="1"/>
  <c r="Z13" i="19"/>
  <c r="Y13" i="19"/>
  <c r="X13" i="19"/>
  <c r="W13" i="19"/>
  <c r="W15" i="19" s="1"/>
  <c r="W12" i="19"/>
  <c r="T12" i="19"/>
  <c r="S12" i="19"/>
  <c r="R12" i="19"/>
  <c r="M12" i="19"/>
  <c r="L12" i="19"/>
  <c r="B12" i="19"/>
  <c r="J11" i="19"/>
  <c r="J12" i="19" s="1"/>
  <c r="F11" i="19"/>
  <c r="F12" i="19" s="1"/>
  <c r="E11" i="19"/>
  <c r="E12" i="19" s="1"/>
  <c r="D11" i="19"/>
  <c r="AD10" i="19"/>
  <c r="AD46" i="19" s="1"/>
  <c r="AC46" i="19"/>
  <c r="V10" i="19"/>
  <c r="V46" i="19" s="1"/>
  <c r="U10" i="19"/>
  <c r="U46" i="19" s="1"/>
  <c r="T10" i="19"/>
  <c r="T28" i="19" s="1"/>
  <c r="S10" i="19"/>
  <c r="S28" i="19" s="1"/>
  <c r="R10" i="19"/>
  <c r="R28" i="19" s="1"/>
  <c r="Q10" i="19"/>
  <c r="Q28" i="19" s="1"/>
  <c r="P10" i="19"/>
  <c r="Q12" i="19" s="1"/>
  <c r="O10" i="19"/>
  <c r="O46" i="19" s="1"/>
  <c r="N10" i="19"/>
  <c r="N46" i="19" s="1"/>
  <c r="M10" i="19"/>
  <c r="M46" i="19" s="1"/>
  <c r="M48" i="19" s="1"/>
  <c r="L10" i="19"/>
  <c r="L46" i="19" s="1"/>
  <c r="L48" i="19" s="1"/>
  <c r="K10" i="19"/>
  <c r="K11" i="19" s="1"/>
  <c r="K12" i="19" s="1"/>
  <c r="J10" i="19"/>
  <c r="I10" i="19"/>
  <c r="I11" i="19" s="1"/>
  <c r="H10" i="19"/>
  <c r="H11" i="19" s="1"/>
  <c r="G10" i="19"/>
  <c r="F10" i="19"/>
  <c r="E10" i="19"/>
  <c r="D10" i="19"/>
  <c r="C10" i="19"/>
  <c r="C11" i="19" s="1"/>
  <c r="C12" i="19" s="1"/>
  <c r="B10" i="19"/>
  <c r="B11" i="19" s="1"/>
  <c r="AD9" i="19"/>
  <c r="AC9" i="19"/>
  <c r="AB9" i="19"/>
  <c r="AA9" i="19"/>
  <c r="U9" i="19"/>
  <c r="T9" i="19"/>
  <c r="S9" i="19"/>
  <c r="R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J8" i="19"/>
  <c r="H8" i="19"/>
  <c r="G8" i="19"/>
  <c r="E8" i="19"/>
  <c r="D8" i="19"/>
  <c r="AB7" i="19"/>
  <c r="AB43" i="19" s="1"/>
  <c r="AA7" i="19"/>
  <c r="AA43" i="19" s="1"/>
  <c r="Z7" i="19"/>
  <c r="Z9" i="19" s="1"/>
  <c r="Y7" i="19"/>
  <c r="Y9" i="19" s="1"/>
  <c r="X7" i="19"/>
  <c r="V7" i="19"/>
  <c r="U7" i="19"/>
  <c r="U43" i="19" s="1"/>
  <c r="T7" i="19"/>
  <c r="T43" i="19" s="1"/>
  <c r="AD6" i="19"/>
  <c r="AA6" i="19"/>
  <c r="Z6" i="19"/>
  <c r="W6" i="19"/>
  <c r="V6" i="19"/>
  <c r="U6" i="19"/>
  <c r="S6" i="19"/>
  <c r="R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J5" i="19"/>
  <c r="I5" i="19"/>
  <c r="H5" i="19"/>
  <c r="G5" i="19"/>
  <c r="F5" i="19"/>
  <c r="D5" i="19"/>
  <c r="AB4" i="19"/>
  <c r="AB40" i="19" s="1"/>
  <c r="AA4" i="19"/>
  <c r="AA19" i="19" s="1"/>
  <c r="AA14" i="19" s="1"/>
  <c r="Z4" i="19"/>
  <c r="Z40" i="19" s="1"/>
  <c r="Y4" i="19"/>
  <c r="Y40" i="19" s="1"/>
  <c r="X4" i="19"/>
  <c r="X40" i="19" s="1"/>
  <c r="W4" i="19"/>
  <c r="V4" i="19"/>
  <c r="V40" i="19" s="1"/>
  <c r="U4" i="19"/>
  <c r="U40" i="19" s="1"/>
  <c r="T4" i="19"/>
  <c r="T6" i="19" s="1"/>
  <c r="D2" i="19"/>
  <c r="E2" i="19" s="1"/>
  <c r="F2" i="19" s="1"/>
  <c r="G2" i="19" s="1"/>
  <c r="H2" i="19" s="1"/>
  <c r="I2" i="19" s="1"/>
  <c r="J2" i="19" s="1"/>
  <c r="K2" i="19" s="1"/>
  <c r="W2" i="19" s="1"/>
  <c r="C2" i="19"/>
  <c r="AG21" i="2"/>
  <c r="AH21" i="2"/>
  <c r="AI21" i="2"/>
  <c r="AL21" i="2" s="1"/>
  <c r="AJ21" i="2"/>
  <c r="AK21" i="2"/>
  <c r="AM21" i="2"/>
  <c r="AN21" i="2"/>
  <c r="AO21" i="2"/>
  <c r="AG22" i="2"/>
  <c r="AH22" i="2"/>
  <c r="AI22" i="2"/>
  <c r="AJ22" i="2"/>
  <c r="AK22" i="2"/>
  <c r="AL22" i="2"/>
  <c r="AM22" i="2"/>
  <c r="AN22" i="2"/>
  <c r="AO22" i="2"/>
  <c r="A1" i="18"/>
  <c r="I15" i="18"/>
  <c r="B41" i="18"/>
  <c r="B47" i="18"/>
  <c r="C47" i="18"/>
  <c r="B48" i="18"/>
  <c r="B49" i="18"/>
  <c r="B51" i="18"/>
  <c r="B40" i="18"/>
  <c r="B37" i="18"/>
  <c r="B36" i="18"/>
  <c r="A49" i="18"/>
  <c r="A51" i="18"/>
  <c r="A36" i="18"/>
  <c r="A37" i="18"/>
  <c r="A39" i="18"/>
  <c r="A40" i="18"/>
  <c r="A41" i="18"/>
  <c r="A42" i="18"/>
  <c r="A44" i="18"/>
  <c r="A46" i="18"/>
  <c r="A47" i="18"/>
  <c r="A48" i="18"/>
  <c r="A34" i="18"/>
  <c r="D9" i="18"/>
  <c r="C9" i="18"/>
  <c r="E9" i="18"/>
  <c r="F9" i="18"/>
  <c r="G9" i="18"/>
  <c r="H9" i="18"/>
  <c r="I9" i="18"/>
  <c r="J9" i="18"/>
  <c r="K9" i="18"/>
  <c r="L9" i="18"/>
  <c r="M9" i="18"/>
  <c r="N9" i="18"/>
  <c r="O9" i="18"/>
  <c r="P9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C15" i="18"/>
  <c r="D15" i="18"/>
  <c r="E15" i="18"/>
  <c r="F15" i="18"/>
  <c r="G15" i="18"/>
  <c r="H15" i="18"/>
  <c r="J15" i="18"/>
  <c r="K15" i="18"/>
  <c r="L15" i="18"/>
  <c r="M15" i="18"/>
  <c r="N15" i="18"/>
  <c r="O15" i="18"/>
  <c r="P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B9" i="18"/>
  <c r="B12" i="18"/>
  <c r="B15" i="18"/>
  <c r="B16" i="18"/>
  <c r="B22" i="18"/>
  <c r="B23" i="18"/>
  <c r="B25" i="18"/>
  <c r="B29" i="18"/>
  <c r="B31" i="18"/>
  <c r="A3" i="18"/>
  <c r="A5" i="18"/>
  <c r="A7" i="18"/>
  <c r="A8" i="18"/>
  <c r="A9" i="18"/>
  <c r="A10" i="18"/>
  <c r="A11" i="18"/>
  <c r="A12" i="18"/>
  <c r="A13" i="18"/>
  <c r="A14" i="18"/>
  <c r="A15" i="18"/>
  <c r="A16" i="18"/>
  <c r="A17" i="18"/>
  <c r="A19" i="18"/>
  <c r="A20" i="18"/>
  <c r="A21" i="18"/>
  <c r="A22" i="18"/>
  <c r="A23" i="18"/>
  <c r="A24" i="18"/>
  <c r="A25" i="18"/>
  <c r="A26" i="18"/>
  <c r="A28" i="18"/>
  <c r="A29" i="18"/>
  <c r="A30" i="18"/>
  <c r="A31" i="18"/>
  <c r="A32" i="18"/>
  <c r="A2" i="18"/>
  <c r="BA100" i="12"/>
  <c r="BA101" i="12"/>
  <c r="AJ103" i="12"/>
  <c r="BG34" i="12"/>
  <c r="BH34" i="12" s="1"/>
  <c r="BI34" i="12" s="1"/>
  <c r="BJ34" i="12" s="1"/>
  <c r="BK34" i="12" s="1"/>
  <c r="BL34" i="12" s="1"/>
  <c r="BM34" i="12" s="1"/>
  <c r="BN34" i="12" s="1"/>
  <c r="BO34" i="12" s="1"/>
  <c r="BP34" i="12" s="1"/>
  <c r="BG69" i="12"/>
  <c r="BH69" i="12"/>
  <c r="BI69" i="12"/>
  <c r="BJ69" i="12"/>
  <c r="BK69" i="12"/>
  <c r="BL69" i="12"/>
  <c r="BM69" i="12"/>
  <c r="BN69" i="12"/>
  <c r="BO69" i="12"/>
  <c r="BP69" i="12"/>
  <c r="BG72" i="12"/>
  <c r="BH72" i="12"/>
  <c r="BI72" i="12"/>
  <c r="BJ72" i="12"/>
  <c r="BK72" i="12"/>
  <c r="BL72" i="12"/>
  <c r="BM72" i="12"/>
  <c r="BN72" i="12"/>
  <c r="BO72" i="12"/>
  <c r="BP72" i="12"/>
  <c r="BG75" i="12"/>
  <c r="BH75" i="12"/>
  <c r="BI75" i="12"/>
  <c r="BJ75" i="12"/>
  <c r="BK75" i="12"/>
  <c r="BL75" i="12"/>
  <c r="BM75" i="12"/>
  <c r="BN75" i="12"/>
  <c r="BO75" i="12"/>
  <c r="BP75" i="12"/>
  <c r="BG76" i="12"/>
  <c r="BH76" i="12" s="1"/>
  <c r="BI76" i="12" s="1"/>
  <c r="BJ76" i="12" s="1"/>
  <c r="BK76" i="12" s="1"/>
  <c r="BL76" i="12" s="1"/>
  <c r="BM76" i="12" s="1"/>
  <c r="BN76" i="12" s="1"/>
  <c r="BO76" i="12" s="1"/>
  <c r="BP76" i="12" s="1"/>
  <c r="BG82" i="12"/>
  <c r="BH82" i="12"/>
  <c r="BI82" i="12"/>
  <c r="BJ82" i="12"/>
  <c r="BK82" i="12"/>
  <c r="BL82" i="12"/>
  <c r="BM82" i="12"/>
  <c r="BN82" i="12"/>
  <c r="BO82" i="12"/>
  <c r="BP82" i="12"/>
  <c r="BG83" i="12"/>
  <c r="BH83" i="12"/>
  <c r="BI83" i="12"/>
  <c r="BJ83" i="12"/>
  <c r="BK83" i="12"/>
  <c r="BL83" i="12"/>
  <c r="BM83" i="12"/>
  <c r="BN83" i="12"/>
  <c r="BO83" i="12"/>
  <c r="BP83" i="12"/>
  <c r="BG86" i="12"/>
  <c r="BH86" i="12"/>
  <c r="BI86" i="12"/>
  <c r="BJ86" i="12"/>
  <c r="BK86" i="12"/>
  <c r="BL86" i="12"/>
  <c r="BM86" i="12"/>
  <c r="BN86" i="12"/>
  <c r="BO86" i="12"/>
  <c r="BP86" i="12"/>
  <c r="BG91" i="12"/>
  <c r="BH91" i="12" s="1"/>
  <c r="BG93" i="12"/>
  <c r="BH93" i="12"/>
  <c r="BI93" i="12"/>
  <c r="BJ93" i="12"/>
  <c r="BK93" i="12"/>
  <c r="BL93" i="12"/>
  <c r="BM93" i="12"/>
  <c r="BN93" i="12"/>
  <c r="BO93" i="12"/>
  <c r="BP93" i="12"/>
  <c r="BG104" i="12"/>
  <c r="BH104" i="12"/>
  <c r="BI104" i="12"/>
  <c r="BJ104" i="12"/>
  <c r="BK104" i="12"/>
  <c r="BL104" i="12"/>
  <c r="BM104" i="12"/>
  <c r="BN104" i="12"/>
  <c r="BO104" i="12"/>
  <c r="BP104" i="12"/>
  <c r="BG114" i="12"/>
  <c r="BH114" i="12"/>
  <c r="BI114" i="12"/>
  <c r="BJ114" i="12"/>
  <c r="BK114" i="12"/>
  <c r="BL114" i="12"/>
  <c r="BM114" i="12"/>
  <c r="BN114" i="12"/>
  <c r="BO114" i="12"/>
  <c r="BP114" i="12"/>
  <c r="AR42" i="12"/>
  <c r="AR74" i="12"/>
  <c r="AS74" i="12"/>
  <c r="AT74" i="12"/>
  <c r="AU74" i="12" s="1"/>
  <c r="AV74" i="12" s="1"/>
  <c r="AW74" i="12" s="1"/>
  <c r="AX74" i="12" s="1"/>
  <c r="AY74" i="12" s="1"/>
  <c r="AZ74" i="12" s="1"/>
  <c r="AR103" i="12"/>
  <c r="AS103" i="12"/>
  <c r="AS42" i="12" s="1"/>
  <c r="AT103" i="12"/>
  <c r="AT42" i="12" s="1"/>
  <c r="AU103" i="12"/>
  <c r="AU42" i="12" s="1"/>
  <c r="AV103" i="12"/>
  <c r="AV42" i="12" s="1"/>
  <c r="AW103" i="12"/>
  <c r="AW42" i="12" s="1"/>
  <c r="AX103" i="12"/>
  <c r="AX42" i="12" s="1"/>
  <c r="AY103" i="12"/>
  <c r="AY42" i="12" s="1"/>
  <c r="AZ103" i="12"/>
  <c r="AZ42" i="12" s="1"/>
  <c r="AT15" i="12"/>
  <c r="AU15" i="12"/>
  <c r="AV15" i="12"/>
  <c r="AW15" i="12"/>
  <c r="AX15" i="12"/>
  <c r="AY15" i="12"/>
  <c r="AZ15" i="12"/>
  <c r="BA15" i="12"/>
  <c r="BB15" i="12"/>
  <c r="BC15" i="12"/>
  <c r="AT16" i="12"/>
  <c r="AU16" i="12"/>
  <c r="AV16" i="12"/>
  <c r="AW16" i="12"/>
  <c r="AX16" i="12"/>
  <c r="AY16" i="12"/>
  <c r="AZ16" i="12"/>
  <c r="BA16" i="12"/>
  <c r="BB16" i="12"/>
  <c r="BC16" i="12"/>
  <c r="AT25" i="12"/>
  <c r="AU25" i="12"/>
  <c r="AV25" i="12"/>
  <c r="AW25" i="12"/>
  <c r="AX25" i="12"/>
  <c r="AY25" i="12"/>
  <c r="AZ25" i="12"/>
  <c r="BA25" i="12"/>
  <c r="BB25" i="12"/>
  <c r="BC25" i="12"/>
  <c r="AT26" i="12"/>
  <c r="AU26" i="12"/>
  <c r="AV26" i="12"/>
  <c r="AW26" i="12"/>
  <c r="AX26" i="12"/>
  <c r="AY26" i="12"/>
  <c r="AZ26" i="12"/>
  <c r="BA26" i="12"/>
  <c r="BB26" i="12"/>
  <c r="BC26" i="12"/>
  <c r="Y20" i="12"/>
  <c r="Z20" i="12"/>
  <c r="AA20" i="12"/>
  <c r="AB20" i="12"/>
  <c r="AC20" i="12"/>
  <c r="AD20" i="12"/>
  <c r="AE20" i="12"/>
  <c r="AF20" i="12"/>
  <c r="AG20" i="12"/>
  <c r="AH20" i="12"/>
  <c r="Y22" i="12"/>
  <c r="Z22" i="12"/>
  <c r="AA22" i="12"/>
  <c r="AB22" i="12"/>
  <c r="AC22" i="12"/>
  <c r="AD22" i="12"/>
  <c r="AE22" i="12"/>
  <c r="AF22" i="12"/>
  <c r="AG22" i="12"/>
  <c r="AH22" i="12"/>
  <c r="AI36" i="12"/>
  <c r="AJ36" i="12"/>
  <c r="AJ37" i="12" s="1"/>
  <c r="AI39" i="12"/>
  <c r="AJ39" i="12"/>
  <c r="AI42" i="12"/>
  <c r="AJ42" i="12"/>
  <c r="AI47" i="12"/>
  <c r="AJ47" i="12"/>
  <c r="AI51" i="12"/>
  <c r="AJ51" i="12"/>
  <c r="AI58" i="12"/>
  <c r="AJ58" i="12"/>
  <c r="AI70" i="12"/>
  <c r="AI69" i="12" s="1"/>
  <c r="AJ70" i="12"/>
  <c r="AJ69" i="12" s="1"/>
  <c r="AI71" i="12"/>
  <c r="AJ71" i="12"/>
  <c r="AI80" i="12"/>
  <c r="AJ80" i="12"/>
  <c r="AI81" i="12"/>
  <c r="AJ81" i="12"/>
  <c r="AI110" i="12"/>
  <c r="AI111" i="12" s="1"/>
  <c r="AJ110" i="12"/>
  <c r="AJ111" i="12"/>
  <c r="AA36" i="12"/>
  <c r="AB36" i="12"/>
  <c r="AC36" i="12"/>
  <c r="AD36" i="12"/>
  <c r="AE36" i="12"/>
  <c r="AF36" i="12"/>
  <c r="AF37" i="12" s="1"/>
  <c r="AG36" i="12"/>
  <c r="AH36" i="12"/>
  <c r="AA39" i="12"/>
  <c r="AA45" i="12" s="1"/>
  <c r="AB39" i="12"/>
  <c r="AC39" i="12"/>
  <c r="AC40" i="12" s="1"/>
  <c r="AD39" i="12"/>
  <c r="AD40" i="12" s="1"/>
  <c r="AE39" i="12"/>
  <c r="AF39" i="12"/>
  <c r="AG39" i="12"/>
  <c r="AH39" i="12"/>
  <c r="AA42" i="12"/>
  <c r="AA103" i="12" s="1"/>
  <c r="AB42" i="12"/>
  <c r="AB103" i="12" s="1"/>
  <c r="AC42" i="12"/>
  <c r="AD42" i="12"/>
  <c r="AD103" i="12" s="1"/>
  <c r="AE42" i="12"/>
  <c r="AE43" i="12" s="1"/>
  <c r="AF42" i="12"/>
  <c r="AG42" i="12"/>
  <c r="AH42" i="12"/>
  <c r="AA47" i="12"/>
  <c r="AB47" i="12"/>
  <c r="AC47" i="12"/>
  <c r="AD47" i="12"/>
  <c r="AE47" i="12"/>
  <c r="AF47" i="12"/>
  <c r="AG47" i="12"/>
  <c r="AH47" i="12"/>
  <c r="AA51" i="12"/>
  <c r="AB51" i="12"/>
  <c r="AC51" i="12"/>
  <c r="AD51" i="12"/>
  <c r="AE51" i="12"/>
  <c r="AF51" i="12"/>
  <c r="AG51" i="12"/>
  <c r="AH51" i="12"/>
  <c r="AA58" i="12"/>
  <c r="AB58" i="12"/>
  <c r="AC58" i="12"/>
  <c r="AD58" i="12"/>
  <c r="AE58" i="12"/>
  <c r="AF58" i="12"/>
  <c r="AG58" i="12"/>
  <c r="AH58" i="12"/>
  <c r="AA70" i="12"/>
  <c r="AA69" i="12" s="1"/>
  <c r="AB70" i="12"/>
  <c r="AB69" i="12" s="1"/>
  <c r="AC70" i="12"/>
  <c r="AC69" i="12" s="1"/>
  <c r="AD70" i="12"/>
  <c r="AE70" i="12"/>
  <c r="AE69" i="12" s="1"/>
  <c r="AF70" i="12"/>
  <c r="AF69" i="12" s="1"/>
  <c r="AG70" i="12"/>
  <c r="AG69" i="12" s="1"/>
  <c r="AH70" i="12"/>
  <c r="AH69" i="12" s="1"/>
  <c r="AA71" i="12"/>
  <c r="AB71" i="12"/>
  <c r="AC71" i="12"/>
  <c r="AD71" i="12"/>
  <c r="AE71" i="12"/>
  <c r="AF71" i="12"/>
  <c r="AG71" i="12"/>
  <c r="AH71" i="12"/>
  <c r="AA80" i="12"/>
  <c r="AB80" i="12"/>
  <c r="AC80" i="12"/>
  <c r="AD80" i="12"/>
  <c r="AE80" i="12"/>
  <c r="AF80" i="12"/>
  <c r="AG80" i="12"/>
  <c r="AH80" i="12"/>
  <c r="AA81" i="12"/>
  <c r="AB81" i="12"/>
  <c r="AC81" i="12"/>
  <c r="AD81" i="12"/>
  <c r="AE81" i="12"/>
  <c r="AF81" i="12"/>
  <c r="AG81" i="12"/>
  <c r="AH81" i="12"/>
  <c r="AA110" i="12"/>
  <c r="AA111" i="12" s="1"/>
  <c r="AB110" i="12"/>
  <c r="AB111" i="12" s="1"/>
  <c r="AC110" i="12"/>
  <c r="AC111" i="12" s="1"/>
  <c r="AD110" i="12"/>
  <c r="AD111" i="12" s="1"/>
  <c r="AE110" i="12"/>
  <c r="AE111" i="12" s="1"/>
  <c r="AF110" i="12"/>
  <c r="AF111" i="12" s="1"/>
  <c r="AG110" i="12"/>
  <c r="AG111" i="12" s="1"/>
  <c r="AH110" i="12"/>
  <c r="AH111" i="12"/>
  <c r="D85" i="12"/>
  <c r="J69" i="12"/>
  <c r="K69" i="12"/>
  <c r="L69" i="12"/>
  <c r="M69" i="12"/>
  <c r="N69" i="12"/>
  <c r="O69" i="12"/>
  <c r="P69" i="12"/>
  <c r="Q69" i="12"/>
  <c r="R69" i="12"/>
  <c r="S69" i="12"/>
  <c r="J72" i="12"/>
  <c r="K72" i="12"/>
  <c r="L72" i="12"/>
  <c r="M72" i="12"/>
  <c r="N72" i="12"/>
  <c r="O72" i="12"/>
  <c r="P72" i="12"/>
  <c r="Q72" i="12"/>
  <c r="R72" i="12"/>
  <c r="S72" i="12"/>
  <c r="J75" i="12"/>
  <c r="K75" i="12"/>
  <c r="L75" i="12"/>
  <c r="M75" i="12"/>
  <c r="N75" i="12"/>
  <c r="O75" i="12"/>
  <c r="P75" i="12"/>
  <c r="Q75" i="12"/>
  <c r="R75" i="12"/>
  <c r="S75" i="12"/>
  <c r="J76" i="12"/>
  <c r="K76" i="12"/>
  <c r="L76" i="12"/>
  <c r="M76" i="12"/>
  <c r="N76" i="12"/>
  <c r="O76" i="12"/>
  <c r="P76" i="12"/>
  <c r="Q76" i="12"/>
  <c r="R76" i="12"/>
  <c r="S76" i="12"/>
  <c r="J82" i="12"/>
  <c r="K82" i="12"/>
  <c r="L82" i="12"/>
  <c r="M82" i="12"/>
  <c r="N82" i="12"/>
  <c r="O82" i="12"/>
  <c r="P82" i="12"/>
  <c r="Q82" i="12"/>
  <c r="R82" i="12"/>
  <c r="S82" i="12"/>
  <c r="J83" i="12"/>
  <c r="K83" i="12"/>
  <c r="L83" i="12"/>
  <c r="M83" i="12"/>
  <c r="N83" i="12"/>
  <c r="O83" i="12"/>
  <c r="P83" i="12"/>
  <c r="Q83" i="12"/>
  <c r="R83" i="12"/>
  <c r="S83" i="12"/>
  <c r="J86" i="12"/>
  <c r="K86" i="12"/>
  <c r="L86" i="12"/>
  <c r="M86" i="12"/>
  <c r="N86" i="12"/>
  <c r="O86" i="12"/>
  <c r="P86" i="12"/>
  <c r="Q86" i="12"/>
  <c r="R86" i="12"/>
  <c r="S86" i="12"/>
  <c r="J91" i="12"/>
  <c r="K91" i="12"/>
  <c r="L91" i="12"/>
  <c r="M91" i="12"/>
  <c r="N91" i="12"/>
  <c r="O91" i="12"/>
  <c r="P91" i="12"/>
  <c r="Q91" i="12"/>
  <c r="R91" i="12"/>
  <c r="S91" i="12"/>
  <c r="J93" i="12"/>
  <c r="K93" i="12"/>
  <c r="L93" i="12"/>
  <c r="M93" i="12"/>
  <c r="N93" i="12"/>
  <c r="O93" i="12"/>
  <c r="P93" i="12"/>
  <c r="Q93" i="12"/>
  <c r="R93" i="12"/>
  <c r="S93" i="12"/>
  <c r="J104" i="12"/>
  <c r="K104" i="12"/>
  <c r="L104" i="12"/>
  <c r="M104" i="12"/>
  <c r="N104" i="12"/>
  <c r="O104" i="12"/>
  <c r="P104" i="12"/>
  <c r="Q104" i="12"/>
  <c r="R104" i="12"/>
  <c r="S104" i="12"/>
  <c r="Z36" i="12"/>
  <c r="AD45" i="19" l="1"/>
  <c r="AC31" i="19"/>
  <c r="AC37" i="19" s="1"/>
  <c r="AD42" i="19"/>
  <c r="K36" i="12"/>
  <c r="Z42" i="19"/>
  <c r="Q36" i="19"/>
  <c r="Q30" i="19"/>
  <c r="Q31" i="19"/>
  <c r="Q37" i="19" s="1"/>
  <c r="AB42" i="19"/>
  <c r="R36" i="19"/>
  <c r="R30" i="19"/>
  <c r="R31" i="19"/>
  <c r="R37" i="19" s="1"/>
  <c r="Y24" i="19"/>
  <c r="Y31" i="19"/>
  <c r="Y37" i="19" s="1"/>
  <c r="Y17" i="19"/>
  <c r="Y42" i="19"/>
  <c r="S30" i="19"/>
  <c r="S36" i="19"/>
  <c r="S31" i="19"/>
  <c r="S37" i="19" s="1"/>
  <c r="AA42" i="19"/>
  <c r="T30" i="19"/>
  <c r="T36" i="19"/>
  <c r="P48" i="19"/>
  <c r="N48" i="19"/>
  <c r="X31" i="19"/>
  <c r="X37" i="19" s="1"/>
  <c r="AA45" i="19"/>
  <c r="Y14" i="19"/>
  <c r="X2" i="19"/>
  <c r="Y2" i="19" s="1"/>
  <c r="Z2" i="19" s="1"/>
  <c r="AA2" i="19" s="1"/>
  <c r="AB2" i="19" s="1"/>
  <c r="AC2" i="19" s="1"/>
  <c r="AD2" i="19" s="1"/>
  <c r="V2" i="19"/>
  <c r="U2" i="19" s="1"/>
  <c r="T2" i="19" s="1"/>
  <c r="S2" i="19" s="1"/>
  <c r="R2" i="19" s="1"/>
  <c r="Q2" i="19" s="1"/>
  <c r="P2" i="19" s="1"/>
  <c r="O2" i="19" s="1"/>
  <c r="N2" i="19" s="1"/>
  <c r="M2" i="19" s="1"/>
  <c r="L2" i="19" s="1"/>
  <c r="AC45" i="19"/>
  <c r="AB45" i="19"/>
  <c r="X14" i="19"/>
  <c r="H12" i="19"/>
  <c r="D12" i="19"/>
  <c r="AB11" i="19"/>
  <c r="AB12" i="19" s="1"/>
  <c r="AB46" i="19"/>
  <c r="AB48" i="19" s="1"/>
  <c r="AB28" i="19"/>
  <c r="X42" i="19"/>
  <c r="X49" i="19"/>
  <c r="X51" i="19" s="1"/>
  <c r="AD48" i="19"/>
  <c r="AA46" i="19"/>
  <c r="AA49" i="19" s="1"/>
  <c r="AA11" i="19"/>
  <c r="AA28" i="19"/>
  <c r="I12" i="19"/>
  <c r="O48" i="19"/>
  <c r="U42" i="19"/>
  <c r="U49" i="19"/>
  <c r="V42" i="19"/>
  <c r="V49" i="19"/>
  <c r="X17" i="19"/>
  <c r="Z15" i="19"/>
  <c r="X6" i="19"/>
  <c r="AA8" i="19"/>
  <c r="G11" i="19"/>
  <c r="G12" i="19" s="1"/>
  <c r="U12" i="19"/>
  <c r="B14" i="19"/>
  <c r="AC14" i="19"/>
  <c r="AA15" i="19"/>
  <c r="X25" i="19"/>
  <c r="U36" i="19"/>
  <c r="X43" i="19"/>
  <c r="L49" i="19"/>
  <c r="L51" i="19" s="1"/>
  <c r="K5" i="19"/>
  <c r="Y6" i="19"/>
  <c r="AB8" i="19"/>
  <c r="V12" i="19"/>
  <c r="C14" i="19"/>
  <c r="AD14" i="19"/>
  <c r="AB15" i="19"/>
  <c r="Y25" i="19"/>
  <c r="L27" i="19"/>
  <c r="L30" i="19"/>
  <c r="V36" i="19"/>
  <c r="Y43" i="19"/>
  <c r="S46" i="19"/>
  <c r="M49" i="19"/>
  <c r="AC49" i="19"/>
  <c r="AC51" i="19" s="1"/>
  <c r="T22" i="19"/>
  <c r="T31" i="19" s="1"/>
  <c r="Z25" i="19"/>
  <c r="W36" i="19"/>
  <c r="Z43" i="19"/>
  <c r="T46" i="19"/>
  <c r="N49" i="19"/>
  <c r="AD49" i="19"/>
  <c r="V35" i="19"/>
  <c r="B8" i="19"/>
  <c r="AC8" i="19"/>
  <c r="AC15" i="19"/>
  <c r="X5" i="19"/>
  <c r="C8" i="19"/>
  <c r="AD8" i="19"/>
  <c r="K17" i="19"/>
  <c r="U22" i="19"/>
  <c r="U31" i="19" s="1"/>
  <c r="U37" i="19" s="1"/>
  <c r="AA25" i="19"/>
  <c r="X36" i="19"/>
  <c r="AB14" i="19"/>
  <c r="F14" i="19"/>
  <c r="V22" i="19"/>
  <c r="AB25" i="19"/>
  <c r="Y36" i="19"/>
  <c r="AB6" i="19"/>
  <c r="AC6" i="19"/>
  <c r="W22" i="19"/>
  <c r="J24" i="19"/>
  <c r="M28" i="19"/>
  <c r="T40" i="19"/>
  <c r="Q49" i="19"/>
  <c r="AA5" i="19"/>
  <c r="Z10" i="19"/>
  <c r="X22" i="19"/>
  <c r="N28" i="19"/>
  <c r="AD28" i="19"/>
  <c r="Q34" i="19"/>
  <c r="R49" i="19"/>
  <c r="R51" i="19" s="1"/>
  <c r="O28" i="19"/>
  <c r="E31" i="19"/>
  <c r="B5" i="19"/>
  <c r="V9" i="19"/>
  <c r="P28" i="19"/>
  <c r="F31" i="19"/>
  <c r="W40" i="19"/>
  <c r="Y8" i="19"/>
  <c r="AB5" i="19"/>
  <c r="AC5" i="19"/>
  <c r="AA17" i="19"/>
  <c r="C5" i="19"/>
  <c r="AD5" i="19"/>
  <c r="N12" i="19"/>
  <c r="K14" i="19"/>
  <c r="AB17" i="19"/>
  <c r="X19" i="19"/>
  <c r="X11" i="19" s="1"/>
  <c r="AA22" i="19"/>
  <c r="G31" i="19"/>
  <c r="Y19" i="19"/>
  <c r="Y11" i="19" s="1"/>
  <c r="Y12" i="19" s="1"/>
  <c r="AB22" i="19"/>
  <c r="O12" i="19"/>
  <c r="AC11" i="19"/>
  <c r="AC12" i="19" s="1"/>
  <c r="P12" i="19"/>
  <c r="AB18" i="19"/>
  <c r="Z19" i="19"/>
  <c r="Z17" i="19" s="1"/>
  <c r="AD11" i="19"/>
  <c r="T25" i="19"/>
  <c r="G27" i="19"/>
  <c r="W30" i="19"/>
  <c r="U25" i="19"/>
  <c r="V27" i="19" s="1"/>
  <c r="BI91" i="12"/>
  <c r="AB45" i="12"/>
  <c r="AC43" i="12"/>
  <c r="AG40" i="12"/>
  <c r="AE37" i="12"/>
  <c r="AD37" i="12"/>
  <c r="AG37" i="12"/>
  <c r="AC103" i="12"/>
  <c r="AH43" i="12"/>
  <c r="AF40" i="12"/>
  <c r="AE103" i="12"/>
  <c r="AG45" i="12"/>
  <c r="AG49" i="12" s="1"/>
  <c r="AG56" i="12" s="1"/>
  <c r="AG60" i="12" s="1"/>
  <c r="AE40" i="12"/>
  <c r="AJ43" i="12"/>
  <c r="AH40" i="12"/>
  <c r="AF43" i="12"/>
  <c r="AB43" i="12"/>
  <c r="AD43" i="12"/>
  <c r="AF103" i="12"/>
  <c r="AH37" i="12"/>
  <c r="AA37" i="12"/>
  <c r="AJ40" i="12"/>
  <c r="AE45" i="12"/>
  <c r="AE49" i="12" s="1"/>
  <c r="AE56" i="12" s="1"/>
  <c r="AC45" i="12"/>
  <c r="AC49" i="12" s="1"/>
  <c r="AC56" i="12" s="1"/>
  <c r="AI43" i="12"/>
  <c r="AI40" i="12"/>
  <c r="AD45" i="12"/>
  <c r="AD49" i="12" s="1"/>
  <c r="AD52" i="12" s="1"/>
  <c r="AB37" i="12"/>
  <c r="AJ45" i="12"/>
  <c r="AJ49" i="12" s="1"/>
  <c r="AJ56" i="12" s="1"/>
  <c r="AJ102" i="12" s="1"/>
  <c r="AD56" i="12"/>
  <c r="AD60" i="12" s="1"/>
  <c r="AH103" i="12"/>
  <c r="AB49" i="12"/>
  <c r="AB56" i="12" s="1"/>
  <c r="AA49" i="12"/>
  <c r="AA56" i="12" s="1"/>
  <c r="AA102" i="12" s="1"/>
  <c r="AB40" i="12"/>
  <c r="AA40" i="12"/>
  <c r="AC37" i="12"/>
  <c r="AD69" i="12"/>
  <c r="AF45" i="12"/>
  <c r="AF49" i="12" s="1"/>
  <c r="AF56" i="12" s="1"/>
  <c r="AG103" i="12"/>
  <c r="AA43" i="12"/>
  <c r="AI103" i="12"/>
  <c r="AG43" i="12"/>
  <c r="AI45" i="12"/>
  <c r="AI49" i="12" s="1"/>
  <c r="AI56" i="12" s="1"/>
  <c r="AI37" i="12"/>
  <c r="AH45" i="12"/>
  <c r="AH49" i="12" s="1"/>
  <c r="AH56" i="12" s="1"/>
  <c r="T37" i="19" l="1"/>
  <c r="Z5" i="19"/>
  <c r="AB31" i="19"/>
  <c r="AB37" i="19" s="1"/>
  <c r="AB36" i="19"/>
  <c r="AC30" i="19"/>
  <c r="AB30" i="19"/>
  <c r="U34" i="19"/>
  <c r="U24" i="19"/>
  <c r="V51" i="19"/>
  <c r="W34" i="19"/>
  <c r="W24" i="19"/>
  <c r="T48" i="19"/>
  <c r="S48" i="19"/>
  <c r="AB35" i="19"/>
  <c r="AC27" i="19"/>
  <c r="AB27" i="19"/>
  <c r="V34" i="19"/>
  <c r="V24" i="19"/>
  <c r="N36" i="19"/>
  <c r="N30" i="19"/>
  <c r="N31" i="19"/>
  <c r="AA12" i="19"/>
  <c r="T34" i="19"/>
  <c r="T24" i="19"/>
  <c r="U51" i="19"/>
  <c r="Z35" i="19"/>
  <c r="Z27" i="19"/>
  <c r="O36" i="19"/>
  <c r="O30" i="19"/>
  <c r="Y45" i="19"/>
  <c r="AC48" i="19"/>
  <c r="AB49" i="19"/>
  <c r="AB51" i="19" s="1"/>
  <c r="AC50" i="19"/>
  <c r="AA24" i="19"/>
  <c r="AA34" i="19"/>
  <c r="P36" i="19"/>
  <c r="P30" i="19"/>
  <c r="Q51" i="19"/>
  <c r="Z8" i="19"/>
  <c r="S49" i="19"/>
  <c r="S51" i="19" s="1"/>
  <c r="W42" i="19"/>
  <c r="V31" i="19"/>
  <c r="V37" i="19" s="1"/>
  <c r="T35" i="19"/>
  <c r="T27" i="19"/>
  <c r="T42" i="19"/>
  <c r="T49" i="19"/>
  <c r="T51" i="19" s="1"/>
  <c r="L50" i="19"/>
  <c r="X8" i="19"/>
  <c r="Z14" i="19"/>
  <c r="AC24" i="19"/>
  <c r="AB24" i="19"/>
  <c r="AB34" i="19"/>
  <c r="AD36" i="19"/>
  <c r="AD30" i="19"/>
  <c r="AD31" i="19"/>
  <c r="AD51" i="19" s="1"/>
  <c r="X35" i="19"/>
  <c r="AA31" i="19"/>
  <c r="AA37" i="19" s="1"/>
  <c r="AA36" i="19"/>
  <c r="AA30" i="19"/>
  <c r="X34" i="19"/>
  <c r="X24" i="19"/>
  <c r="Y5" i="19"/>
  <c r="U35" i="19"/>
  <c r="U27" i="19"/>
  <c r="Z11" i="19"/>
  <c r="Z12" i="19" s="1"/>
  <c r="Z46" i="19"/>
  <c r="Z48" i="19" s="1"/>
  <c r="Z28" i="19"/>
  <c r="Y27" i="19"/>
  <c r="Y35" i="19"/>
  <c r="M36" i="19"/>
  <c r="M30" i="19"/>
  <c r="M31" i="19"/>
  <c r="Z45" i="19"/>
  <c r="AD12" i="19"/>
  <c r="AA35" i="19"/>
  <c r="AA27" i="19"/>
  <c r="Y49" i="19"/>
  <c r="Y51" i="19" s="1"/>
  <c r="BJ91" i="12"/>
  <c r="AA60" i="12"/>
  <c r="AF52" i="12"/>
  <c r="AG102" i="12"/>
  <c r="AG52" i="12"/>
  <c r="AB52" i="12"/>
  <c r="AE60" i="12"/>
  <c r="AE102" i="12"/>
  <c r="AD102" i="12"/>
  <c r="AE52" i="12"/>
  <c r="AJ52" i="12"/>
  <c r="AC52" i="12"/>
  <c r="AA52" i="12"/>
  <c r="AJ60" i="12"/>
  <c r="AI102" i="12"/>
  <c r="AI60" i="12"/>
  <c r="AH52" i="12"/>
  <c r="AC60" i="12"/>
  <c r="AC102" i="12"/>
  <c r="AI52" i="12"/>
  <c r="AB60" i="12"/>
  <c r="AB102" i="12"/>
  <c r="AH60" i="12"/>
  <c r="AH102" i="12"/>
  <c r="AF102" i="12"/>
  <c r="AF60" i="12"/>
  <c r="M37" i="19" l="1"/>
  <c r="M50" i="19"/>
  <c r="N37" i="19"/>
  <c r="N50" i="19"/>
  <c r="AD37" i="19"/>
  <c r="AD50" i="19"/>
  <c r="Z31" i="19"/>
  <c r="Z37" i="19" s="1"/>
  <c r="Z36" i="19"/>
  <c r="Z30" i="19"/>
  <c r="M51" i="19"/>
  <c r="T50" i="19"/>
  <c r="Z49" i="19"/>
  <c r="Z51" i="19" s="1"/>
  <c r="N51" i="19"/>
  <c r="AA48" i="19"/>
  <c r="AA51" i="19"/>
  <c r="BK91" i="12"/>
  <c r="BL91" i="12" l="1"/>
  <c r="BM91" i="12" l="1"/>
  <c r="BN91" i="12" l="1"/>
  <c r="BO91" i="12" l="1"/>
  <c r="BP91" i="12" l="1"/>
  <c r="E25" i="5" l="1"/>
  <c r="AO25" i="12" l="1"/>
  <c r="AP25" i="12"/>
  <c r="AQ25" i="12"/>
  <c r="AR25" i="12"/>
  <c r="AS25" i="12"/>
  <c r="AP26" i="12"/>
  <c r="AQ26" i="12"/>
  <c r="AR26" i="12"/>
  <c r="AS26" i="12"/>
  <c r="AO26" i="12"/>
  <c r="AP15" i="12"/>
  <c r="AQ15" i="12"/>
  <c r="AR15" i="12"/>
  <c r="AS15" i="12"/>
  <c r="AP16" i="12"/>
  <c r="AQ16" i="12"/>
  <c r="AR16" i="12"/>
  <c r="AS16" i="12"/>
  <c r="AO16" i="12"/>
  <c r="F24" i="5"/>
  <c r="G24" i="5" s="1"/>
  <c r="G25" i="5" s="1"/>
  <c r="D53" i="5"/>
  <c r="G43" i="5"/>
  <c r="G33" i="5"/>
  <c r="D44" i="5" l="1"/>
  <c r="F25" i="5"/>
  <c r="H24" i="5"/>
  <c r="H25" i="5" s="1"/>
  <c r="AL74" i="12"/>
  <c r="I10" i="12"/>
  <c r="C11" i="5"/>
  <c r="U22" i="12"/>
  <c r="V22" i="12"/>
  <c r="W22" i="12"/>
  <c r="X22" i="12"/>
  <c r="T22" i="12"/>
  <c r="U20" i="12"/>
  <c r="V20" i="12"/>
  <c r="W20" i="12"/>
  <c r="X20" i="12"/>
  <c r="T20" i="12"/>
  <c r="AO15" i="12"/>
  <c r="AM103" i="12" l="1"/>
  <c r="AM42" i="12" s="1"/>
  <c r="AQ103" i="12"/>
  <c r="AM74" i="12"/>
  <c r="I24" i="5"/>
  <c r="I25" i="5" s="1"/>
  <c r="AQ42" i="12" l="1"/>
  <c r="J24" i="5"/>
  <c r="J25" i="5" s="1"/>
  <c r="D65" i="5"/>
  <c r="D60" i="5"/>
  <c r="D54" i="5"/>
  <c r="K24" i="5" l="1"/>
  <c r="K25" i="5" s="1"/>
  <c r="W41" i="9"/>
  <c r="S42" i="9"/>
  <c r="T42" i="9"/>
  <c r="U42" i="9"/>
  <c r="V42" i="9"/>
  <c r="Y39" i="9"/>
  <c r="Z39" i="9"/>
  <c r="AA39" i="9"/>
  <c r="AB39" i="9"/>
  <c r="AC39" i="9"/>
  <c r="AD39" i="9" s="1"/>
  <c r="AE39" i="9" s="1"/>
  <c r="AF39" i="9" s="1"/>
  <c r="X39" i="9"/>
  <c r="W39" i="9"/>
  <c r="AL42" i="12"/>
  <c r="AN103" i="12"/>
  <c r="AN42" i="12" s="1"/>
  <c r="U75" i="12"/>
  <c r="V75" i="12" s="1"/>
  <c r="W75" i="12" s="1"/>
  <c r="X75" i="12" s="1"/>
  <c r="Y75" i="12" s="1"/>
  <c r="Z75" i="12" s="1"/>
  <c r="AA75" i="12" s="1"/>
  <c r="U74" i="12"/>
  <c r="F75" i="12"/>
  <c r="G75" i="12"/>
  <c r="H75" i="12"/>
  <c r="I75" i="12"/>
  <c r="E75" i="12"/>
  <c r="D74" i="12"/>
  <c r="D75" i="12"/>
  <c r="AI4" i="9"/>
  <c r="AB75" i="12" l="1"/>
  <c r="L24" i="5"/>
  <c r="L25" i="5" s="1"/>
  <c r="AP103" i="12"/>
  <c r="AP42" i="12" s="1"/>
  <c r="AO103" i="12"/>
  <c r="AO42" i="12" s="1"/>
  <c r="BF75" i="12"/>
  <c r="BE75" i="12"/>
  <c r="BC75" i="12"/>
  <c r="BB75" i="12"/>
  <c r="BD75" i="12"/>
  <c r="V28" i="12"/>
  <c r="BE29" i="2"/>
  <c r="BD29" i="2"/>
  <c r="BC29" i="2"/>
  <c r="AC75" i="12" l="1"/>
  <c r="M24" i="5"/>
  <c r="M25" i="5" s="1"/>
  <c r="AN74" i="12"/>
  <c r="AO74" i="12" s="1"/>
  <c r="AP74" i="12" s="1"/>
  <c r="AQ74" i="12" s="1"/>
  <c r="AD75" i="12" l="1"/>
  <c r="N24" i="5"/>
  <c r="N25" i="5" s="1"/>
  <c r="R67" i="9"/>
  <c r="R68" i="9" s="1"/>
  <c r="M67" i="9"/>
  <c r="D19" i="5"/>
  <c r="F17" i="12"/>
  <c r="M70" i="9"/>
  <c r="R70" i="9"/>
  <c r="W104" i="12"/>
  <c r="X104" i="12" s="1"/>
  <c r="Y104" i="12" s="1"/>
  <c r="Z104" i="12" s="1"/>
  <c r="AA104" i="12" s="1"/>
  <c r="AH9" i="12"/>
  <c r="I9" i="12"/>
  <c r="U92" i="12"/>
  <c r="U91" i="12"/>
  <c r="V91" i="12" s="1"/>
  <c r="W91" i="12" s="1"/>
  <c r="U86" i="12"/>
  <c r="V86" i="12" s="1"/>
  <c r="U83" i="12"/>
  <c r="V83" i="12" s="1"/>
  <c r="U81" i="12"/>
  <c r="U80" i="12"/>
  <c r="V74" i="12"/>
  <c r="V72" i="12"/>
  <c r="W72" i="12" s="1"/>
  <c r="X72" i="12" s="1"/>
  <c r="Y72" i="12" s="1"/>
  <c r="Z72" i="12" s="1"/>
  <c r="AA72" i="12" s="1"/>
  <c r="U71" i="12"/>
  <c r="U70" i="12"/>
  <c r="V65" i="9"/>
  <c r="U65" i="9"/>
  <c r="T65" i="9"/>
  <c r="V63" i="9"/>
  <c r="U63" i="9"/>
  <c r="T63" i="9"/>
  <c r="S63" i="9"/>
  <c r="V61" i="9"/>
  <c r="U61" i="9"/>
  <c r="T61" i="9"/>
  <c r="V59" i="9"/>
  <c r="U59" i="9"/>
  <c r="T59" i="9"/>
  <c r="E93" i="12"/>
  <c r="D93" i="12"/>
  <c r="D131" i="12"/>
  <c r="E129" i="12" s="1"/>
  <c r="G82" i="12"/>
  <c r="D82" i="12"/>
  <c r="D81" i="12"/>
  <c r="V82" i="12"/>
  <c r="W82" i="12" s="1"/>
  <c r="X82" i="12" s="1"/>
  <c r="D80" i="12"/>
  <c r="D71" i="12"/>
  <c r="D70" i="12"/>
  <c r="I69" i="12"/>
  <c r="H69" i="12"/>
  <c r="G69" i="12"/>
  <c r="F69" i="12"/>
  <c r="E69" i="12"/>
  <c r="D69" i="12"/>
  <c r="F76" i="12"/>
  <c r="E76" i="12"/>
  <c r="D76" i="12"/>
  <c r="D73" i="12"/>
  <c r="D68" i="12"/>
  <c r="X18" i="9"/>
  <c r="Y18" i="9" s="1"/>
  <c r="Z18" i="9" s="1"/>
  <c r="AA18" i="9" s="1"/>
  <c r="W54" i="9"/>
  <c r="X54" i="9" s="1"/>
  <c r="Y54" i="9" s="1"/>
  <c r="Z54" i="9" s="1"/>
  <c r="AA54" i="9" s="1"/>
  <c r="AB54" i="9" s="1"/>
  <c r="AC54" i="9" s="1"/>
  <c r="AD54" i="9" s="1"/>
  <c r="AE54" i="9" s="1"/>
  <c r="AF54" i="9" s="1"/>
  <c r="AG54" i="9" s="1"/>
  <c r="AH54" i="9" s="1"/>
  <c r="AI54" i="9" s="1"/>
  <c r="AJ54" i="9" s="1"/>
  <c r="AK54" i="9" s="1"/>
  <c r="U34" i="12"/>
  <c r="V34" i="12" s="1"/>
  <c r="W34" i="12" s="1"/>
  <c r="X34" i="12" s="1"/>
  <c r="Y34" i="12" s="1"/>
  <c r="Z34" i="12" s="1"/>
  <c r="AA34" i="12" s="1"/>
  <c r="AB34" i="12" s="1"/>
  <c r="AC34" i="12" s="1"/>
  <c r="AD34" i="12" s="1"/>
  <c r="AE34" i="12" s="1"/>
  <c r="AF34" i="12" s="1"/>
  <c r="AG34" i="12" s="1"/>
  <c r="AH34" i="12" s="1"/>
  <c r="AI34" i="12" s="1"/>
  <c r="AJ34" i="12" s="1"/>
  <c r="BE39" i="2"/>
  <c r="BD39" i="2"/>
  <c r="BC39" i="2"/>
  <c r="AG38" i="2"/>
  <c r="AL38" i="2"/>
  <c r="AQ38" i="2"/>
  <c r="AV38" i="2"/>
  <c r="BA38" i="2"/>
  <c r="U131" i="12"/>
  <c r="V129" i="12" s="1"/>
  <c r="BF114" i="12"/>
  <c r="BE114" i="12"/>
  <c r="BD114" i="12"/>
  <c r="BC114" i="12"/>
  <c r="V93" i="12"/>
  <c r="W93" i="12" s="1"/>
  <c r="V76" i="12"/>
  <c r="W76" i="12" s="1"/>
  <c r="X76" i="12" s="1"/>
  <c r="Y76" i="12" s="1"/>
  <c r="Z76" i="12" s="1"/>
  <c r="AA76" i="12" s="1"/>
  <c r="AB76" i="12" s="1"/>
  <c r="AC76" i="12" s="1"/>
  <c r="AD76" i="12" s="1"/>
  <c r="AE76" i="12" s="1"/>
  <c r="AF76" i="12" s="1"/>
  <c r="AG76" i="12" s="1"/>
  <c r="AH76" i="12" s="1"/>
  <c r="AI76" i="12" s="1"/>
  <c r="AJ76" i="12" s="1"/>
  <c r="E34" i="12"/>
  <c r="F34" i="12" s="1"/>
  <c r="G34" i="12" s="1"/>
  <c r="H34" i="12" s="1"/>
  <c r="I34" i="12" s="1"/>
  <c r="J34" i="12" s="1"/>
  <c r="K34" i="12" s="1"/>
  <c r="L34" i="12" s="1"/>
  <c r="M34" i="12" s="1"/>
  <c r="N34" i="12" s="1"/>
  <c r="O34" i="12" s="1"/>
  <c r="P34" i="12" s="1"/>
  <c r="Q34" i="12" s="1"/>
  <c r="R34" i="12" s="1"/>
  <c r="S34" i="12" s="1"/>
  <c r="M27" i="12"/>
  <c r="M24" i="12"/>
  <c r="M18" i="12"/>
  <c r="I11" i="12"/>
  <c r="V17" i="9"/>
  <c r="V22" i="9" s="1"/>
  <c r="V24" i="9" s="1"/>
  <c r="V31" i="9" s="1"/>
  <c r="U17" i="9"/>
  <c r="U22" i="9" s="1"/>
  <c r="U24" i="9" s="1"/>
  <c r="U31" i="9" s="1"/>
  <c r="T17" i="9"/>
  <c r="T22" i="9" s="1"/>
  <c r="T24" i="9" s="1"/>
  <c r="T31" i="9" s="1"/>
  <c r="R41" i="3"/>
  <c r="O14" i="4"/>
  <c r="P14" i="4" s="1"/>
  <c r="Q14" i="4" s="1"/>
  <c r="R14" i="4" s="1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N13" i="4"/>
  <c r="O13" i="4" s="1"/>
  <c r="P13" i="4" s="1"/>
  <c r="Q13" i="4" s="1"/>
  <c r="R13" i="4" s="1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M50" i="3"/>
  <c r="L50" i="3"/>
  <c r="K50" i="3"/>
  <c r="J50" i="3"/>
  <c r="I50" i="3"/>
  <c r="H50" i="3"/>
  <c r="G50" i="3"/>
  <c r="F50" i="3"/>
  <c r="E50" i="3"/>
  <c r="M48" i="3"/>
  <c r="L48" i="3"/>
  <c r="K48" i="3"/>
  <c r="J48" i="3"/>
  <c r="I48" i="3"/>
  <c r="H48" i="3"/>
  <c r="G48" i="3"/>
  <c r="F48" i="3"/>
  <c r="E48" i="3"/>
  <c r="M46" i="3"/>
  <c r="L46" i="3"/>
  <c r="K46" i="3"/>
  <c r="J46" i="3"/>
  <c r="I46" i="3"/>
  <c r="H46" i="3"/>
  <c r="G46" i="3"/>
  <c r="F46" i="3"/>
  <c r="E46" i="3"/>
  <c r="M44" i="3"/>
  <c r="L44" i="3"/>
  <c r="K44" i="3"/>
  <c r="J44" i="3"/>
  <c r="I44" i="3"/>
  <c r="H44" i="3"/>
  <c r="G44" i="3"/>
  <c r="F44" i="3"/>
  <c r="E44" i="3"/>
  <c r="D50" i="3"/>
  <c r="D48" i="3"/>
  <c r="D46" i="3"/>
  <c r="D44" i="3"/>
  <c r="N35" i="3"/>
  <c r="O35" i="3" s="1"/>
  <c r="P35" i="3" s="1"/>
  <c r="Q35" i="3" s="1"/>
  <c r="R35" i="3" s="1"/>
  <c r="S35" i="3" s="1"/>
  <c r="T35" i="3" s="1"/>
  <c r="U35" i="3" s="1"/>
  <c r="V35" i="3" s="1"/>
  <c r="W35" i="3" s="1"/>
  <c r="X35" i="3" s="1"/>
  <c r="Y35" i="3" s="1"/>
  <c r="Z35" i="3" s="1"/>
  <c r="AA35" i="3" s="1"/>
  <c r="AB35" i="3" s="1"/>
  <c r="N33" i="3"/>
  <c r="O33" i="3" s="1"/>
  <c r="P33" i="3" s="1"/>
  <c r="Q33" i="3" s="1"/>
  <c r="R33" i="3" s="1"/>
  <c r="S33" i="3" s="1"/>
  <c r="T33" i="3" s="1"/>
  <c r="U33" i="3" s="1"/>
  <c r="V33" i="3" s="1"/>
  <c r="W33" i="3" s="1"/>
  <c r="X33" i="3" s="1"/>
  <c r="Y33" i="3" s="1"/>
  <c r="Z33" i="3" s="1"/>
  <c r="AA33" i="3" s="1"/>
  <c r="AB33" i="3" s="1"/>
  <c r="N27" i="3"/>
  <c r="O27" i="3" s="1"/>
  <c r="P27" i="3" s="1"/>
  <c r="Q27" i="3" s="1"/>
  <c r="R27" i="3" s="1"/>
  <c r="S27" i="3" s="1"/>
  <c r="T27" i="3" s="1"/>
  <c r="U27" i="3" s="1"/>
  <c r="V27" i="3" s="1"/>
  <c r="W27" i="3" s="1"/>
  <c r="X27" i="3" s="1"/>
  <c r="Y27" i="3" s="1"/>
  <c r="Z27" i="3" s="1"/>
  <c r="AA27" i="3" s="1"/>
  <c r="AB27" i="3" s="1"/>
  <c r="N24" i="3"/>
  <c r="O24" i="3" s="1"/>
  <c r="P24" i="3" s="1"/>
  <c r="Q24" i="3" s="1"/>
  <c r="R24" i="3" s="1"/>
  <c r="S24" i="3" s="1"/>
  <c r="T24" i="3" s="1"/>
  <c r="U24" i="3" s="1"/>
  <c r="V24" i="3" s="1"/>
  <c r="W24" i="3" s="1"/>
  <c r="X24" i="3" s="1"/>
  <c r="Y24" i="3" s="1"/>
  <c r="Z24" i="3" s="1"/>
  <c r="AA24" i="3" s="1"/>
  <c r="AB24" i="3" s="1"/>
  <c r="AB41" i="3" s="1"/>
  <c r="N23" i="3"/>
  <c r="O23" i="3" s="1"/>
  <c r="P23" i="3" s="1"/>
  <c r="Q23" i="3" s="1"/>
  <c r="R23" i="3" s="1"/>
  <c r="S23" i="3" s="1"/>
  <c r="T23" i="3" s="1"/>
  <c r="U23" i="3" s="1"/>
  <c r="V23" i="3" s="1"/>
  <c r="W23" i="3" s="1"/>
  <c r="X23" i="3" s="1"/>
  <c r="Y23" i="3" s="1"/>
  <c r="Z23" i="3" s="1"/>
  <c r="AA23" i="3" s="1"/>
  <c r="AB23" i="3" s="1"/>
  <c r="N17" i="3"/>
  <c r="O17" i="3" s="1"/>
  <c r="P17" i="3" s="1"/>
  <c r="Q17" i="3" s="1"/>
  <c r="R17" i="3" s="1"/>
  <c r="S17" i="3" s="1"/>
  <c r="T17" i="3" s="1"/>
  <c r="U17" i="3" s="1"/>
  <c r="V17" i="3" s="1"/>
  <c r="W17" i="3" s="1"/>
  <c r="X17" i="3" s="1"/>
  <c r="Y17" i="3" s="1"/>
  <c r="Z17" i="3" s="1"/>
  <c r="AA17" i="3" s="1"/>
  <c r="AB17" i="3" s="1"/>
  <c r="N10" i="3"/>
  <c r="O10" i="3" s="1"/>
  <c r="P10" i="3" s="1"/>
  <c r="Q10" i="3" s="1"/>
  <c r="R10" i="3" s="1"/>
  <c r="S10" i="3" s="1"/>
  <c r="T10" i="3" s="1"/>
  <c r="U10" i="3" s="1"/>
  <c r="BE41" i="2"/>
  <c r="BD41" i="2"/>
  <c r="BC41" i="2"/>
  <c r="M41" i="3"/>
  <c r="L41" i="3"/>
  <c r="K41" i="3"/>
  <c r="J41" i="3"/>
  <c r="I41" i="3"/>
  <c r="H41" i="3"/>
  <c r="G41" i="3"/>
  <c r="F41" i="3"/>
  <c r="E41" i="3"/>
  <c r="D41" i="3"/>
  <c r="AE75" i="12" l="1"/>
  <c r="AB72" i="12"/>
  <c r="AB104" i="12"/>
  <c r="I12" i="12"/>
  <c r="M17" i="12" s="1"/>
  <c r="E10" i="12"/>
  <c r="O24" i="5"/>
  <c r="O25" i="5" s="1"/>
  <c r="E11" i="12"/>
  <c r="T15" i="12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AH15" i="12" s="1"/>
  <c r="U94" i="12"/>
  <c r="G76" i="12"/>
  <c r="H93" i="12"/>
  <c r="E9" i="12"/>
  <c r="Y41" i="3"/>
  <c r="P41" i="3"/>
  <c r="H76" i="12"/>
  <c r="E82" i="12"/>
  <c r="BB82" i="12" s="1"/>
  <c r="I93" i="12"/>
  <c r="X41" i="3"/>
  <c r="H82" i="12"/>
  <c r="I82" i="12"/>
  <c r="Z41" i="3"/>
  <c r="F93" i="12"/>
  <c r="BC93" i="12" s="1"/>
  <c r="G93" i="12"/>
  <c r="Q41" i="3"/>
  <c r="I76" i="12"/>
  <c r="F82" i="12"/>
  <c r="U77" i="12"/>
  <c r="D20" i="5"/>
  <c r="U87" i="12"/>
  <c r="T28" i="9"/>
  <c r="U28" i="9"/>
  <c r="Y82" i="12"/>
  <c r="AB18" i="9"/>
  <c r="AC18" i="9" s="1"/>
  <c r="AD18" i="9" s="1"/>
  <c r="AE18" i="9" s="1"/>
  <c r="AF18" i="9" s="1"/>
  <c r="AG18" i="9" s="1"/>
  <c r="AH18" i="9" s="1"/>
  <c r="AI18" i="9" s="1"/>
  <c r="AJ18" i="9" s="1"/>
  <c r="AK18" i="9" s="1"/>
  <c r="V28" i="9"/>
  <c r="AL131" i="12"/>
  <c r="W83" i="12"/>
  <c r="AL34" i="12"/>
  <c r="X93" i="12"/>
  <c r="X91" i="12"/>
  <c r="W86" i="12"/>
  <c r="W74" i="12"/>
  <c r="N41" i="3"/>
  <c r="V41" i="3"/>
  <c r="O41" i="3"/>
  <c r="W41" i="3"/>
  <c r="S41" i="3"/>
  <c r="AA41" i="3"/>
  <c r="T41" i="3"/>
  <c r="U41" i="3"/>
  <c r="V10" i="3"/>
  <c r="AF75" i="12" l="1"/>
  <c r="E12" i="12"/>
  <c r="AC104" i="12"/>
  <c r="AC72" i="12"/>
  <c r="P24" i="5"/>
  <c r="P25" i="5" s="1"/>
  <c r="U97" i="12"/>
  <c r="U96" i="12"/>
  <c r="Z82" i="12"/>
  <c r="AA82" i="12" s="1"/>
  <c r="BC82" i="12"/>
  <c r="X83" i="12"/>
  <c r="BB34" i="12"/>
  <c r="AM34" i="12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Y91" i="12"/>
  <c r="X86" i="12"/>
  <c r="Y93" i="12"/>
  <c r="BD93" i="12"/>
  <c r="X74" i="12"/>
  <c r="W10" i="3"/>
  <c r="AG75" i="12" l="1"/>
  <c r="AB82" i="12"/>
  <c r="AD72" i="12"/>
  <c r="AD104" i="12"/>
  <c r="BC34" i="12"/>
  <c r="AO14" i="12"/>
  <c r="Q24" i="5"/>
  <c r="Q25" i="5" s="1"/>
  <c r="BD82" i="12"/>
  <c r="Y83" i="12"/>
  <c r="Z83" i="12" s="1"/>
  <c r="AA83" i="12" s="1"/>
  <c r="Y86" i="12"/>
  <c r="Z93" i="12"/>
  <c r="BE93" i="12"/>
  <c r="Z91" i="12"/>
  <c r="AA91" i="12" s="1"/>
  <c r="Y74" i="12"/>
  <c r="X10" i="3"/>
  <c r="AH75" i="12" l="1"/>
  <c r="BF93" i="12"/>
  <c r="AA93" i="12"/>
  <c r="AE72" i="12"/>
  <c r="AB83" i="12"/>
  <c r="AC82" i="12"/>
  <c r="AB91" i="12"/>
  <c r="AE104" i="12"/>
  <c r="BD34" i="12"/>
  <c r="AP14" i="12"/>
  <c r="R24" i="5"/>
  <c r="R25" i="5" s="1"/>
  <c r="BF82" i="12"/>
  <c r="BE82" i="12"/>
  <c r="Z86" i="12"/>
  <c r="AA86" i="12" s="1"/>
  <c r="Z74" i="12"/>
  <c r="AA74" i="12" s="1"/>
  <c r="Y10" i="3"/>
  <c r="AB74" i="12" l="1"/>
  <c r="AB105" i="12"/>
  <c r="AB86" i="12"/>
  <c r="AB93" i="12"/>
  <c r="AI75" i="12"/>
  <c r="AF104" i="12"/>
  <c r="AF72" i="12"/>
  <c r="AC91" i="12"/>
  <c r="AD82" i="12"/>
  <c r="AC83" i="12"/>
  <c r="BE34" i="12"/>
  <c r="AQ14" i="12"/>
  <c r="S24" i="5"/>
  <c r="S25" i="5" s="1"/>
  <c r="Z10" i="3"/>
  <c r="AG104" i="12" l="1"/>
  <c r="AC86" i="12"/>
  <c r="AJ75" i="12"/>
  <c r="AB106" i="12"/>
  <c r="AB123" i="12" s="1"/>
  <c r="AB125" i="12" s="1"/>
  <c r="AC93" i="12"/>
  <c r="AC105" i="12"/>
  <c r="AC74" i="12"/>
  <c r="AG72" i="12"/>
  <c r="AD83" i="12"/>
  <c r="AD105" i="12"/>
  <c r="AE82" i="12"/>
  <c r="AD91" i="12"/>
  <c r="AH104" i="12"/>
  <c r="BF34" i="12"/>
  <c r="AR14" i="12"/>
  <c r="AA10" i="3"/>
  <c r="AT14" i="12" l="1"/>
  <c r="AD93" i="12"/>
  <c r="AD106" i="12"/>
  <c r="AD123" i="12" s="1"/>
  <c r="AD125" i="12" s="1"/>
  <c r="AD74" i="12"/>
  <c r="AC106" i="12"/>
  <c r="AC123" i="12" s="1"/>
  <c r="AC125" i="12" s="1"/>
  <c r="AD86" i="12"/>
  <c r="AS14" i="12"/>
  <c r="AE83" i="12"/>
  <c r="AE91" i="12"/>
  <c r="AF82" i="12"/>
  <c r="AI104" i="12"/>
  <c r="AH72" i="12"/>
  <c r="AB10" i="3"/>
  <c r="AU14" i="12" l="1"/>
  <c r="AE74" i="12"/>
  <c r="AE86" i="12"/>
  <c r="AE93" i="12"/>
  <c r="AI72" i="12"/>
  <c r="AF91" i="12"/>
  <c r="AF83" i="12"/>
  <c r="AJ104" i="12"/>
  <c r="AG82" i="12"/>
  <c r="AE105" i="12"/>
  <c r="AK11" i="9"/>
  <c r="AJ11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T5" i="9"/>
  <c r="Q42" i="9"/>
  <c r="P42" i="9"/>
  <c r="O42" i="9"/>
  <c r="N42" i="9"/>
  <c r="L42" i="9"/>
  <c r="K42" i="9"/>
  <c r="J42" i="9"/>
  <c r="I42" i="9"/>
  <c r="S40" i="9"/>
  <c r="Q40" i="9"/>
  <c r="P40" i="9"/>
  <c r="O40" i="9"/>
  <c r="N40" i="9"/>
  <c r="L40" i="9"/>
  <c r="K40" i="9"/>
  <c r="J40" i="9"/>
  <c r="I40" i="9"/>
  <c r="R35" i="9"/>
  <c r="W35" i="9" s="1"/>
  <c r="R34" i="9"/>
  <c r="W34" i="9" s="1"/>
  <c r="X34" i="9" s="1"/>
  <c r="Y34" i="9" s="1"/>
  <c r="Z34" i="9" s="1"/>
  <c r="AA34" i="9" s="1"/>
  <c r="AB34" i="9" s="1"/>
  <c r="AC34" i="9" s="1"/>
  <c r="AD34" i="9" s="1"/>
  <c r="AE34" i="9" s="1"/>
  <c r="AF34" i="9" s="1"/>
  <c r="AG34" i="9" s="1"/>
  <c r="AH34" i="9" s="1"/>
  <c r="AI34" i="9" s="1"/>
  <c r="AJ34" i="9" s="1"/>
  <c r="AK34" i="9" s="1"/>
  <c r="S23" i="9"/>
  <c r="R23" i="9"/>
  <c r="M23" i="9"/>
  <c r="H23" i="9"/>
  <c r="S21" i="9"/>
  <c r="Q21" i="9"/>
  <c r="R21" i="9" s="1"/>
  <c r="M21" i="9"/>
  <c r="H21" i="9"/>
  <c r="R20" i="9"/>
  <c r="M20" i="9"/>
  <c r="H20" i="9"/>
  <c r="S19" i="9"/>
  <c r="Q19" i="9"/>
  <c r="R19" i="9" s="1"/>
  <c r="R55" i="9" s="1"/>
  <c r="W55" i="9" s="1"/>
  <c r="M19" i="9"/>
  <c r="H19" i="9"/>
  <c r="R18" i="9"/>
  <c r="M18" i="9"/>
  <c r="H18" i="9"/>
  <c r="R16" i="9"/>
  <c r="M16" i="9"/>
  <c r="H16" i="9"/>
  <c r="R15" i="9"/>
  <c r="M15" i="9"/>
  <c r="H15" i="9"/>
  <c r="R14" i="9"/>
  <c r="M14" i="9"/>
  <c r="H14" i="9"/>
  <c r="R12" i="9"/>
  <c r="R63" i="9" s="1"/>
  <c r="M12" i="9"/>
  <c r="M63" i="9" s="1"/>
  <c r="H12" i="9"/>
  <c r="S11" i="9"/>
  <c r="Q11" i="9"/>
  <c r="Q41" i="9" s="1"/>
  <c r="P11" i="9"/>
  <c r="P13" i="9" s="1"/>
  <c r="O11" i="9"/>
  <c r="O4" i="9" s="1"/>
  <c r="N11" i="9"/>
  <c r="N4" i="9" s="1"/>
  <c r="L11" i="9"/>
  <c r="L4" i="9" s="1"/>
  <c r="K11" i="9"/>
  <c r="K13" i="9" s="1"/>
  <c r="J11" i="9"/>
  <c r="I11" i="9"/>
  <c r="I13" i="9" s="1"/>
  <c r="G11" i="9"/>
  <c r="G4" i="9" s="1"/>
  <c r="F11" i="9"/>
  <c r="E11" i="9"/>
  <c r="E13" i="9" s="1"/>
  <c r="D11" i="9"/>
  <c r="D13" i="9" s="1"/>
  <c r="R10" i="9"/>
  <c r="M10" i="9"/>
  <c r="H10" i="9"/>
  <c r="R9" i="9"/>
  <c r="M9" i="9"/>
  <c r="M11" i="9" s="1"/>
  <c r="M71" i="9" s="1"/>
  <c r="H9" i="9"/>
  <c r="U4" i="9"/>
  <c r="J4" i="9"/>
  <c r="F4" i="9"/>
  <c r="BJ20" i="6"/>
  <c r="BI20" i="6"/>
  <c r="BH20" i="6"/>
  <c r="BG20" i="6"/>
  <c r="BE20" i="6"/>
  <c r="BD20" i="6"/>
  <c r="BC20" i="6"/>
  <c r="BB20" i="6"/>
  <c r="AZ20" i="6"/>
  <c r="AY20" i="6"/>
  <c r="AX20" i="6"/>
  <c r="AW20" i="6"/>
  <c r="AU20" i="6"/>
  <c r="AT20" i="6"/>
  <c r="AS20" i="6"/>
  <c r="AR20" i="6"/>
  <c r="AP20" i="6"/>
  <c r="AO20" i="6"/>
  <c r="AN20" i="6"/>
  <c r="AM20" i="6"/>
  <c r="AK20" i="6"/>
  <c r="AJ20" i="6"/>
  <c r="AI20" i="6"/>
  <c r="AH20" i="6"/>
  <c r="AF20" i="6"/>
  <c r="AE20" i="6"/>
  <c r="AD20" i="6"/>
  <c r="AC20" i="6"/>
  <c r="Z20" i="6"/>
  <c r="Y20" i="6"/>
  <c r="X20" i="6"/>
  <c r="U20" i="6"/>
  <c r="T20" i="6"/>
  <c r="S20" i="6"/>
  <c r="P20" i="6"/>
  <c r="O20" i="6"/>
  <c r="N20" i="6"/>
  <c r="K20" i="6"/>
  <c r="J20" i="6"/>
  <c r="I20" i="6"/>
  <c r="BL20" i="6"/>
  <c r="BK11" i="6"/>
  <c r="BF11" i="6"/>
  <c r="BA11" i="6"/>
  <c r="AV11" i="6"/>
  <c r="AQ11" i="6"/>
  <c r="AL11" i="6"/>
  <c r="AG11" i="6"/>
  <c r="AB11" i="6"/>
  <c r="W11" i="6"/>
  <c r="R11" i="6"/>
  <c r="M11" i="6"/>
  <c r="H11" i="6"/>
  <c r="M36" i="4"/>
  <c r="M31" i="4"/>
  <c r="M37" i="4" s="1"/>
  <c r="M28" i="4"/>
  <c r="M29" i="4" s="1"/>
  <c r="M19" i="4"/>
  <c r="M22" i="4"/>
  <c r="BO32" i="6"/>
  <c r="BN32" i="6"/>
  <c r="BO28" i="6"/>
  <c r="BN28" i="6"/>
  <c r="BO20" i="6"/>
  <c r="BO34" i="6" s="1"/>
  <c r="BN20" i="6"/>
  <c r="BM32" i="6"/>
  <c r="BM28" i="6"/>
  <c r="BM20" i="6"/>
  <c r="BP31" i="6"/>
  <c r="BP27" i="6"/>
  <c r="BP26" i="6"/>
  <c r="BP25" i="6"/>
  <c r="BP24" i="6"/>
  <c r="BP18" i="6"/>
  <c r="BP17" i="6"/>
  <c r="BP16" i="6"/>
  <c r="BP15" i="6"/>
  <c r="BP14" i="6"/>
  <c r="BP13" i="6"/>
  <c r="BP12" i="6"/>
  <c r="BP10" i="6"/>
  <c r="BL32" i="6"/>
  <c r="BL28" i="6"/>
  <c r="BL34" i="6"/>
  <c r="BJ32" i="6"/>
  <c r="BJ28" i="6"/>
  <c r="BJ34" i="6"/>
  <c r="BK31" i="6"/>
  <c r="BK27" i="6"/>
  <c r="BK26" i="6"/>
  <c r="BK25" i="6"/>
  <c r="BK24" i="6"/>
  <c r="BK18" i="6"/>
  <c r="BK17" i="6"/>
  <c r="BK16" i="6"/>
  <c r="BK15" i="6"/>
  <c r="BK14" i="6"/>
  <c r="BK13" i="6"/>
  <c r="BK12" i="6"/>
  <c r="BK10" i="6"/>
  <c r="M15" i="4"/>
  <c r="M23" i="4"/>
  <c r="M32" i="3"/>
  <c r="D92" i="12" s="1"/>
  <c r="M31" i="3"/>
  <c r="M28" i="3"/>
  <c r="M25" i="3"/>
  <c r="M18" i="3"/>
  <c r="M13" i="3"/>
  <c r="D72" i="12" s="1"/>
  <c r="M26" i="3"/>
  <c r="M14" i="3"/>
  <c r="BB94" i="2"/>
  <c r="BB112" i="2"/>
  <c r="BB114" i="2" s="1"/>
  <c r="BB34" i="2" s="1"/>
  <c r="BB107" i="2"/>
  <c r="BB110" i="2" s="1"/>
  <c r="BB103" i="2"/>
  <c r="BB105" i="2" s="1"/>
  <c r="BB30" i="2" s="1"/>
  <c r="BB97" i="2"/>
  <c r="BB101" i="2" s="1"/>
  <c r="BB28" i="2" s="1"/>
  <c r="BB93" i="2"/>
  <c r="BB89" i="2"/>
  <c r="BB91" i="2" s="1"/>
  <c r="BB27" i="2" s="1"/>
  <c r="BB85" i="2"/>
  <c r="BB87" i="2" s="1"/>
  <c r="BB24" i="2" s="1"/>
  <c r="BB59" i="2"/>
  <c r="BB61" i="2" s="1"/>
  <c r="BB65" i="2" s="1"/>
  <c r="BB69" i="2" s="1"/>
  <c r="BB72" i="2" s="1"/>
  <c r="BB43" i="2"/>
  <c r="BB35" i="2"/>
  <c r="BB32" i="2"/>
  <c r="BB31" i="2"/>
  <c r="BB22" i="2"/>
  <c r="BB21" i="2"/>
  <c r="BA113" i="2"/>
  <c r="BA109" i="2"/>
  <c r="BA108" i="2"/>
  <c r="BA100" i="2"/>
  <c r="BA81" i="2"/>
  <c r="BA80" i="2"/>
  <c r="BA68" i="2"/>
  <c r="BA63" i="2"/>
  <c r="BA62" i="2"/>
  <c r="BA60" i="2"/>
  <c r="BA58" i="2"/>
  <c r="BA57" i="2"/>
  <c r="AZ64" i="2"/>
  <c r="AZ97" i="2" s="1"/>
  <c r="AZ101" i="2" s="1"/>
  <c r="AZ28" i="2" s="1"/>
  <c r="AZ43" i="2"/>
  <c r="AZ35" i="2"/>
  <c r="AZ32" i="2"/>
  <c r="AZ31" i="2"/>
  <c r="AZ22" i="2"/>
  <c r="AZ21" i="2"/>
  <c r="AZ112" i="2"/>
  <c r="AZ114" i="2" s="1"/>
  <c r="AZ34" i="2" s="1"/>
  <c r="AZ107" i="2"/>
  <c r="AZ110" i="2" s="1"/>
  <c r="AZ103" i="2"/>
  <c r="AZ105" i="2" s="1"/>
  <c r="AZ30" i="2" s="1"/>
  <c r="AZ93" i="2"/>
  <c r="AZ95" i="2" s="1"/>
  <c r="AZ26" i="2" s="1"/>
  <c r="AZ89" i="2"/>
  <c r="AZ91" i="2" s="1"/>
  <c r="AZ27" i="2" s="1"/>
  <c r="AZ85" i="2"/>
  <c r="AZ87" i="2" s="1"/>
  <c r="AZ24" i="2" s="1"/>
  <c r="AZ59" i="2"/>
  <c r="AZ61" i="2" s="1"/>
  <c r="BE4" i="2"/>
  <c r="BO5" i="6" s="1"/>
  <c r="BD4" i="2"/>
  <c r="BN5" i="6" s="1"/>
  <c r="BC4" i="2"/>
  <c r="BM5" i="6" s="1"/>
  <c r="BE3" i="2"/>
  <c r="BO4" i="6" s="1"/>
  <c r="BD3" i="2"/>
  <c r="BN4" i="6" s="1"/>
  <c r="BC3" i="2"/>
  <c r="BM4" i="6" s="1"/>
  <c r="BB23" i="2" l="1"/>
  <c r="BA59" i="2"/>
  <c r="AV14" i="12"/>
  <c r="AF93" i="12"/>
  <c r="AF86" i="12"/>
  <c r="AE106" i="12"/>
  <c r="AE123" i="12" s="1"/>
  <c r="AE125" i="12" s="1"/>
  <c r="AF74" i="12"/>
  <c r="AF105" i="12"/>
  <c r="AH82" i="12"/>
  <c r="AG83" i="12"/>
  <c r="AG105" i="12"/>
  <c r="AG91" i="12"/>
  <c r="AJ72" i="12"/>
  <c r="D77" i="12"/>
  <c r="P4" i="9"/>
  <c r="N28" i="3"/>
  <c r="D86" i="12"/>
  <c r="BP32" i="6"/>
  <c r="D91" i="12"/>
  <c r="D94" i="12" s="1"/>
  <c r="N31" i="3"/>
  <c r="N25" i="3"/>
  <c r="D83" i="12"/>
  <c r="D21" i="5"/>
  <c r="V36" i="12"/>
  <c r="W36" i="12"/>
  <c r="X36" i="12"/>
  <c r="Y36" i="12"/>
  <c r="W63" i="9"/>
  <c r="X63" i="9" s="1"/>
  <c r="M27" i="9"/>
  <c r="M61" i="9"/>
  <c r="M59" i="9"/>
  <c r="M65" i="9"/>
  <c r="S13" i="9"/>
  <c r="S17" i="9" s="1"/>
  <c r="S28" i="9" s="1"/>
  <c r="S59" i="9"/>
  <c r="S65" i="9"/>
  <c r="S61" i="9"/>
  <c r="K4" i="9"/>
  <c r="X35" i="9"/>
  <c r="V58" i="12"/>
  <c r="W19" i="9"/>
  <c r="V47" i="12" s="1"/>
  <c r="X55" i="9"/>
  <c r="AZ23" i="2"/>
  <c r="AZ25" i="2" s="1"/>
  <c r="BB95" i="2"/>
  <c r="BB26" i="2" s="1"/>
  <c r="BA61" i="2"/>
  <c r="R11" i="9"/>
  <c r="R71" i="9" s="1"/>
  <c r="AK15" i="9"/>
  <c r="H11" i="9"/>
  <c r="H13" i="9" s="1"/>
  <c r="H46" i="9" s="1"/>
  <c r="S4" i="9"/>
  <c r="N13" i="3"/>
  <c r="E72" i="12" s="1"/>
  <c r="N19" i="4"/>
  <c r="N18" i="3"/>
  <c r="N15" i="4"/>
  <c r="E104" i="12" s="1"/>
  <c r="M29" i="3"/>
  <c r="M37" i="3" s="1"/>
  <c r="M34" i="3"/>
  <c r="M36" i="3" s="1"/>
  <c r="O13" i="3"/>
  <c r="F72" i="12" s="1"/>
  <c r="O25" i="3"/>
  <c r="AZ65" i="2"/>
  <c r="AZ69" i="2" s="1"/>
  <c r="AZ72" i="2" s="1"/>
  <c r="I4" i="9"/>
  <c r="E4" i="9"/>
  <c r="D4" i="9"/>
  <c r="Q4" i="9"/>
  <c r="D46" i="9"/>
  <c r="D17" i="9"/>
  <c r="I17" i="9"/>
  <c r="I46" i="9"/>
  <c r="M13" i="9"/>
  <c r="M4" i="9"/>
  <c r="P46" i="9"/>
  <c r="P17" i="9"/>
  <c r="P28" i="9" s="1"/>
  <c r="G39" i="9"/>
  <c r="G41" i="9"/>
  <c r="K39" i="9"/>
  <c r="K41" i="9"/>
  <c r="O39" i="9"/>
  <c r="O41" i="9"/>
  <c r="S39" i="9"/>
  <c r="S41" i="9"/>
  <c r="D39" i="9"/>
  <c r="D41" i="9"/>
  <c r="L39" i="9"/>
  <c r="L41" i="9"/>
  <c r="P39" i="9"/>
  <c r="P41" i="9"/>
  <c r="E17" i="9"/>
  <c r="E46" i="9"/>
  <c r="K46" i="9"/>
  <c r="K17" i="9"/>
  <c r="E41" i="9"/>
  <c r="E39" i="9"/>
  <c r="I41" i="9"/>
  <c r="I39" i="9"/>
  <c r="G13" i="9"/>
  <c r="L13" i="9"/>
  <c r="M40" i="9"/>
  <c r="M39" i="9"/>
  <c r="H41" i="9"/>
  <c r="F39" i="9"/>
  <c r="F13" i="9"/>
  <c r="F41" i="9"/>
  <c r="J41" i="9"/>
  <c r="J13" i="9"/>
  <c r="J39" i="9"/>
  <c r="N39" i="9"/>
  <c r="N13" i="9"/>
  <c r="N41" i="9"/>
  <c r="O13" i="9"/>
  <c r="R40" i="9"/>
  <c r="M41" i="9"/>
  <c r="M42" i="9"/>
  <c r="Q39" i="9"/>
  <c r="Q13" i="9"/>
  <c r="R42" i="9"/>
  <c r="BK20" i="6"/>
  <c r="BM34" i="6"/>
  <c r="BO29" i="6"/>
  <c r="BN34" i="6"/>
  <c r="BO35" i="6"/>
  <c r="BO21" i="6"/>
  <c r="BK28" i="6"/>
  <c r="BP20" i="6"/>
  <c r="BP28" i="6"/>
  <c r="M40" i="4"/>
  <c r="M19" i="3"/>
  <c r="BB77" i="2"/>
  <c r="BB76" i="2"/>
  <c r="BB25" i="2"/>
  <c r="BB51" i="2"/>
  <c r="BB50" i="2"/>
  <c r="BB3" i="2"/>
  <c r="BL4" i="6" s="1"/>
  <c r="G28" i="6"/>
  <c r="F28" i="6"/>
  <c r="E28" i="6"/>
  <c r="D28" i="6"/>
  <c r="BI32" i="6"/>
  <c r="BH32" i="6"/>
  <c r="BG32" i="6"/>
  <c r="BE32" i="6"/>
  <c r="BD32" i="6"/>
  <c r="BC32" i="6"/>
  <c r="BB32" i="6"/>
  <c r="AZ32" i="6"/>
  <c r="AY32" i="6"/>
  <c r="AX32" i="6"/>
  <c r="AW32" i="6"/>
  <c r="AV32" i="6"/>
  <c r="AU32" i="6"/>
  <c r="AT32" i="6"/>
  <c r="AS32" i="6"/>
  <c r="AR32" i="6"/>
  <c r="AQ32" i="6"/>
  <c r="AO32" i="6"/>
  <c r="AN32" i="6"/>
  <c r="AM32" i="6"/>
  <c r="AL32" i="6"/>
  <c r="AJ32" i="6"/>
  <c r="AI32" i="6"/>
  <c r="AH32" i="6"/>
  <c r="AG32" i="6"/>
  <c r="AE32" i="6"/>
  <c r="AD32" i="6"/>
  <c r="AC32" i="6"/>
  <c r="AB32" i="6"/>
  <c r="Z32" i="6"/>
  <c r="Y32" i="6"/>
  <c r="X32" i="6"/>
  <c r="W32" i="6"/>
  <c r="U32" i="6"/>
  <c r="T32" i="6"/>
  <c r="S32" i="6"/>
  <c r="R32" i="6"/>
  <c r="P32" i="6"/>
  <c r="O32" i="6"/>
  <c r="N32" i="6"/>
  <c r="M32" i="6"/>
  <c r="K32" i="6"/>
  <c r="J32" i="6"/>
  <c r="BF31" i="6"/>
  <c r="BK32" i="6" s="1"/>
  <c r="BA31" i="6"/>
  <c r="BA32" i="6" s="1"/>
  <c r="AK31" i="6"/>
  <c r="AP32" i="6" s="1"/>
  <c r="AF31" i="6"/>
  <c r="AA31" i="6"/>
  <c r="V31" i="6"/>
  <c r="Q31" i="6"/>
  <c r="Q32" i="6" s="1"/>
  <c r="L31" i="6"/>
  <c r="G31" i="6"/>
  <c r="BI28" i="6"/>
  <c r="BN29" i="6" s="1"/>
  <c r="BH28" i="6"/>
  <c r="BM29" i="6" s="1"/>
  <c r="BG28" i="6"/>
  <c r="BL29" i="6" s="1"/>
  <c r="BE28" i="6"/>
  <c r="BJ29" i="6" s="1"/>
  <c r="BD28" i="6"/>
  <c r="BC28" i="6"/>
  <c r="BB28" i="6"/>
  <c r="AZ28" i="6"/>
  <c r="AY28" i="6"/>
  <c r="AX28" i="6"/>
  <c r="AX34" i="6" s="1"/>
  <c r="AW28" i="6"/>
  <c r="AU28" i="6"/>
  <c r="AT28" i="6"/>
  <c r="AS28" i="6"/>
  <c r="AR28" i="6"/>
  <c r="AP28" i="6"/>
  <c r="AO28" i="6"/>
  <c r="AN28" i="6"/>
  <c r="AM28" i="6"/>
  <c r="AK28" i="6"/>
  <c r="AJ28" i="6"/>
  <c r="AI28" i="6"/>
  <c r="AH28" i="6"/>
  <c r="AF28" i="6"/>
  <c r="AE28" i="6"/>
  <c r="AD28" i="6"/>
  <c r="AC28" i="6"/>
  <c r="AA28" i="6"/>
  <c r="Z28" i="6"/>
  <c r="Y28" i="6"/>
  <c r="X28" i="6"/>
  <c r="V28" i="6"/>
  <c r="U28" i="6"/>
  <c r="T28" i="6"/>
  <c r="S28" i="6"/>
  <c r="Q28" i="6"/>
  <c r="P28" i="6"/>
  <c r="O28" i="6"/>
  <c r="N28" i="6"/>
  <c r="L28" i="6"/>
  <c r="L29" i="6" s="1"/>
  <c r="K28" i="6"/>
  <c r="J28" i="6"/>
  <c r="J34" i="6" s="1"/>
  <c r="I28" i="6"/>
  <c r="BF27" i="6"/>
  <c r="BF26" i="6"/>
  <c r="BF25" i="6"/>
  <c r="BA25" i="6"/>
  <c r="AV25" i="6"/>
  <c r="AQ25" i="6"/>
  <c r="AL25" i="6"/>
  <c r="AG25" i="6"/>
  <c r="AB25" i="6"/>
  <c r="W25" i="6"/>
  <c r="R25" i="6"/>
  <c r="M25" i="6"/>
  <c r="H25" i="6"/>
  <c r="BF24" i="6"/>
  <c r="BA24" i="6"/>
  <c r="AV24" i="6"/>
  <c r="AQ24" i="6"/>
  <c r="AL24" i="6"/>
  <c r="AL28" i="6" s="1"/>
  <c r="AG24" i="6"/>
  <c r="AB24" i="6"/>
  <c r="W24" i="6"/>
  <c r="R24" i="6"/>
  <c r="M24" i="6"/>
  <c r="H24" i="6"/>
  <c r="BN21" i="6"/>
  <c r="BL21" i="6"/>
  <c r="BJ21" i="6"/>
  <c r="AZ34" i="6"/>
  <c r="AS34" i="6"/>
  <c r="AP34" i="6"/>
  <c r="F20" i="6"/>
  <c r="F34" i="6" s="1"/>
  <c r="E20" i="6"/>
  <c r="D20" i="6"/>
  <c r="BF18" i="6"/>
  <c r="BA18" i="6"/>
  <c r="AA18" i="6"/>
  <c r="V18" i="6"/>
  <c r="Q18" i="6"/>
  <c r="L18" i="6"/>
  <c r="G18" i="6"/>
  <c r="BF17" i="6"/>
  <c r="BA17" i="6"/>
  <c r="AA17" i="6"/>
  <c r="V17" i="6"/>
  <c r="Q17" i="6"/>
  <c r="L17" i="6"/>
  <c r="G17" i="6"/>
  <c r="BF16" i="6"/>
  <c r="BA16" i="6"/>
  <c r="AA16" i="6"/>
  <c r="V16" i="6"/>
  <c r="Q16" i="6"/>
  <c r="L16" i="6"/>
  <c r="G16" i="6"/>
  <c r="BF15" i="6"/>
  <c r="BA15" i="6"/>
  <c r="AV15" i="6"/>
  <c r="AQ15" i="6"/>
  <c r="AL15" i="6"/>
  <c r="AG15" i="6"/>
  <c r="AB15" i="6"/>
  <c r="W15" i="6"/>
  <c r="R15" i="6"/>
  <c r="M15" i="6"/>
  <c r="H15" i="6"/>
  <c r="BF14" i="6"/>
  <c r="BA14" i="6"/>
  <c r="AV14" i="6"/>
  <c r="AQ14" i="6"/>
  <c r="AL14" i="6"/>
  <c r="AG14" i="6"/>
  <c r="AB14" i="6"/>
  <c r="AB20" i="6" s="1"/>
  <c r="W14" i="6"/>
  <c r="R14" i="6"/>
  <c r="M14" i="6"/>
  <c r="H14" i="6"/>
  <c r="BF13" i="6"/>
  <c r="BA13" i="6"/>
  <c r="AV13" i="6"/>
  <c r="AQ13" i="6"/>
  <c r="AL13" i="6"/>
  <c r="AG13" i="6"/>
  <c r="AG20" i="6" s="1"/>
  <c r="W13" i="6"/>
  <c r="R13" i="6"/>
  <c r="M13" i="6"/>
  <c r="H13" i="6"/>
  <c r="BF12" i="6"/>
  <c r="BA12" i="6"/>
  <c r="AV12" i="6"/>
  <c r="AQ12" i="6"/>
  <c r="AL12" i="6"/>
  <c r="AG12" i="6"/>
  <c r="AB12" i="6"/>
  <c r="W12" i="6"/>
  <c r="R12" i="6"/>
  <c r="M12" i="6"/>
  <c r="H12" i="6"/>
  <c r="BF10" i="6"/>
  <c r="BA10" i="6"/>
  <c r="AA10" i="6"/>
  <c r="V10" i="6"/>
  <c r="Q10" i="6"/>
  <c r="L10" i="6"/>
  <c r="G10" i="6"/>
  <c r="AC9" i="6"/>
  <c r="K39" i="4"/>
  <c r="L37" i="4"/>
  <c r="K36" i="4"/>
  <c r="J36" i="4"/>
  <c r="J37" i="4" s="1"/>
  <c r="I36" i="4"/>
  <c r="I37" i="4" s="1"/>
  <c r="H36" i="4"/>
  <c r="H37" i="4" s="1"/>
  <c r="G36" i="4"/>
  <c r="G37" i="4" s="1"/>
  <c r="F36" i="4"/>
  <c r="F37" i="4" s="1"/>
  <c r="E36" i="4"/>
  <c r="E37" i="4" s="1"/>
  <c r="D36" i="4"/>
  <c r="D35" i="4"/>
  <c r="K34" i="4"/>
  <c r="D34" i="4"/>
  <c r="K33" i="4"/>
  <c r="K32" i="4"/>
  <c r="H29" i="4"/>
  <c r="G29" i="4"/>
  <c r="F29" i="4"/>
  <c r="E29" i="4"/>
  <c r="L28" i="4"/>
  <c r="L29" i="4" s="1"/>
  <c r="K28" i="4"/>
  <c r="J28" i="4"/>
  <c r="J29" i="4" s="1"/>
  <c r="I28" i="4"/>
  <c r="I29" i="4" s="1"/>
  <c r="D28" i="4"/>
  <c r="D29" i="4" s="1"/>
  <c r="K26" i="4"/>
  <c r="K25" i="4"/>
  <c r="L22" i="4"/>
  <c r="K22" i="4"/>
  <c r="J22" i="4"/>
  <c r="I22" i="4"/>
  <c r="H22" i="4"/>
  <c r="G22" i="4"/>
  <c r="F22" i="4"/>
  <c r="E22" i="4"/>
  <c r="D22" i="4"/>
  <c r="D21" i="4"/>
  <c r="L19" i="4"/>
  <c r="K19" i="4"/>
  <c r="J19" i="4"/>
  <c r="I19" i="4"/>
  <c r="H19" i="4"/>
  <c r="G19" i="4"/>
  <c r="F19" i="4"/>
  <c r="E19" i="4"/>
  <c r="D19" i="4"/>
  <c r="K18" i="4"/>
  <c r="K17" i="4"/>
  <c r="D17" i="4"/>
  <c r="L15" i="4"/>
  <c r="K15" i="4"/>
  <c r="K23" i="4" s="1"/>
  <c r="J15" i="4"/>
  <c r="I15" i="4"/>
  <c r="H15" i="4"/>
  <c r="G15" i="4"/>
  <c r="F15" i="4"/>
  <c r="E15" i="4"/>
  <c r="D15" i="4"/>
  <c r="D23" i="4" s="1"/>
  <c r="K33" i="3"/>
  <c r="J33" i="3"/>
  <c r="I33" i="3"/>
  <c r="H33" i="3"/>
  <c r="G33" i="3"/>
  <c r="E33" i="3"/>
  <c r="J32" i="3"/>
  <c r="I32" i="3"/>
  <c r="H32" i="3"/>
  <c r="G32" i="3"/>
  <c r="E32" i="3"/>
  <c r="D32" i="3"/>
  <c r="L31" i="3"/>
  <c r="L34" i="3" s="1"/>
  <c r="L36" i="3" s="1"/>
  <c r="K31" i="3"/>
  <c r="J31" i="3"/>
  <c r="I31" i="3"/>
  <c r="H31" i="3"/>
  <c r="G31" i="3"/>
  <c r="F31" i="3"/>
  <c r="F34" i="3" s="1"/>
  <c r="F36" i="3" s="1"/>
  <c r="E31" i="3"/>
  <c r="E34" i="3" s="1"/>
  <c r="E36" i="3" s="1"/>
  <c r="D31" i="3"/>
  <c r="L28" i="3"/>
  <c r="K28" i="3"/>
  <c r="J28" i="3"/>
  <c r="I28" i="3"/>
  <c r="H28" i="3"/>
  <c r="G28" i="3"/>
  <c r="F28" i="3"/>
  <c r="E28" i="3"/>
  <c r="L25" i="3"/>
  <c r="L26" i="3" s="1"/>
  <c r="L29" i="3" s="1"/>
  <c r="K25" i="3"/>
  <c r="K26" i="3" s="1"/>
  <c r="J25" i="3"/>
  <c r="J26" i="3" s="1"/>
  <c r="I25" i="3"/>
  <c r="I26" i="3" s="1"/>
  <c r="H25" i="3"/>
  <c r="H26" i="3" s="1"/>
  <c r="H29" i="3" s="1"/>
  <c r="G25" i="3"/>
  <c r="G26" i="3" s="1"/>
  <c r="F25" i="3"/>
  <c r="F26" i="3" s="1"/>
  <c r="F29" i="3" s="1"/>
  <c r="E25" i="3"/>
  <c r="E26" i="3" s="1"/>
  <c r="E29" i="3" s="1"/>
  <c r="D25" i="3"/>
  <c r="D26" i="3" s="1"/>
  <c r="D29" i="3" s="1"/>
  <c r="L18" i="3"/>
  <c r="K18" i="3"/>
  <c r="J18" i="3"/>
  <c r="I18" i="3"/>
  <c r="H18" i="3"/>
  <c r="G18" i="3"/>
  <c r="F18" i="3"/>
  <c r="E18" i="3"/>
  <c r="L13" i="3"/>
  <c r="L14" i="3" s="1"/>
  <c r="L19" i="3" s="1"/>
  <c r="K13" i="3"/>
  <c r="K14" i="3" s="1"/>
  <c r="J13" i="3"/>
  <c r="J14" i="3" s="1"/>
  <c r="I13" i="3"/>
  <c r="I14" i="3" s="1"/>
  <c r="I19" i="3" s="1"/>
  <c r="H13" i="3"/>
  <c r="H14" i="3" s="1"/>
  <c r="G13" i="3"/>
  <c r="G14" i="3" s="1"/>
  <c r="F13" i="3"/>
  <c r="F14" i="3" s="1"/>
  <c r="E13" i="3"/>
  <c r="E14" i="3" s="1"/>
  <c r="E19" i="3" s="1"/>
  <c r="D13" i="3"/>
  <c r="D14" i="3" s="1"/>
  <c r="D19" i="3" s="1"/>
  <c r="AV113" i="2"/>
  <c r="AQ113" i="2"/>
  <c r="AL113" i="2"/>
  <c r="AG113" i="2"/>
  <c r="AB113" i="2"/>
  <c r="W113" i="2"/>
  <c r="R113" i="2"/>
  <c r="M113" i="2"/>
  <c r="H113" i="2"/>
  <c r="AY112" i="2"/>
  <c r="AY114" i="2" s="1"/>
  <c r="AX112" i="2"/>
  <c r="AX114" i="2" s="1"/>
  <c r="AT112" i="2"/>
  <c r="AT114" i="2" s="1"/>
  <c r="AS112" i="2"/>
  <c r="AS114" i="2" s="1"/>
  <c r="AS34" i="2" s="1"/>
  <c r="AR112" i="2"/>
  <c r="AR114" i="2" s="1"/>
  <c r="AR34" i="2" s="1"/>
  <c r="AP112" i="2"/>
  <c r="AP114" i="2" s="1"/>
  <c r="AP34" i="2" s="1"/>
  <c r="AO112" i="2"/>
  <c r="AO114" i="2" s="1"/>
  <c r="AO34" i="2" s="1"/>
  <c r="AN112" i="2"/>
  <c r="AN114" i="2" s="1"/>
  <c r="AN34" i="2" s="1"/>
  <c r="AM112" i="2"/>
  <c r="AM114" i="2" s="1"/>
  <c r="AM34" i="2" s="1"/>
  <c r="AK112" i="2"/>
  <c r="AK114" i="2" s="1"/>
  <c r="AK34" i="2" s="1"/>
  <c r="AJ112" i="2"/>
  <c r="AJ114" i="2" s="1"/>
  <c r="AJ34" i="2" s="1"/>
  <c r="AI112" i="2"/>
  <c r="AI114" i="2" s="1"/>
  <c r="AI34" i="2" s="1"/>
  <c r="AH112" i="2"/>
  <c r="AH114" i="2" s="1"/>
  <c r="AF112" i="2"/>
  <c r="AF114" i="2" s="1"/>
  <c r="AF34" i="2" s="1"/>
  <c r="AE112" i="2"/>
  <c r="AE114" i="2" s="1"/>
  <c r="AD112" i="2"/>
  <c r="AD114" i="2" s="1"/>
  <c r="AD34" i="2" s="1"/>
  <c r="AC112" i="2"/>
  <c r="AC114" i="2" s="1"/>
  <c r="AC34" i="2" s="1"/>
  <c r="AA112" i="2"/>
  <c r="AA114" i="2" s="1"/>
  <c r="Z112" i="2"/>
  <c r="Z114" i="2" s="1"/>
  <c r="Z34" i="2" s="1"/>
  <c r="Y112" i="2"/>
  <c r="Y114" i="2" s="1"/>
  <c r="Y34" i="2" s="1"/>
  <c r="X112" i="2"/>
  <c r="X114" i="2" s="1"/>
  <c r="V112" i="2"/>
  <c r="V114" i="2" s="1"/>
  <c r="V34" i="2" s="1"/>
  <c r="U112" i="2"/>
  <c r="U114" i="2" s="1"/>
  <c r="U34" i="2" s="1"/>
  <c r="T112" i="2"/>
  <c r="T114" i="2" s="1"/>
  <c r="T34" i="2" s="1"/>
  <c r="S112" i="2"/>
  <c r="S114" i="2" s="1"/>
  <c r="S34" i="2" s="1"/>
  <c r="Q112" i="2"/>
  <c r="Q114" i="2" s="1"/>
  <c r="Q34" i="2" s="1"/>
  <c r="P112" i="2"/>
  <c r="P114" i="2" s="1"/>
  <c r="P34" i="2" s="1"/>
  <c r="O112" i="2"/>
  <c r="O114" i="2" s="1"/>
  <c r="O34" i="2" s="1"/>
  <c r="N112" i="2"/>
  <c r="N114" i="2" s="1"/>
  <c r="N34" i="2" s="1"/>
  <c r="L112" i="2"/>
  <c r="L114" i="2" s="1"/>
  <c r="L34" i="2" s="1"/>
  <c r="K112" i="2"/>
  <c r="K114" i="2" s="1"/>
  <c r="J112" i="2"/>
  <c r="J114" i="2" s="1"/>
  <c r="I112" i="2"/>
  <c r="I114" i="2" s="1"/>
  <c r="I34" i="2" s="1"/>
  <c r="G112" i="2"/>
  <c r="G114" i="2" s="1"/>
  <c r="F112" i="2"/>
  <c r="F114" i="2" s="1"/>
  <c r="E112" i="2"/>
  <c r="E114" i="2" s="1"/>
  <c r="D112" i="2"/>
  <c r="D114" i="2" s="1"/>
  <c r="D34" i="2" s="1"/>
  <c r="AV109" i="2"/>
  <c r="AQ109" i="2"/>
  <c r="AL109" i="2"/>
  <c r="AG109" i="2"/>
  <c r="AB109" i="2"/>
  <c r="W109" i="2"/>
  <c r="R109" i="2"/>
  <c r="M109" i="2"/>
  <c r="H109" i="2"/>
  <c r="AV108" i="2"/>
  <c r="AQ108" i="2"/>
  <c r="AL108" i="2"/>
  <c r="AG108" i="2"/>
  <c r="AB108" i="2"/>
  <c r="W108" i="2"/>
  <c r="R108" i="2"/>
  <c r="M108" i="2"/>
  <c r="H108" i="2"/>
  <c r="AT107" i="2"/>
  <c r="AT110" i="2" s="1"/>
  <c r="AS107" i="2"/>
  <c r="AS110" i="2" s="1"/>
  <c r="AN107" i="2"/>
  <c r="AN110" i="2" s="1"/>
  <c r="AM107" i="2"/>
  <c r="AM110" i="2" s="1"/>
  <c r="AK107" i="2"/>
  <c r="AK110" i="2" s="1"/>
  <c r="AJ107" i="2"/>
  <c r="AJ110" i="2" s="1"/>
  <c r="AI107" i="2"/>
  <c r="AI110" i="2" s="1"/>
  <c r="AH107" i="2"/>
  <c r="AH110" i="2" s="1"/>
  <c r="AF107" i="2"/>
  <c r="AF110" i="2" s="1"/>
  <c r="AE107" i="2"/>
  <c r="AE110" i="2" s="1"/>
  <c r="AD107" i="2"/>
  <c r="AD110" i="2" s="1"/>
  <c r="AC107" i="2"/>
  <c r="AC110" i="2" s="1"/>
  <c r="AA107" i="2"/>
  <c r="AA110" i="2" s="1"/>
  <c r="Z107" i="2"/>
  <c r="Z110" i="2" s="1"/>
  <c r="Y107" i="2"/>
  <c r="Y110" i="2" s="1"/>
  <c r="X107" i="2"/>
  <c r="X110" i="2" s="1"/>
  <c r="V107" i="2"/>
  <c r="V110" i="2" s="1"/>
  <c r="U107" i="2"/>
  <c r="U110" i="2" s="1"/>
  <c r="T107" i="2"/>
  <c r="T110" i="2" s="1"/>
  <c r="S107" i="2"/>
  <c r="S110" i="2" s="1"/>
  <c r="Q107" i="2"/>
  <c r="Q110" i="2" s="1"/>
  <c r="P107" i="2"/>
  <c r="P110" i="2" s="1"/>
  <c r="O107" i="2"/>
  <c r="O110" i="2" s="1"/>
  <c r="N107" i="2"/>
  <c r="N110" i="2" s="1"/>
  <c r="L107" i="2"/>
  <c r="L110" i="2" s="1"/>
  <c r="K107" i="2"/>
  <c r="K110" i="2" s="1"/>
  <c r="J107" i="2"/>
  <c r="J110" i="2" s="1"/>
  <c r="G107" i="2"/>
  <c r="G110" i="2" s="1"/>
  <c r="F107" i="2"/>
  <c r="F110" i="2" s="1"/>
  <c r="E107" i="2"/>
  <c r="E110" i="2" s="1"/>
  <c r="D107" i="2"/>
  <c r="D110" i="2" s="1"/>
  <c r="AY104" i="2"/>
  <c r="AX104" i="2"/>
  <c r="AW104" i="2"/>
  <c r="AU104" i="2"/>
  <c r="AT104" i="2"/>
  <c r="AR104" i="2"/>
  <c r="AP104" i="2"/>
  <c r="AQ104" i="2" s="1"/>
  <c r="AL104" i="2"/>
  <c r="AG104" i="2"/>
  <c r="AB104" i="2"/>
  <c r="W104" i="2"/>
  <c r="R104" i="2"/>
  <c r="M104" i="2"/>
  <c r="H104" i="2"/>
  <c r="AT103" i="2"/>
  <c r="AN103" i="2"/>
  <c r="AN105" i="2" s="1"/>
  <c r="AM103" i="2"/>
  <c r="AM105" i="2" s="1"/>
  <c r="AM30" i="2" s="1"/>
  <c r="AK103" i="2"/>
  <c r="AK105" i="2" s="1"/>
  <c r="AK30" i="2" s="1"/>
  <c r="AJ103" i="2"/>
  <c r="AJ105" i="2" s="1"/>
  <c r="AJ30" i="2" s="1"/>
  <c r="AI103" i="2"/>
  <c r="AI105" i="2" s="1"/>
  <c r="AI30" i="2" s="1"/>
  <c r="AH103" i="2"/>
  <c r="AH105" i="2" s="1"/>
  <c r="AH30" i="2" s="1"/>
  <c r="AF103" i="2"/>
  <c r="AF105" i="2" s="1"/>
  <c r="AF30" i="2" s="1"/>
  <c r="AE103" i="2"/>
  <c r="AE105" i="2" s="1"/>
  <c r="AE30" i="2" s="1"/>
  <c r="AD103" i="2"/>
  <c r="AD105" i="2" s="1"/>
  <c r="AD30" i="2" s="1"/>
  <c r="AC103" i="2"/>
  <c r="AC105" i="2" s="1"/>
  <c r="AA103" i="2"/>
  <c r="AA105" i="2" s="1"/>
  <c r="AA30" i="2" s="1"/>
  <c r="Z103" i="2"/>
  <c r="Z105" i="2" s="1"/>
  <c r="Y103" i="2"/>
  <c r="Y105" i="2" s="1"/>
  <c r="X103" i="2"/>
  <c r="X105" i="2" s="1"/>
  <c r="V103" i="2"/>
  <c r="V105" i="2" s="1"/>
  <c r="V30" i="2" s="1"/>
  <c r="U103" i="2"/>
  <c r="U105" i="2" s="1"/>
  <c r="T103" i="2"/>
  <c r="T105" i="2" s="1"/>
  <c r="S103" i="2"/>
  <c r="S105" i="2" s="1"/>
  <c r="S30" i="2" s="1"/>
  <c r="Q103" i="2"/>
  <c r="Q105" i="2" s="1"/>
  <c r="Q30" i="2" s="1"/>
  <c r="P103" i="2"/>
  <c r="P105" i="2" s="1"/>
  <c r="P30" i="2" s="1"/>
  <c r="O103" i="2"/>
  <c r="O105" i="2" s="1"/>
  <c r="O30" i="2" s="1"/>
  <c r="N103" i="2"/>
  <c r="N105" i="2" s="1"/>
  <c r="N30" i="2" s="1"/>
  <c r="L103" i="2"/>
  <c r="L105" i="2" s="1"/>
  <c r="L30" i="2" s="1"/>
  <c r="K103" i="2"/>
  <c r="K105" i="2" s="1"/>
  <c r="J103" i="2"/>
  <c r="J105" i="2" s="1"/>
  <c r="G103" i="2"/>
  <c r="G105" i="2" s="1"/>
  <c r="F103" i="2"/>
  <c r="F105" i="2" s="1"/>
  <c r="E103" i="2"/>
  <c r="E105" i="2" s="1"/>
  <c r="D103" i="2"/>
  <c r="D105" i="2" s="1"/>
  <c r="D30" i="2" s="1"/>
  <c r="AT100" i="2"/>
  <c r="AR100" i="2"/>
  <c r="AQ100" i="2"/>
  <c r="AL100" i="2"/>
  <c r="AG100" i="2"/>
  <c r="AB100" i="2"/>
  <c r="W100" i="2"/>
  <c r="R100" i="2"/>
  <c r="M100" i="2"/>
  <c r="H100" i="2"/>
  <c r="AW99" i="2"/>
  <c r="BA99" i="2" s="1"/>
  <c r="AV99" i="2"/>
  <c r="AQ99" i="2"/>
  <c r="AL99" i="2"/>
  <c r="AG99" i="2"/>
  <c r="AB99" i="2"/>
  <c r="W99" i="2"/>
  <c r="R99" i="2"/>
  <c r="M99" i="2"/>
  <c r="H99" i="2"/>
  <c r="AY98" i="2"/>
  <c r="AX98" i="2"/>
  <c r="AW98" i="2"/>
  <c r="AU98" i="2"/>
  <c r="AS98" i="2"/>
  <c r="AR98" i="2"/>
  <c r="AP98" i="2"/>
  <c r="AO98" i="2"/>
  <c r="AL98" i="2"/>
  <c r="AG98" i="2"/>
  <c r="AB98" i="2"/>
  <c r="W98" i="2"/>
  <c r="R98" i="2"/>
  <c r="M98" i="2"/>
  <c r="H98" i="2"/>
  <c r="AU97" i="2"/>
  <c r="AP97" i="2"/>
  <c r="AP101" i="2" s="1"/>
  <c r="AP28" i="2" s="1"/>
  <c r="AO97" i="2"/>
  <c r="AO101" i="2" s="1"/>
  <c r="AO28" i="2" s="1"/>
  <c r="AN97" i="2"/>
  <c r="AN101" i="2" s="1"/>
  <c r="AN28" i="2" s="1"/>
  <c r="AM97" i="2"/>
  <c r="AM101" i="2" s="1"/>
  <c r="AM28" i="2" s="1"/>
  <c r="AK97" i="2"/>
  <c r="AK101" i="2" s="1"/>
  <c r="AK28" i="2" s="1"/>
  <c r="AJ97" i="2"/>
  <c r="AJ101" i="2" s="1"/>
  <c r="AJ28" i="2" s="1"/>
  <c r="AI97" i="2"/>
  <c r="AI101" i="2" s="1"/>
  <c r="AH97" i="2"/>
  <c r="AH101" i="2" s="1"/>
  <c r="AF97" i="2"/>
  <c r="AF101" i="2" s="1"/>
  <c r="AE97" i="2"/>
  <c r="AE101" i="2" s="1"/>
  <c r="AE28" i="2" s="1"/>
  <c r="AD97" i="2"/>
  <c r="AD101" i="2" s="1"/>
  <c r="AC97" i="2"/>
  <c r="AC101" i="2" s="1"/>
  <c r="AA97" i="2"/>
  <c r="AA101" i="2" s="1"/>
  <c r="AA28" i="2" s="1"/>
  <c r="Z97" i="2"/>
  <c r="Z101" i="2" s="1"/>
  <c r="Z28" i="2" s="1"/>
  <c r="Y97" i="2"/>
  <c r="Y101" i="2" s="1"/>
  <c r="X97" i="2"/>
  <c r="X101" i="2" s="1"/>
  <c r="X28" i="2" s="1"/>
  <c r="V97" i="2"/>
  <c r="V101" i="2" s="1"/>
  <c r="V28" i="2" s="1"/>
  <c r="U97" i="2"/>
  <c r="U101" i="2" s="1"/>
  <c r="U28" i="2" s="1"/>
  <c r="T97" i="2"/>
  <c r="T101" i="2" s="1"/>
  <c r="T28" i="2" s="1"/>
  <c r="S97" i="2"/>
  <c r="S101" i="2" s="1"/>
  <c r="S28" i="2" s="1"/>
  <c r="Q97" i="2"/>
  <c r="Q101" i="2" s="1"/>
  <c r="Q28" i="2" s="1"/>
  <c r="P97" i="2"/>
  <c r="P101" i="2" s="1"/>
  <c r="P28" i="2" s="1"/>
  <c r="O97" i="2"/>
  <c r="O101" i="2" s="1"/>
  <c r="O28" i="2" s="1"/>
  <c r="N97" i="2"/>
  <c r="N101" i="2" s="1"/>
  <c r="N28" i="2" s="1"/>
  <c r="L97" i="2"/>
  <c r="L101" i="2" s="1"/>
  <c r="K97" i="2"/>
  <c r="K101" i="2" s="1"/>
  <c r="J97" i="2"/>
  <c r="J101" i="2" s="1"/>
  <c r="I97" i="2"/>
  <c r="I101" i="2" s="1"/>
  <c r="I28" i="2" s="1"/>
  <c r="G97" i="2"/>
  <c r="G101" i="2" s="1"/>
  <c r="F97" i="2"/>
  <c r="F101" i="2" s="1"/>
  <c r="F28" i="2" s="1"/>
  <c r="E97" i="2"/>
  <c r="E101" i="2" s="1"/>
  <c r="D97" i="2"/>
  <c r="D101" i="2" s="1"/>
  <c r="AY94" i="2"/>
  <c r="AX94" i="2"/>
  <c r="AW94" i="2"/>
  <c r="AU94" i="2"/>
  <c r="AR94" i="2"/>
  <c r="AP94" i="2"/>
  <c r="AQ94" i="2" s="1"/>
  <c r="AL94" i="2"/>
  <c r="AG94" i="2"/>
  <c r="AB94" i="2"/>
  <c r="W94" i="2"/>
  <c r="R94" i="2"/>
  <c r="M94" i="2"/>
  <c r="H94" i="2"/>
  <c r="AY93" i="2"/>
  <c r="AX93" i="2"/>
  <c r="AW93" i="2"/>
  <c r="AU93" i="2"/>
  <c r="AT93" i="2"/>
  <c r="AT95" i="2" s="1"/>
  <c r="AT26" i="2" s="1"/>
  <c r="AS93" i="2"/>
  <c r="AS95" i="2" s="1"/>
  <c r="AS26" i="2" s="1"/>
  <c r="AR93" i="2"/>
  <c r="AP93" i="2"/>
  <c r="AO93" i="2"/>
  <c r="AO95" i="2" s="1"/>
  <c r="AO26" i="2" s="1"/>
  <c r="AN93" i="2"/>
  <c r="AN95" i="2" s="1"/>
  <c r="AM93" i="2"/>
  <c r="AM95" i="2" s="1"/>
  <c r="AK93" i="2"/>
  <c r="AK95" i="2" s="1"/>
  <c r="AJ93" i="2"/>
  <c r="AJ95" i="2" s="1"/>
  <c r="AI93" i="2"/>
  <c r="AI95" i="2" s="1"/>
  <c r="AH93" i="2"/>
  <c r="AH95" i="2" s="1"/>
  <c r="AH26" i="2" s="1"/>
  <c r="AF93" i="2"/>
  <c r="AF95" i="2" s="1"/>
  <c r="AF26" i="2" s="1"/>
  <c r="AE93" i="2"/>
  <c r="AE95" i="2" s="1"/>
  <c r="AE26" i="2" s="1"/>
  <c r="AD93" i="2"/>
  <c r="AD95" i="2" s="1"/>
  <c r="AD26" i="2" s="1"/>
  <c r="AC93" i="2"/>
  <c r="AC95" i="2" s="1"/>
  <c r="AC26" i="2" s="1"/>
  <c r="AA93" i="2"/>
  <c r="AA95" i="2" s="1"/>
  <c r="AA26" i="2" s="1"/>
  <c r="Z93" i="2"/>
  <c r="Z95" i="2" s="1"/>
  <c r="Z26" i="2" s="1"/>
  <c r="Y93" i="2"/>
  <c r="Y95" i="2" s="1"/>
  <c r="Y26" i="2" s="1"/>
  <c r="X93" i="2"/>
  <c r="X95" i="2" s="1"/>
  <c r="X26" i="2" s="1"/>
  <c r="V93" i="2"/>
  <c r="V95" i="2" s="1"/>
  <c r="V26" i="2" s="1"/>
  <c r="U93" i="2"/>
  <c r="U95" i="2" s="1"/>
  <c r="U26" i="2" s="1"/>
  <c r="T93" i="2"/>
  <c r="T95" i="2" s="1"/>
  <c r="T26" i="2" s="1"/>
  <c r="S93" i="2"/>
  <c r="S95" i="2" s="1"/>
  <c r="S26" i="2" s="1"/>
  <c r="Q93" i="2"/>
  <c r="Q95" i="2" s="1"/>
  <c r="Q26" i="2" s="1"/>
  <c r="P93" i="2"/>
  <c r="P95" i="2" s="1"/>
  <c r="P26" i="2" s="1"/>
  <c r="O93" i="2"/>
  <c r="O95" i="2" s="1"/>
  <c r="O26" i="2" s="1"/>
  <c r="N93" i="2"/>
  <c r="N95" i="2" s="1"/>
  <c r="L93" i="2"/>
  <c r="L95" i="2" s="1"/>
  <c r="K93" i="2"/>
  <c r="K95" i="2" s="1"/>
  <c r="J93" i="2"/>
  <c r="J95" i="2" s="1"/>
  <c r="J26" i="2" s="1"/>
  <c r="I93" i="2"/>
  <c r="I95" i="2" s="1"/>
  <c r="G93" i="2"/>
  <c r="G95" i="2" s="1"/>
  <c r="G26" i="2" s="1"/>
  <c r="F93" i="2"/>
  <c r="F95" i="2" s="1"/>
  <c r="F26" i="2" s="1"/>
  <c r="E93" i="2"/>
  <c r="E95" i="2" s="1"/>
  <c r="E26" i="2" s="1"/>
  <c r="D93" i="2"/>
  <c r="D95" i="2" s="1"/>
  <c r="D26" i="2" s="1"/>
  <c r="AY90" i="2"/>
  <c r="AX90" i="2"/>
  <c r="AW90" i="2"/>
  <c r="AU90" i="2"/>
  <c r="AR90" i="2"/>
  <c r="AP90" i="2"/>
  <c r="AQ90" i="2" s="1"/>
  <c r="AL90" i="2"/>
  <c r="AG90" i="2"/>
  <c r="AB90" i="2"/>
  <c r="W90" i="2"/>
  <c r="R90" i="2"/>
  <c r="M90" i="2"/>
  <c r="H90" i="2"/>
  <c r="AY89" i="2"/>
  <c r="AX89" i="2"/>
  <c r="AW89" i="2"/>
  <c r="AU89" i="2"/>
  <c r="AT89" i="2"/>
  <c r="AT91" i="2" s="1"/>
  <c r="AT27" i="2" s="1"/>
  <c r="AS89" i="2"/>
  <c r="AS91" i="2" s="1"/>
  <c r="AS27" i="2" s="1"/>
  <c r="AR89" i="2"/>
  <c r="AP89" i="2"/>
  <c r="AO89" i="2"/>
  <c r="AO91" i="2" s="1"/>
  <c r="AO27" i="2" s="1"/>
  <c r="AN89" i="2"/>
  <c r="AN91" i="2" s="1"/>
  <c r="AN27" i="2" s="1"/>
  <c r="AM89" i="2"/>
  <c r="AM91" i="2" s="1"/>
  <c r="AK89" i="2"/>
  <c r="AK91" i="2" s="1"/>
  <c r="AJ89" i="2"/>
  <c r="AJ91" i="2" s="1"/>
  <c r="AJ27" i="2" s="1"/>
  <c r="AI89" i="2"/>
  <c r="AI91" i="2" s="1"/>
  <c r="AI27" i="2" s="1"/>
  <c r="AH89" i="2"/>
  <c r="AH91" i="2" s="1"/>
  <c r="AF89" i="2"/>
  <c r="AF91" i="2" s="1"/>
  <c r="AF27" i="2" s="1"/>
  <c r="AE89" i="2"/>
  <c r="AE91" i="2" s="1"/>
  <c r="AE27" i="2" s="1"/>
  <c r="AD89" i="2"/>
  <c r="AD91" i="2" s="1"/>
  <c r="AD27" i="2" s="1"/>
  <c r="AC89" i="2"/>
  <c r="AC91" i="2" s="1"/>
  <c r="AC27" i="2" s="1"/>
  <c r="AA89" i="2"/>
  <c r="AA91" i="2" s="1"/>
  <c r="AA27" i="2" s="1"/>
  <c r="Z89" i="2"/>
  <c r="Z91" i="2" s="1"/>
  <c r="Z27" i="2" s="1"/>
  <c r="Y89" i="2"/>
  <c r="Y91" i="2" s="1"/>
  <c r="X89" i="2"/>
  <c r="X91" i="2" s="1"/>
  <c r="X27" i="2" s="1"/>
  <c r="V89" i="2"/>
  <c r="V91" i="2" s="1"/>
  <c r="V27" i="2" s="1"/>
  <c r="U89" i="2"/>
  <c r="U91" i="2" s="1"/>
  <c r="U27" i="2" s="1"/>
  <c r="T89" i="2"/>
  <c r="T91" i="2" s="1"/>
  <c r="T27" i="2" s="1"/>
  <c r="S89" i="2"/>
  <c r="S91" i="2" s="1"/>
  <c r="S27" i="2" s="1"/>
  <c r="Q89" i="2"/>
  <c r="Q91" i="2" s="1"/>
  <c r="Q27" i="2" s="1"/>
  <c r="P89" i="2"/>
  <c r="P91" i="2" s="1"/>
  <c r="P27" i="2" s="1"/>
  <c r="O89" i="2"/>
  <c r="O91" i="2" s="1"/>
  <c r="N89" i="2"/>
  <c r="N91" i="2" s="1"/>
  <c r="L89" i="2"/>
  <c r="L91" i="2" s="1"/>
  <c r="L27" i="2" s="1"/>
  <c r="K89" i="2"/>
  <c r="K91" i="2" s="1"/>
  <c r="K27" i="2" s="1"/>
  <c r="J89" i="2"/>
  <c r="J91" i="2" s="1"/>
  <c r="J27" i="2" s="1"/>
  <c r="I89" i="2"/>
  <c r="I91" i="2" s="1"/>
  <c r="I27" i="2" s="1"/>
  <c r="G89" i="2"/>
  <c r="G91" i="2" s="1"/>
  <c r="G27" i="2" s="1"/>
  <c r="F89" i="2"/>
  <c r="F91" i="2" s="1"/>
  <c r="F27" i="2" s="1"/>
  <c r="E89" i="2"/>
  <c r="E91" i="2" s="1"/>
  <c r="E27" i="2" s="1"/>
  <c r="D89" i="2"/>
  <c r="D91" i="2" s="1"/>
  <c r="AY86" i="2"/>
  <c r="AX86" i="2"/>
  <c r="AW86" i="2"/>
  <c r="AU86" i="2"/>
  <c r="AR86" i="2"/>
  <c r="AP86" i="2"/>
  <c r="AQ86" i="2" s="1"/>
  <c r="AL86" i="2"/>
  <c r="AG86" i="2"/>
  <c r="AB86" i="2"/>
  <c r="W86" i="2"/>
  <c r="R86" i="2"/>
  <c r="M86" i="2"/>
  <c r="H86" i="2"/>
  <c r="AY85" i="2"/>
  <c r="AX85" i="2"/>
  <c r="AW85" i="2"/>
  <c r="AU85" i="2"/>
  <c r="AT85" i="2"/>
  <c r="AT87" i="2" s="1"/>
  <c r="AT24" i="2" s="1"/>
  <c r="AS85" i="2"/>
  <c r="AS87" i="2" s="1"/>
  <c r="AS24" i="2" s="1"/>
  <c r="AR85" i="2"/>
  <c r="AP85" i="2"/>
  <c r="AO85" i="2"/>
  <c r="AO87" i="2" s="1"/>
  <c r="AN85" i="2"/>
  <c r="AN87" i="2" s="1"/>
  <c r="AM85" i="2"/>
  <c r="AM87" i="2" s="1"/>
  <c r="AM24" i="2" s="1"/>
  <c r="AK85" i="2"/>
  <c r="AK87" i="2" s="1"/>
  <c r="AK24" i="2" s="1"/>
  <c r="AJ85" i="2"/>
  <c r="AJ87" i="2" s="1"/>
  <c r="AJ24" i="2" s="1"/>
  <c r="AI85" i="2"/>
  <c r="AI87" i="2" s="1"/>
  <c r="AI24" i="2" s="1"/>
  <c r="AH85" i="2"/>
  <c r="AH87" i="2" s="1"/>
  <c r="AH24" i="2" s="1"/>
  <c r="AF85" i="2"/>
  <c r="AF87" i="2" s="1"/>
  <c r="AF24" i="2" s="1"/>
  <c r="AE85" i="2"/>
  <c r="AE87" i="2" s="1"/>
  <c r="AE24" i="2" s="1"/>
  <c r="AD85" i="2"/>
  <c r="AD87" i="2" s="1"/>
  <c r="AC85" i="2"/>
  <c r="AC87" i="2" s="1"/>
  <c r="AC24" i="2" s="1"/>
  <c r="AA85" i="2"/>
  <c r="AA87" i="2" s="1"/>
  <c r="Z85" i="2"/>
  <c r="Z87" i="2" s="1"/>
  <c r="Z24" i="2" s="1"/>
  <c r="Y85" i="2"/>
  <c r="Y87" i="2" s="1"/>
  <c r="Y24" i="2" s="1"/>
  <c r="X85" i="2"/>
  <c r="X87" i="2" s="1"/>
  <c r="X24" i="2" s="1"/>
  <c r="V85" i="2"/>
  <c r="V87" i="2" s="1"/>
  <c r="V24" i="2" s="1"/>
  <c r="U85" i="2"/>
  <c r="U87" i="2" s="1"/>
  <c r="U24" i="2" s="1"/>
  <c r="T85" i="2"/>
  <c r="T87" i="2" s="1"/>
  <c r="S85" i="2"/>
  <c r="S87" i="2" s="1"/>
  <c r="Q85" i="2"/>
  <c r="Q87" i="2" s="1"/>
  <c r="Q24" i="2" s="1"/>
  <c r="P85" i="2"/>
  <c r="P87" i="2" s="1"/>
  <c r="P24" i="2" s="1"/>
  <c r="O85" i="2"/>
  <c r="O87" i="2" s="1"/>
  <c r="O24" i="2" s="1"/>
  <c r="N85" i="2"/>
  <c r="N87" i="2" s="1"/>
  <c r="N24" i="2" s="1"/>
  <c r="L85" i="2"/>
  <c r="L87" i="2" s="1"/>
  <c r="L24" i="2" s="1"/>
  <c r="K85" i="2"/>
  <c r="K87" i="2" s="1"/>
  <c r="K24" i="2" s="1"/>
  <c r="J85" i="2"/>
  <c r="J87" i="2" s="1"/>
  <c r="J24" i="2" s="1"/>
  <c r="I85" i="2"/>
  <c r="I87" i="2" s="1"/>
  <c r="I24" i="2" s="1"/>
  <c r="G85" i="2"/>
  <c r="G87" i="2" s="1"/>
  <c r="G24" i="2" s="1"/>
  <c r="F85" i="2"/>
  <c r="F87" i="2" s="1"/>
  <c r="F24" i="2" s="1"/>
  <c r="E85" i="2"/>
  <c r="E87" i="2" s="1"/>
  <c r="E24" i="2" s="1"/>
  <c r="D85" i="2"/>
  <c r="D87" i="2" s="1"/>
  <c r="AV81" i="2"/>
  <c r="AQ81" i="2"/>
  <c r="AV80" i="2"/>
  <c r="AQ80" i="2"/>
  <c r="AW71" i="2"/>
  <c r="BA71" i="2" s="1"/>
  <c r="AV71" i="2"/>
  <c r="AQ71" i="2"/>
  <c r="AL71" i="2"/>
  <c r="AG71" i="2"/>
  <c r="AB71" i="2"/>
  <c r="W71" i="2"/>
  <c r="H71" i="2"/>
  <c r="AW70" i="2"/>
  <c r="AU70" i="2"/>
  <c r="AU112" i="2" s="1"/>
  <c r="AU114" i="2" s="1"/>
  <c r="AU34" i="2" s="1"/>
  <c r="AQ70" i="2"/>
  <c r="AL70" i="2"/>
  <c r="AL112" i="2" s="1"/>
  <c r="AG70" i="2"/>
  <c r="AG112" i="2" s="1"/>
  <c r="AB70" i="2"/>
  <c r="AB112" i="2" s="1"/>
  <c r="W70" i="2"/>
  <c r="W112" i="2" s="1"/>
  <c r="R70" i="2"/>
  <c r="R112" i="2" s="1"/>
  <c r="M70" i="2"/>
  <c r="M112" i="2" s="1"/>
  <c r="H70" i="2"/>
  <c r="H112" i="2" s="1"/>
  <c r="AV68" i="2"/>
  <c r="AL68" i="2"/>
  <c r="AG68" i="2"/>
  <c r="AB68" i="2"/>
  <c r="W68" i="2"/>
  <c r="R68" i="2"/>
  <c r="M68" i="2"/>
  <c r="H68" i="2"/>
  <c r="AY67" i="2"/>
  <c r="AY107" i="2" s="1"/>
  <c r="AY110" i="2" s="1"/>
  <c r="AX67" i="2"/>
  <c r="AX107" i="2" s="1"/>
  <c r="AX110" i="2" s="1"/>
  <c r="AW67" i="2"/>
  <c r="AW31" i="2" s="1"/>
  <c r="AU67" i="2"/>
  <c r="AU107" i="2" s="1"/>
  <c r="AU110" i="2" s="1"/>
  <c r="AR67" i="2"/>
  <c r="AR107" i="2" s="1"/>
  <c r="AR110" i="2" s="1"/>
  <c r="AP67" i="2"/>
  <c r="AO67" i="2"/>
  <c r="AO31" i="2" s="1"/>
  <c r="AL67" i="2"/>
  <c r="AG67" i="2"/>
  <c r="AB67" i="2"/>
  <c r="W67" i="2"/>
  <c r="R67" i="2"/>
  <c r="H67" i="2"/>
  <c r="AY66" i="2"/>
  <c r="AY103" i="2" s="1"/>
  <c r="AX66" i="2"/>
  <c r="AX103" i="2" s="1"/>
  <c r="AW66" i="2"/>
  <c r="AU66" i="2"/>
  <c r="AU103" i="2" s="1"/>
  <c r="AS66" i="2"/>
  <c r="AS103" i="2" s="1"/>
  <c r="AS105" i="2" s="1"/>
  <c r="AR66" i="2"/>
  <c r="AR103" i="2" s="1"/>
  <c r="AP66" i="2"/>
  <c r="AP103" i="2" s="1"/>
  <c r="AO66" i="2"/>
  <c r="AO103" i="2" s="1"/>
  <c r="AO105" i="2" s="1"/>
  <c r="AO30" i="2" s="1"/>
  <c r="AL66" i="2"/>
  <c r="AL103" i="2" s="1"/>
  <c r="AL105" i="2" s="1"/>
  <c r="AG66" i="2"/>
  <c r="AG103" i="2" s="1"/>
  <c r="AG105" i="2" s="1"/>
  <c r="AB66" i="2"/>
  <c r="AB103" i="2" s="1"/>
  <c r="W66" i="2"/>
  <c r="W103" i="2" s="1"/>
  <c r="R66" i="2"/>
  <c r="R103" i="2" s="1"/>
  <c r="R105" i="2" s="1"/>
  <c r="I66" i="2"/>
  <c r="I103" i="2" s="1"/>
  <c r="I105" i="2" s="1"/>
  <c r="I30" i="2" s="1"/>
  <c r="H66" i="2"/>
  <c r="H103" i="2" s="1"/>
  <c r="AY64" i="2"/>
  <c r="AY97" i="2" s="1"/>
  <c r="AX64" i="2"/>
  <c r="AX97" i="2" s="1"/>
  <c r="AW64" i="2"/>
  <c r="AT64" i="2"/>
  <c r="AT97" i="2" s="1"/>
  <c r="AS64" i="2"/>
  <c r="AS97" i="2" s="1"/>
  <c r="AR64" i="2"/>
  <c r="AQ64" i="2"/>
  <c r="AL64" i="2"/>
  <c r="AL97" i="2" s="1"/>
  <c r="AG64" i="2"/>
  <c r="AG97" i="2" s="1"/>
  <c r="AB64" i="2"/>
  <c r="AB97" i="2" s="1"/>
  <c r="W64" i="2"/>
  <c r="W97" i="2" s="1"/>
  <c r="R64" i="2"/>
  <c r="R97" i="2" s="1"/>
  <c r="M64" i="2"/>
  <c r="M97" i="2" s="1"/>
  <c r="H64" i="2"/>
  <c r="H97" i="2" s="1"/>
  <c r="AV63" i="2"/>
  <c r="AQ63" i="2"/>
  <c r="AL63" i="2"/>
  <c r="AL89" i="2" s="1"/>
  <c r="AG63" i="2"/>
  <c r="AG89" i="2" s="1"/>
  <c r="AB63" i="2"/>
  <c r="AB89" i="2" s="1"/>
  <c r="W63" i="2"/>
  <c r="W89" i="2" s="1"/>
  <c r="R63" i="2"/>
  <c r="R89" i="2" s="1"/>
  <c r="M63" i="2"/>
  <c r="M89" i="2" s="1"/>
  <c r="H63" i="2"/>
  <c r="H89" i="2" s="1"/>
  <c r="AV62" i="2"/>
  <c r="AQ62" i="2"/>
  <c r="AL62" i="2"/>
  <c r="AL93" i="2" s="1"/>
  <c r="AL95" i="2" s="1"/>
  <c r="AG62" i="2"/>
  <c r="AG93" i="2" s="1"/>
  <c r="AB62" i="2"/>
  <c r="AB93" i="2" s="1"/>
  <c r="AB95" i="2" s="1"/>
  <c r="W62" i="2"/>
  <c r="W93" i="2" s="1"/>
  <c r="W95" i="2" s="1"/>
  <c r="R62" i="2"/>
  <c r="R93" i="2" s="1"/>
  <c r="M62" i="2"/>
  <c r="M93" i="2" s="1"/>
  <c r="H62" i="2"/>
  <c r="H93" i="2" s="1"/>
  <c r="AV60" i="2"/>
  <c r="AQ60" i="2"/>
  <c r="AL60" i="2"/>
  <c r="AL85" i="2" s="1"/>
  <c r="AG60" i="2"/>
  <c r="AG85" i="2" s="1"/>
  <c r="AB60" i="2"/>
  <c r="AB85" i="2" s="1"/>
  <c r="W60" i="2"/>
  <c r="W85" i="2" s="1"/>
  <c r="R60" i="2"/>
  <c r="R85" i="2" s="1"/>
  <c r="M60" i="2"/>
  <c r="M85" i="2" s="1"/>
  <c r="H60" i="2"/>
  <c r="H85" i="2" s="1"/>
  <c r="AY59" i="2"/>
  <c r="AY61" i="2" s="1"/>
  <c r="AX59" i="2"/>
  <c r="AX61" i="2" s="1"/>
  <c r="AW59" i="2"/>
  <c r="AW61" i="2" s="1"/>
  <c r="AW65" i="2" s="1"/>
  <c r="AU59" i="2"/>
  <c r="AU61" i="2" s="1"/>
  <c r="AU65" i="2" s="1"/>
  <c r="AT59" i="2"/>
  <c r="AT61" i="2" s="1"/>
  <c r="AS59" i="2"/>
  <c r="AS61" i="2" s="1"/>
  <c r="AR59" i="2"/>
  <c r="AR61" i="2" s="1"/>
  <c r="AP59" i="2"/>
  <c r="AP61" i="2" s="1"/>
  <c r="AP65" i="2" s="1"/>
  <c r="AO59" i="2"/>
  <c r="AO61" i="2" s="1"/>
  <c r="AO65" i="2" s="1"/>
  <c r="AN59" i="2"/>
  <c r="AN61" i="2" s="1"/>
  <c r="AN65" i="2" s="1"/>
  <c r="AN69" i="2" s="1"/>
  <c r="AN72" i="2" s="1"/>
  <c r="AM59" i="2"/>
  <c r="AM61" i="2" s="1"/>
  <c r="AM65" i="2" s="1"/>
  <c r="AM69" i="2" s="1"/>
  <c r="AM72" i="2" s="1"/>
  <c r="AM77" i="2" s="1"/>
  <c r="AK59" i="2"/>
  <c r="AK61" i="2" s="1"/>
  <c r="AK65" i="2" s="1"/>
  <c r="AK69" i="2" s="1"/>
  <c r="AK72" i="2" s="1"/>
  <c r="AJ59" i="2"/>
  <c r="AJ61" i="2" s="1"/>
  <c r="AJ65" i="2" s="1"/>
  <c r="AJ69" i="2" s="1"/>
  <c r="AJ72" i="2" s="1"/>
  <c r="AI59" i="2"/>
  <c r="AI61" i="2" s="1"/>
  <c r="AI65" i="2" s="1"/>
  <c r="AI69" i="2" s="1"/>
  <c r="AI72" i="2" s="1"/>
  <c r="AH59" i="2"/>
  <c r="AH61" i="2" s="1"/>
  <c r="AF59" i="2"/>
  <c r="AF61" i="2" s="1"/>
  <c r="AF65" i="2" s="1"/>
  <c r="AF69" i="2" s="1"/>
  <c r="AF72" i="2" s="1"/>
  <c r="AE59" i="2"/>
  <c r="AE61" i="2" s="1"/>
  <c r="AE65" i="2" s="1"/>
  <c r="AE69" i="2" s="1"/>
  <c r="AE72" i="2" s="1"/>
  <c r="AD59" i="2"/>
  <c r="AD61" i="2" s="1"/>
  <c r="AD65" i="2" s="1"/>
  <c r="AD69" i="2" s="1"/>
  <c r="AD72" i="2" s="1"/>
  <c r="AC59" i="2"/>
  <c r="AC61" i="2" s="1"/>
  <c r="AA59" i="2"/>
  <c r="AA61" i="2" s="1"/>
  <c r="AA65" i="2" s="1"/>
  <c r="AA69" i="2" s="1"/>
  <c r="AA72" i="2" s="1"/>
  <c r="Z59" i="2"/>
  <c r="Z61" i="2" s="1"/>
  <c r="Z65" i="2" s="1"/>
  <c r="Z69" i="2" s="1"/>
  <c r="Z72" i="2" s="1"/>
  <c r="Y59" i="2"/>
  <c r="Y61" i="2" s="1"/>
  <c r="Y65" i="2" s="1"/>
  <c r="Y69" i="2" s="1"/>
  <c r="Y72" i="2" s="1"/>
  <c r="X59" i="2"/>
  <c r="X61" i="2" s="1"/>
  <c r="V59" i="2"/>
  <c r="V61" i="2" s="1"/>
  <c r="V65" i="2" s="1"/>
  <c r="V69" i="2" s="1"/>
  <c r="V72" i="2" s="1"/>
  <c r="U59" i="2"/>
  <c r="U61" i="2" s="1"/>
  <c r="U65" i="2" s="1"/>
  <c r="U69" i="2" s="1"/>
  <c r="U72" i="2" s="1"/>
  <c r="T59" i="2"/>
  <c r="T61" i="2" s="1"/>
  <c r="T65" i="2" s="1"/>
  <c r="T69" i="2" s="1"/>
  <c r="T72" i="2" s="1"/>
  <c r="S59" i="2"/>
  <c r="Q59" i="2"/>
  <c r="Q61" i="2" s="1"/>
  <c r="Q65" i="2" s="1"/>
  <c r="Q69" i="2" s="1"/>
  <c r="P59" i="2"/>
  <c r="P61" i="2" s="1"/>
  <c r="P65" i="2" s="1"/>
  <c r="P69" i="2" s="1"/>
  <c r="O59" i="2"/>
  <c r="O61" i="2" s="1"/>
  <c r="O65" i="2" s="1"/>
  <c r="O69" i="2" s="1"/>
  <c r="N59" i="2"/>
  <c r="N61" i="2" s="1"/>
  <c r="N65" i="2" s="1"/>
  <c r="N69" i="2" s="1"/>
  <c r="L59" i="2"/>
  <c r="L61" i="2" s="1"/>
  <c r="L65" i="2" s="1"/>
  <c r="L69" i="2" s="1"/>
  <c r="K59" i="2"/>
  <c r="K61" i="2" s="1"/>
  <c r="K65" i="2" s="1"/>
  <c r="K69" i="2" s="1"/>
  <c r="J59" i="2"/>
  <c r="J61" i="2" s="1"/>
  <c r="J65" i="2" s="1"/>
  <c r="J69" i="2" s="1"/>
  <c r="I59" i="2"/>
  <c r="G59" i="2"/>
  <c r="G61" i="2" s="1"/>
  <c r="G65" i="2" s="1"/>
  <c r="G69" i="2" s="1"/>
  <c r="G72" i="2" s="1"/>
  <c r="F59" i="2"/>
  <c r="F61" i="2" s="1"/>
  <c r="F65" i="2" s="1"/>
  <c r="F69" i="2" s="1"/>
  <c r="F72" i="2" s="1"/>
  <c r="E59" i="2"/>
  <c r="E61" i="2" s="1"/>
  <c r="E65" i="2" s="1"/>
  <c r="E69" i="2" s="1"/>
  <c r="E72" i="2" s="1"/>
  <c r="D59" i="2"/>
  <c r="D61" i="2" s="1"/>
  <c r="AV58" i="2"/>
  <c r="AQ58" i="2"/>
  <c r="AL58" i="2"/>
  <c r="AG58" i="2"/>
  <c r="AB58" i="2"/>
  <c r="W58" i="2"/>
  <c r="R58" i="2"/>
  <c r="M58" i="2"/>
  <c r="H58" i="2"/>
  <c r="AV57" i="2"/>
  <c r="AQ57" i="2"/>
  <c r="AL57" i="2"/>
  <c r="AG57" i="2"/>
  <c r="AB57" i="2"/>
  <c r="W57" i="2"/>
  <c r="R57" i="2"/>
  <c r="M57" i="2"/>
  <c r="H57" i="2"/>
  <c r="AY43" i="2"/>
  <c r="AX43" i="2"/>
  <c r="AW43" i="2"/>
  <c r="AU43" i="2"/>
  <c r="AT43" i="2"/>
  <c r="AS43" i="2"/>
  <c r="AR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AY35" i="2"/>
  <c r="AX35" i="2"/>
  <c r="AU35" i="2"/>
  <c r="AT35" i="2"/>
  <c r="AS35" i="2"/>
  <c r="AR35" i="2"/>
  <c r="AP35" i="2"/>
  <c r="AO35" i="2"/>
  <c r="AN35" i="2"/>
  <c r="AM35" i="2"/>
  <c r="AK35" i="2"/>
  <c r="AJ35" i="2"/>
  <c r="AI35" i="2"/>
  <c r="AH35" i="2"/>
  <c r="AF35" i="2"/>
  <c r="AE35" i="2"/>
  <c r="AD35" i="2"/>
  <c r="AC35" i="2"/>
  <c r="AA35" i="2"/>
  <c r="Z35" i="2"/>
  <c r="Y35" i="2"/>
  <c r="X35" i="2"/>
  <c r="V35" i="2"/>
  <c r="U35" i="2"/>
  <c r="T35" i="2"/>
  <c r="S35" i="2"/>
  <c r="G35" i="2"/>
  <c r="F35" i="2"/>
  <c r="E35" i="2"/>
  <c r="D35" i="2"/>
  <c r="AY34" i="2"/>
  <c r="AX34" i="2"/>
  <c r="AT34" i="2"/>
  <c r="AH34" i="2"/>
  <c r="AE34" i="2"/>
  <c r="AA34" i="2"/>
  <c r="X34" i="2"/>
  <c r="K34" i="2"/>
  <c r="J34" i="2"/>
  <c r="G34" i="2"/>
  <c r="F34" i="2"/>
  <c r="E34" i="2"/>
  <c r="AY32" i="2"/>
  <c r="AX32" i="2"/>
  <c r="AW32" i="2"/>
  <c r="AU32" i="2"/>
  <c r="AT32" i="2"/>
  <c r="AS32" i="2"/>
  <c r="AR32" i="2"/>
  <c r="AP32" i="2"/>
  <c r="AN32" i="2"/>
  <c r="AM32" i="2"/>
  <c r="AK32" i="2"/>
  <c r="AJ32" i="2"/>
  <c r="AI32" i="2"/>
  <c r="AH32" i="2"/>
  <c r="AF32" i="2"/>
  <c r="AE32" i="2"/>
  <c r="AD32" i="2"/>
  <c r="AC32" i="2"/>
  <c r="AA32" i="2"/>
  <c r="Z32" i="2"/>
  <c r="Y32" i="2"/>
  <c r="X32" i="2"/>
  <c r="V32" i="2"/>
  <c r="U32" i="2"/>
  <c r="T32" i="2"/>
  <c r="S32" i="2"/>
  <c r="Q32" i="2"/>
  <c r="P32" i="2"/>
  <c r="O32" i="2"/>
  <c r="N32" i="2"/>
  <c r="L32" i="2"/>
  <c r="K32" i="2"/>
  <c r="J32" i="2"/>
  <c r="I32" i="2"/>
  <c r="G32" i="2"/>
  <c r="F32" i="2"/>
  <c r="E32" i="2"/>
  <c r="D32" i="2"/>
  <c r="AT31" i="2"/>
  <c r="AS31" i="2"/>
  <c r="AN31" i="2"/>
  <c r="AM31" i="2"/>
  <c r="AK31" i="2"/>
  <c r="AJ31" i="2"/>
  <c r="AI31" i="2"/>
  <c r="AH31" i="2"/>
  <c r="AF31" i="2"/>
  <c r="AE31" i="2"/>
  <c r="AD31" i="2"/>
  <c r="AC31" i="2"/>
  <c r="AA31" i="2"/>
  <c r="Z31" i="2"/>
  <c r="Y31" i="2"/>
  <c r="X31" i="2"/>
  <c r="V31" i="2"/>
  <c r="U31" i="2"/>
  <c r="T31" i="2"/>
  <c r="S31" i="2"/>
  <c r="Q31" i="2"/>
  <c r="P31" i="2"/>
  <c r="O31" i="2"/>
  <c r="N31" i="2"/>
  <c r="L31" i="2"/>
  <c r="K31" i="2"/>
  <c r="J31" i="2"/>
  <c r="G31" i="2"/>
  <c r="F31" i="2"/>
  <c r="E31" i="2"/>
  <c r="D31" i="2"/>
  <c r="AS30" i="2"/>
  <c r="AN30" i="2"/>
  <c r="AC30" i="2"/>
  <c r="Z30" i="2"/>
  <c r="Y30" i="2"/>
  <c r="X30" i="2"/>
  <c r="U30" i="2"/>
  <c r="T30" i="2"/>
  <c r="K30" i="2"/>
  <c r="J30" i="2"/>
  <c r="G30" i="2"/>
  <c r="F30" i="2"/>
  <c r="E30" i="2"/>
  <c r="AI28" i="2"/>
  <c r="AH28" i="2"/>
  <c r="AF28" i="2"/>
  <c r="AD28" i="2"/>
  <c r="AC28" i="2"/>
  <c r="Y28" i="2"/>
  <c r="L28" i="2"/>
  <c r="K28" i="2"/>
  <c r="J28" i="2"/>
  <c r="G28" i="2"/>
  <c r="E28" i="2"/>
  <c r="D28" i="2"/>
  <c r="AM27" i="2"/>
  <c r="AK27" i="2"/>
  <c r="AH27" i="2"/>
  <c r="Y27" i="2"/>
  <c r="O27" i="2"/>
  <c r="N27" i="2"/>
  <c r="D27" i="2"/>
  <c r="AN26" i="2"/>
  <c r="AM26" i="2"/>
  <c r="AK26" i="2"/>
  <c r="AJ26" i="2"/>
  <c r="AI26" i="2"/>
  <c r="N26" i="2"/>
  <c r="L26" i="2"/>
  <c r="K26" i="2"/>
  <c r="I26" i="2"/>
  <c r="AO24" i="2"/>
  <c r="AN24" i="2"/>
  <c r="AD24" i="2"/>
  <c r="AA24" i="2"/>
  <c r="T24" i="2"/>
  <c r="S24" i="2"/>
  <c r="D24" i="2"/>
  <c r="BT23" i="2"/>
  <c r="S36" i="12" s="1"/>
  <c r="BS23" i="2"/>
  <c r="R36" i="12" s="1"/>
  <c r="BR23" i="2"/>
  <c r="Q36" i="12" s="1"/>
  <c r="BQ23" i="2"/>
  <c r="P36" i="12" s="1"/>
  <c r="BP23" i="2"/>
  <c r="O36" i="12" s="1"/>
  <c r="BO23" i="2"/>
  <c r="BN23" i="2"/>
  <c r="BM23" i="2"/>
  <c r="BL23" i="2"/>
  <c r="BK23" i="2"/>
  <c r="BJ23" i="2"/>
  <c r="BI23" i="2"/>
  <c r="W16" i="12" s="1"/>
  <c r="BH23" i="2"/>
  <c r="V16" i="12" s="1"/>
  <c r="BG23" i="2"/>
  <c r="U16" i="12" s="1"/>
  <c r="BF23" i="2"/>
  <c r="AY22" i="2"/>
  <c r="AX22" i="2"/>
  <c r="AW22" i="2"/>
  <c r="AU22" i="2"/>
  <c r="AT22" i="2"/>
  <c r="AS22" i="2"/>
  <c r="AR22" i="2"/>
  <c r="AP22" i="2"/>
  <c r="AF22" i="2"/>
  <c r="AE22" i="2"/>
  <c r="AD22" i="2"/>
  <c r="AC22" i="2"/>
  <c r="AA22" i="2"/>
  <c r="Z22" i="2"/>
  <c r="Y22" i="2"/>
  <c r="X22" i="2"/>
  <c r="V22" i="2"/>
  <c r="U22" i="2"/>
  <c r="T22" i="2"/>
  <c r="S22" i="2"/>
  <c r="Q22" i="2"/>
  <c r="P22" i="2"/>
  <c r="O22" i="2"/>
  <c r="N22" i="2"/>
  <c r="L22" i="2"/>
  <c r="K22" i="2"/>
  <c r="J22" i="2"/>
  <c r="I22" i="2"/>
  <c r="G22" i="2"/>
  <c r="F22" i="2"/>
  <c r="E22" i="2"/>
  <c r="D22" i="2"/>
  <c r="AY21" i="2"/>
  <c r="AX21" i="2"/>
  <c r="AW21" i="2"/>
  <c r="AU21" i="2"/>
  <c r="AT21" i="2"/>
  <c r="AS21" i="2"/>
  <c r="AR21" i="2"/>
  <c r="AP21" i="2"/>
  <c r="AF21" i="2"/>
  <c r="AE21" i="2"/>
  <c r="AD21" i="2"/>
  <c r="AC21" i="2"/>
  <c r="AA21" i="2"/>
  <c r="Z21" i="2"/>
  <c r="Y21" i="2"/>
  <c r="X21" i="2"/>
  <c r="V21" i="2"/>
  <c r="U21" i="2"/>
  <c r="T21" i="2"/>
  <c r="S21" i="2"/>
  <c r="Q21" i="2"/>
  <c r="P21" i="2"/>
  <c r="O21" i="2"/>
  <c r="N21" i="2"/>
  <c r="L21" i="2"/>
  <c r="K21" i="2"/>
  <c r="J21" i="2"/>
  <c r="I21" i="2"/>
  <c r="G21" i="2"/>
  <c r="F21" i="2"/>
  <c r="E21" i="2"/>
  <c r="D21" i="2"/>
  <c r="AZ3" i="2"/>
  <c r="BJ4" i="6" s="1"/>
  <c r="AY65" i="2" l="1"/>
  <c r="AL101" i="2"/>
  <c r="AT101" i="2"/>
  <c r="AT28" i="2" s="1"/>
  <c r="AU31" i="2"/>
  <c r="AY31" i="2"/>
  <c r="AL91" i="2"/>
  <c r="AS65" i="2"/>
  <c r="AS69" i="2" s="1"/>
  <c r="AS72" i="2" s="1"/>
  <c r="AU91" i="2"/>
  <c r="AU27" i="2" s="1"/>
  <c r="AY105" i="2"/>
  <c r="AY30" i="2" s="1"/>
  <c r="AG91" i="2"/>
  <c r="BQ3" i="2"/>
  <c r="CA4" i="6" s="1"/>
  <c r="BB29" i="2"/>
  <c r="BB39" i="2" s="1"/>
  <c r="H91" i="2"/>
  <c r="AC23" i="2"/>
  <c r="AC3" i="2" s="1"/>
  <c r="AM4" i="6" s="1"/>
  <c r="AB87" i="2"/>
  <c r="AX31" i="2"/>
  <c r="BA31" i="2" s="1"/>
  <c r="AW35" i="2"/>
  <c r="BA35" i="2" s="1"/>
  <c r="AR65" i="2"/>
  <c r="AR69" i="2" s="1"/>
  <c r="AR72" i="2" s="1"/>
  <c r="AR77" i="2" s="1"/>
  <c r="R107" i="2"/>
  <c r="R110" i="2" s="1"/>
  <c r="AV94" i="2"/>
  <c r="AV90" i="2"/>
  <c r="BK3" i="2"/>
  <c r="J4" i="5" s="1"/>
  <c r="M87" i="2"/>
  <c r="BO3" i="2"/>
  <c r="N4" i="5" s="1"/>
  <c r="AS23" i="2"/>
  <c r="AS51" i="2" s="1"/>
  <c r="D23" i="2"/>
  <c r="D3" i="2" s="1"/>
  <c r="N4" i="6" s="1"/>
  <c r="BA104" i="2"/>
  <c r="J37" i="12"/>
  <c r="BA21" i="2"/>
  <c r="AR105" i="2"/>
  <c r="AR30" i="2" s="1"/>
  <c r="AL114" i="2"/>
  <c r="AR91" i="2"/>
  <c r="AR27" i="2" s="1"/>
  <c r="AV27" i="2" s="1"/>
  <c r="AQ98" i="2"/>
  <c r="AX87" i="2"/>
  <c r="AX24" i="2" s="1"/>
  <c r="Y16" i="12"/>
  <c r="BG36" i="12"/>
  <c r="J13" i="5" s="1"/>
  <c r="AU101" i="2"/>
  <c r="AU28" i="2" s="1"/>
  <c r="AA16" i="12"/>
  <c r="BI36" i="12"/>
  <c r="L13" i="5" s="1"/>
  <c r="L37" i="12"/>
  <c r="H87" i="2"/>
  <c r="AT105" i="2"/>
  <c r="AT30" i="2" s="1"/>
  <c r="AC16" i="12"/>
  <c r="BK36" i="12"/>
  <c r="N13" i="5" s="1"/>
  <c r="N37" i="12"/>
  <c r="AD16" i="12"/>
  <c r="BL36" i="12"/>
  <c r="O13" i="5" s="1"/>
  <c r="O37" i="12"/>
  <c r="W87" i="2"/>
  <c r="M91" i="2"/>
  <c r="Z16" i="12"/>
  <c r="BH36" i="12"/>
  <c r="K13" i="5" s="1"/>
  <c r="K14" i="5" s="1"/>
  <c r="K37" i="12"/>
  <c r="P37" i="12"/>
  <c r="BM36" i="12"/>
  <c r="P13" i="5" s="1"/>
  <c r="AE16" i="12"/>
  <c r="AS101" i="2"/>
  <c r="AS28" i="2" s="1"/>
  <c r="AF16" i="12"/>
  <c r="BN36" i="12"/>
  <c r="Q13" i="5" s="1"/>
  <c r="Q37" i="12"/>
  <c r="AB16" i="12"/>
  <c r="BJ36" i="12"/>
  <c r="M13" i="5" s="1"/>
  <c r="M37" i="12"/>
  <c r="AG16" i="12"/>
  <c r="BO36" i="12"/>
  <c r="R13" i="5" s="1"/>
  <c r="R37" i="12"/>
  <c r="AX105" i="2"/>
  <c r="AX30" i="2" s="1"/>
  <c r="S37" i="12"/>
  <c r="BP36" i="12"/>
  <c r="S13" i="5" s="1"/>
  <c r="AH16" i="12"/>
  <c r="AX101" i="2"/>
  <c r="AX28" i="2" s="1"/>
  <c r="AW14" i="12"/>
  <c r="AF106" i="12"/>
  <c r="AF123" i="12" s="1"/>
  <c r="AF125" i="12" s="1"/>
  <c r="AG74" i="12"/>
  <c r="AG106" i="12"/>
  <c r="AG123" i="12" s="1"/>
  <c r="AG125" i="12" s="1"/>
  <c r="AG86" i="12"/>
  <c r="AG93" i="12"/>
  <c r="AH91" i="12"/>
  <c r="AH83" i="12"/>
  <c r="AI82" i="12"/>
  <c r="X16" i="12"/>
  <c r="BF36" i="12"/>
  <c r="I13" i="5" s="1"/>
  <c r="D87" i="12"/>
  <c r="D97" i="12" s="1"/>
  <c r="G37" i="12"/>
  <c r="AZ48" i="2"/>
  <c r="AZ29" i="2"/>
  <c r="AZ39" i="2" s="1"/>
  <c r="M20" i="6"/>
  <c r="BS3" i="2"/>
  <c r="R4" i="5" s="1"/>
  <c r="AT65" i="2"/>
  <c r="AT69" i="2" s="1"/>
  <c r="AT72" i="2" s="1"/>
  <c r="AT77" i="2" s="1"/>
  <c r="AG87" i="2"/>
  <c r="AB105" i="2"/>
  <c r="G19" i="3"/>
  <c r="J29" i="3"/>
  <c r="J37" i="3" s="1"/>
  <c r="J38" i="3" s="1"/>
  <c r="L23" i="4"/>
  <c r="R20" i="6"/>
  <c r="R39" i="9"/>
  <c r="N22" i="4"/>
  <c r="E83" i="12"/>
  <c r="BB83" i="12" s="1"/>
  <c r="H20" i="6"/>
  <c r="O22" i="4"/>
  <c r="F83" i="12"/>
  <c r="BC83" i="12" s="1"/>
  <c r="H19" i="3"/>
  <c r="L20" i="6"/>
  <c r="L21" i="6" s="1"/>
  <c r="W20" i="6"/>
  <c r="BH34" i="6"/>
  <c r="R41" i="9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AJ41" i="9" s="1"/>
  <c r="AJ15" i="9" s="1"/>
  <c r="E91" i="12"/>
  <c r="O31" i="3"/>
  <c r="O28" i="3"/>
  <c r="E86" i="12"/>
  <c r="BB86" i="12" s="1"/>
  <c r="H101" i="2"/>
  <c r="L37" i="3"/>
  <c r="L38" i="3" s="1"/>
  <c r="F23" i="2"/>
  <c r="F50" i="2" s="1"/>
  <c r="AR23" i="2"/>
  <c r="AR3" i="2" s="1"/>
  <c r="BB4" i="6" s="1"/>
  <c r="I37" i="12"/>
  <c r="AX65" i="2"/>
  <c r="AX69" i="2" s="1"/>
  <c r="AX72" i="2" s="1"/>
  <c r="AX77" i="2" s="1"/>
  <c r="J19" i="3"/>
  <c r="V20" i="6"/>
  <c r="AL20" i="6"/>
  <c r="R13" i="9"/>
  <c r="R46" i="9" s="1"/>
  <c r="E23" i="2"/>
  <c r="E3" i="2" s="1"/>
  <c r="O4" i="6" s="1"/>
  <c r="H37" i="12"/>
  <c r="R4" i="9"/>
  <c r="AY69" i="2"/>
  <c r="AY72" i="2" s="1"/>
  <c r="AY77" i="2" s="1"/>
  <c r="H95" i="2"/>
  <c r="R101" i="2"/>
  <c r="K19" i="3"/>
  <c r="AA20" i="6"/>
  <c r="AA21" i="6" s="1"/>
  <c r="AQ20" i="6"/>
  <c r="AQ21" i="6" s="1"/>
  <c r="BK34" i="6"/>
  <c r="AY23" i="2"/>
  <c r="H114" i="2"/>
  <c r="BG3" i="2"/>
  <c r="O4" i="3" s="1"/>
  <c r="O4" i="4" s="1"/>
  <c r="W35" i="2"/>
  <c r="M95" i="2"/>
  <c r="R91" i="2"/>
  <c r="AY101" i="2"/>
  <c r="AY28" i="2" s="1"/>
  <c r="AG107" i="2"/>
  <c r="AG110" i="2" s="1"/>
  <c r="AP87" i="2"/>
  <c r="AP24" i="2" s="1"/>
  <c r="AQ24" i="2" s="1"/>
  <c r="AX95" i="2"/>
  <c r="AX26" i="2" s="1"/>
  <c r="E23" i="4"/>
  <c r="BA20" i="6"/>
  <c r="AV20" i="6"/>
  <c r="R28" i="6"/>
  <c r="AZ50" i="2"/>
  <c r="AX23" i="2"/>
  <c r="AW69" i="2"/>
  <c r="AW72" i="2" s="1"/>
  <c r="AW76" i="2" s="1"/>
  <c r="Q20" i="6"/>
  <c r="Q21" i="6" s="1"/>
  <c r="BI3" i="2"/>
  <c r="H4" i="5" s="1"/>
  <c r="R95" i="2"/>
  <c r="AB101" i="2"/>
  <c r="H105" i="2"/>
  <c r="AL107" i="2"/>
  <c r="AL110" i="2" s="1"/>
  <c r="AB114" i="2"/>
  <c r="AV104" i="2"/>
  <c r="F23" i="4"/>
  <c r="F40" i="4" s="1"/>
  <c r="BF20" i="6"/>
  <c r="BK21" i="6" s="1"/>
  <c r="BP29" i="6"/>
  <c r="AZ51" i="2"/>
  <c r="AR31" i="2"/>
  <c r="AV31" i="2" s="1"/>
  <c r="AP69" i="2"/>
  <c r="AP72" i="2" s="1"/>
  <c r="AP77" i="2" s="1"/>
  <c r="AB91" i="2"/>
  <c r="AG101" i="2"/>
  <c r="AU105" i="2"/>
  <c r="AU30" i="2" s="1"/>
  <c r="BA94" i="2"/>
  <c r="J34" i="3"/>
  <c r="J36" i="3" s="1"/>
  <c r="AH29" i="6"/>
  <c r="S46" i="9"/>
  <c r="W70" i="9"/>
  <c r="S22" i="9"/>
  <c r="S24" i="9" s="1"/>
  <c r="S31" i="9" s="1"/>
  <c r="R59" i="9"/>
  <c r="W59" i="9" s="1"/>
  <c r="X59" i="9" s="1"/>
  <c r="R65" i="9"/>
  <c r="W65" i="9" s="1"/>
  <c r="X65" i="9" s="1"/>
  <c r="R61" i="9"/>
  <c r="W61" i="9" s="1"/>
  <c r="X61" i="9" s="1"/>
  <c r="Y63" i="9"/>
  <c r="X19" i="9"/>
  <c r="W47" i="12" s="1"/>
  <c r="Y55" i="9"/>
  <c r="Y35" i="9"/>
  <c r="W58" i="12"/>
  <c r="R27" i="9"/>
  <c r="W27" i="9" s="1"/>
  <c r="U36" i="12"/>
  <c r="H39" i="9"/>
  <c r="AB107" i="2"/>
  <c r="AB110" i="2" s="1"/>
  <c r="M26" i="2"/>
  <c r="AB26" i="2"/>
  <c r="AU87" i="2"/>
  <c r="AU24" i="2" s="1"/>
  <c r="BA32" i="2"/>
  <c r="H28" i="2"/>
  <c r="AR87" i="2"/>
  <c r="AR24" i="2" s="1"/>
  <c r="AB24" i="2"/>
  <c r="AY91" i="2"/>
  <c r="AY27" i="2" s="1"/>
  <c r="AQ28" i="2"/>
  <c r="AQ101" i="2" s="1"/>
  <c r="AU95" i="2"/>
  <c r="AU26" i="2" s="1"/>
  <c r="BA90" i="2"/>
  <c r="AB28" i="2"/>
  <c r="M66" i="2"/>
  <c r="M103" i="2" s="1"/>
  <c r="M105" i="2" s="1"/>
  <c r="W107" i="2"/>
  <c r="W110" i="2" s="1"/>
  <c r="AG39" i="9"/>
  <c r="AH39" i="9" s="1"/>
  <c r="AI39" i="9" s="1"/>
  <c r="AJ39" i="9" s="1"/>
  <c r="AK39" i="9" s="1"/>
  <c r="AK14" i="9" s="1"/>
  <c r="H17" i="9"/>
  <c r="H22" i="9" s="1"/>
  <c r="W15" i="9"/>
  <c r="W42" i="9" s="1"/>
  <c r="H4" i="9"/>
  <c r="O18" i="3"/>
  <c r="O15" i="4"/>
  <c r="F104" i="12" s="1"/>
  <c r="O19" i="4"/>
  <c r="K37" i="4"/>
  <c r="G23" i="4"/>
  <c r="H23" i="4"/>
  <c r="K34" i="3"/>
  <c r="K36" i="3" s="1"/>
  <c r="I29" i="3"/>
  <c r="F19" i="3"/>
  <c r="P25" i="3"/>
  <c r="P13" i="3"/>
  <c r="G72" i="12" s="1"/>
  <c r="H34" i="3"/>
  <c r="H36" i="3" s="1"/>
  <c r="D25" i="2"/>
  <c r="D48" i="2" s="1"/>
  <c r="AZ77" i="2"/>
  <c r="AZ76" i="2"/>
  <c r="BM3" i="2"/>
  <c r="U4" i="3" s="1"/>
  <c r="U4" i="4" s="1"/>
  <c r="BM47" i="2"/>
  <c r="AB31" i="2"/>
  <c r="AV66" i="2"/>
  <c r="AB30" i="2"/>
  <c r="BF3" i="2"/>
  <c r="E4" i="5" s="1"/>
  <c r="BN3" i="2"/>
  <c r="BX4" i="6" s="1"/>
  <c r="BN47" i="2"/>
  <c r="AW103" i="2"/>
  <c r="AW105" i="2" s="1"/>
  <c r="AW30" i="2" s="1"/>
  <c r="BA66" i="2"/>
  <c r="BG47" i="2"/>
  <c r="BO47" i="2"/>
  <c r="BA86" i="2"/>
  <c r="BA98" i="2"/>
  <c r="BH3" i="2"/>
  <c r="G4" i="5" s="1"/>
  <c r="BH47" i="2"/>
  <c r="BP3" i="2"/>
  <c r="X4" i="3" s="1"/>
  <c r="X4" i="4" s="1"/>
  <c r="BP47" i="2"/>
  <c r="AG28" i="2"/>
  <c r="AW112" i="2"/>
  <c r="AW114" i="2" s="1"/>
  <c r="AW34" i="2" s="1"/>
  <c r="BA34" i="2" s="1"/>
  <c r="BA114" i="2" s="1"/>
  <c r="BA112" i="2" s="1"/>
  <c r="BA70" i="2"/>
  <c r="BA22" i="2"/>
  <c r="BA23" i="2" s="1"/>
  <c r="BI47" i="2"/>
  <c r="BQ47" i="2"/>
  <c r="AQ66" i="2"/>
  <c r="M30" i="2"/>
  <c r="BJ3" i="2"/>
  <c r="BT4" i="6" s="1"/>
  <c r="BJ47" i="2"/>
  <c r="BR3" i="2"/>
  <c r="CB4" i="6" s="1"/>
  <c r="BR47" i="2"/>
  <c r="AB27" i="2"/>
  <c r="BK47" i="2"/>
  <c r="BS47" i="2"/>
  <c r="AB32" i="2"/>
  <c r="AV67" i="2"/>
  <c r="M24" i="2"/>
  <c r="AY87" i="2"/>
  <c r="AY24" i="2" s="1"/>
  <c r="BL3" i="2"/>
  <c r="T4" i="3" s="1"/>
  <c r="T4" i="4" s="1"/>
  <c r="BL47" i="2"/>
  <c r="BT3" i="2"/>
  <c r="S4" i="5" s="1"/>
  <c r="BT47" i="2"/>
  <c r="AL32" i="2"/>
  <c r="AL35" i="2"/>
  <c r="BA43" i="2"/>
  <c r="BF43" i="2" s="1"/>
  <c r="AW97" i="2"/>
  <c r="AW101" i="2" s="1"/>
  <c r="AW28" i="2" s="1"/>
  <c r="BA64" i="2"/>
  <c r="BA65" i="2" s="1"/>
  <c r="AW107" i="2"/>
  <c r="AW110" i="2" s="1"/>
  <c r="BA67" i="2"/>
  <c r="AV98" i="2"/>
  <c r="AL34" i="2"/>
  <c r="Q17" i="9"/>
  <c r="Q28" i="9" s="1"/>
  <c r="Q46" i="9"/>
  <c r="O46" i="9"/>
  <c r="O17" i="9"/>
  <c r="O28" i="9" s="1"/>
  <c r="F46" i="9"/>
  <c r="F17" i="9"/>
  <c r="G46" i="9"/>
  <c r="G17" i="9"/>
  <c r="D47" i="9"/>
  <c r="D22" i="9"/>
  <c r="J46" i="9"/>
  <c r="J17" i="9"/>
  <c r="S47" i="9"/>
  <c r="I22" i="9"/>
  <c r="I47" i="9"/>
  <c r="N46" i="9"/>
  <c r="N17" i="9"/>
  <c r="N28" i="9" s="1"/>
  <c r="E22" i="9"/>
  <c r="E47" i="9"/>
  <c r="L46" i="9"/>
  <c r="L17" i="9"/>
  <c r="K47" i="9"/>
  <c r="K22" i="9"/>
  <c r="P22" i="9"/>
  <c r="P47" i="9"/>
  <c r="M17" i="9"/>
  <c r="M28" i="9" s="1"/>
  <c r="M46" i="9"/>
  <c r="D34" i="6"/>
  <c r="BP21" i="6"/>
  <c r="S34" i="6"/>
  <c r="AY29" i="6"/>
  <c r="BM21" i="6"/>
  <c r="T21" i="6"/>
  <c r="BH21" i="6"/>
  <c r="BG29" i="6"/>
  <c r="BM35" i="6"/>
  <c r="BP34" i="6"/>
  <c r="BP35" i="6" s="1"/>
  <c r="M38" i="3"/>
  <c r="BB48" i="2"/>
  <c r="K23" i="2"/>
  <c r="K3" i="2" s="1"/>
  <c r="U4" i="6" s="1"/>
  <c r="U23" i="2"/>
  <c r="U51" i="2" s="1"/>
  <c r="Z23" i="2"/>
  <c r="Z25" i="2" s="1"/>
  <c r="AE23" i="2"/>
  <c r="AE3" i="2" s="1"/>
  <c r="AO4" i="6" s="1"/>
  <c r="O23" i="2"/>
  <c r="O3" i="2" s="1"/>
  <c r="Y4" i="6" s="1"/>
  <c r="T23" i="2"/>
  <c r="T3" i="2" s="1"/>
  <c r="AD4" i="6" s="1"/>
  <c r="J23" i="2"/>
  <c r="J3" i="2" s="1"/>
  <c r="T4" i="6" s="1"/>
  <c r="AQ22" i="2"/>
  <c r="AA4" i="3"/>
  <c r="AA4" i="4" s="1"/>
  <c r="L23" i="2"/>
  <c r="L25" i="2" s="1"/>
  <c r="L48" i="2" s="1"/>
  <c r="V23" i="2"/>
  <c r="AA23" i="2"/>
  <c r="AA3" i="2" s="1"/>
  <c r="AK4" i="6" s="1"/>
  <c r="AF23" i="2"/>
  <c r="AF3" i="2" s="1"/>
  <c r="AP4" i="6" s="1"/>
  <c r="M22" i="2"/>
  <c r="W22" i="2"/>
  <c r="Q23" i="2"/>
  <c r="Q50" i="2" s="1"/>
  <c r="P4" i="5"/>
  <c r="Y4" i="3"/>
  <c r="Y4" i="4" s="1"/>
  <c r="G77" i="2"/>
  <c r="G76" i="2"/>
  <c r="R30" i="2"/>
  <c r="AR97" i="2"/>
  <c r="AR101" i="2" s="1"/>
  <c r="AR28" i="2" s="1"/>
  <c r="AV64" i="2"/>
  <c r="U29" i="6"/>
  <c r="Z29" i="6"/>
  <c r="AJ29" i="6"/>
  <c r="AO29" i="6"/>
  <c r="BI29" i="6"/>
  <c r="M21" i="2"/>
  <c r="R21" i="2"/>
  <c r="S23" i="2"/>
  <c r="S51" i="2" s="1"/>
  <c r="AP23" i="2"/>
  <c r="AP3" i="2" s="1"/>
  <c r="AZ4" i="6" s="1"/>
  <c r="R24" i="2"/>
  <c r="AL28" i="2"/>
  <c r="AG30" i="2"/>
  <c r="AG52" i="2" s="1"/>
  <c r="H31" i="2"/>
  <c r="I67" i="2"/>
  <c r="H107" i="2"/>
  <c r="H110" i="2" s="1"/>
  <c r="AP107" i="2"/>
  <c r="AP110" i="2" s="1"/>
  <c r="AQ67" i="2"/>
  <c r="R22" i="2"/>
  <c r="AG24" i="2"/>
  <c r="W26" i="2"/>
  <c r="M28" i="2"/>
  <c r="AL30" i="2"/>
  <c r="AL52" i="2" s="1"/>
  <c r="R31" i="2"/>
  <c r="W31" i="2"/>
  <c r="AP31" i="2"/>
  <c r="AQ31" i="2" s="1"/>
  <c r="M32" i="2"/>
  <c r="R32" i="2"/>
  <c r="M34" i="2"/>
  <c r="AB35" i="2"/>
  <c r="AQ35" i="2"/>
  <c r="AV35" i="2"/>
  <c r="AV43" i="2"/>
  <c r="G29" i="3"/>
  <c r="K29" i="3"/>
  <c r="AI21" i="6"/>
  <c r="AN21" i="6"/>
  <c r="AX35" i="6"/>
  <c r="V32" i="6"/>
  <c r="W27" i="2"/>
  <c r="W30" i="2"/>
  <c r="Y23" i="2"/>
  <c r="Y3" i="2" s="1"/>
  <c r="AI4" i="6" s="1"/>
  <c r="H22" i="2"/>
  <c r="AT23" i="2"/>
  <c r="AT25" i="2" s="1"/>
  <c r="P23" i="2"/>
  <c r="P3" i="2" s="1"/>
  <c r="Z4" i="6" s="1"/>
  <c r="AB22" i="2"/>
  <c r="AL24" i="2"/>
  <c r="R28" i="2"/>
  <c r="AG32" i="2"/>
  <c r="AB34" i="2"/>
  <c r="D65" i="2"/>
  <c r="H61" i="2"/>
  <c r="R59" i="2"/>
  <c r="AR95" i="2"/>
  <c r="AR26" i="2" s="1"/>
  <c r="H59" i="2"/>
  <c r="R87" i="2"/>
  <c r="AL87" i="2"/>
  <c r="M101" i="2"/>
  <c r="AP91" i="2"/>
  <c r="AP27" i="2" s="1"/>
  <c r="AQ27" i="2" s="1"/>
  <c r="AV100" i="2"/>
  <c r="I34" i="3"/>
  <c r="I36" i="3" s="1"/>
  <c r="K29" i="4"/>
  <c r="K40" i="4" s="1"/>
  <c r="J21" i="6"/>
  <c r="K34" i="6"/>
  <c r="K35" i="6" s="1"/>
  <c r="Y21" i="6"/>
  <c r="AE21" i="6"/>
  <c r="AJ34" i="6"/>
  <c r="AY34" i="6"/>
  <c r="BD21" i="6"/>
  <c r="V29" i="6"/>
  <c r="AA29" i="6"/>
  <c r="AF29" i="6"/>
  <c r="AP29" i="6"/>
  <c r="AZ29" i="6"/>
  <c r="E34" i="6"/>
  <c r="J35" i="6" s="1"/>
  <c r="W91" i="2"/>
  <c r="W105" i="2"/>
  <c r="AW91" i="2"/>
  <c r="AW27" i="2" s="1"/>
  <c r="AY95" i="2"/>
  <c r="AY26" i="2" s="1"/>
  <c r="AW95" i="2"/>
  <c r="AW26" i="2" s="1"/>
  <c r="I37" i="3"/>
  <c r="I38" i="3" s="1"/>
  <c r="I23" i="4"/>
  <c r="D37" i="4"/>
  <c r="D40" i="4" s="1"/>
  <c r="D43" i="4" s="1"/>
  <c r="E40" i="4"/>
  <c r="E43" i="4" s="1"/>
  <c r="E44" i="4" s="1"/>
  <c r="Z34" i="6"/>
  <c r="AU21" i="6"/>
  <c r="BE21" i="6"/>
  <c r="H28" i="6"/>
  <c r="AB28" i="6"/>
  <c r="AV28" i="6"/>
  <c r="S29" i="6"/>
  <c r="AC29" i="6"/>
  <c r="AM29" i="6"/>
  <c r="AR29" i="6"/>
  <c r="AA32" i="6"/>
  <c r="BF32" i="6"/>
  <c r="K29" i="6"/>
  <c r="AG31" i="2"/>
  <c r="H32" i="2"/>
  <c r="AV59" i="2"/>
  <c r="AV61" i="2" s="1"/>
  <c r="AG59" i="2"/>
  <c r="AG95" i="2"/>
  <c r="W101" i="2"/>
  <c r="AP105" i="2"/>
  <c r="AP30" i="2" s="1"/>
  <c r="AQ30" i="2" s="1"/>
  <c r="M114" i="2"/>
  <c r="AG114" i="2"/>
  <c r="AV70" i="2"/>
  <c r="AW87" i="2"/>
  <c r="AW24" i="2" s="1"/>
  <c r="AV86" i="2"/>
  <c r="AX91" i="2"/>
  <c r="AX27" i="2" s="1"/>
  <c r="AP95" i="2"/>
  <c r="AP26" i="2" s="1"/>
  <c r="AQ26" i="2" s="1"/>
  <c r="AQ95" i="2" s="1"/>
  <c r="AQ93" i="2" s="1"/>
  <c r="F37" i="3"/>
  <c r="F38" i="3" s="1"/>
  <c r="D34" i="3"/>
  <c r="D36" i="3" s="1"/>
  <c r="G34" i="3"/>
  <c r="J23" i="4"/>
  <c r="J40" i="4" s="1"/>
  <c r="L40" i="4"/>
  <c r="H34" i="6"/>
  <c r="O21" i="6"/>
  <c r="U21" i="6"/>
  <c r="AC21" i="6"/>
  <c r="AH34" i="6"/>
  <c r="AR34" i="6"/>
  <c r="AW21" i="6"/>
  <c r="BG34" i="6"/>
  <c r="BL35" i="6" s="1"/>
  <c r="AR21" i="6"/>
  <c r="M28" i="6"/>
  <c r="M29" i="6" s="1"/>
  <c r="BA28" i="6"/>
  <c r="O29" i="6"/>
  <c r="T29" i="6"/>
  <c r="Y29" i="6"/>
  <c r="AI29" i="6"/>
  <c r="AX29" i="6"/>
  <c r="BH29" i="6"/>
  <c r="L32" i="6"/>
  <c r="G20" i="6"/>
  <c r="G34" i="6" s="1"/>
  <c r="P21" i="6"/>
  <c r="AD21" i="6"/>
  <c r="AM21" i="6"/>
  <c r="AJ21" i="6"/>
  <c r="BA29" i="6"/>
  <c r="J29" i="6"/>
  <c r="N29" i="6"/>
  <c r="X29" i="6"/>
  <c r="AO21" i="6"/>
  <c r="AY21" i="6"/>
  <c r="W28" i="6"/>
  <c r="P29" i="6"/>
  <c r="AS29" i="6"/>
  <c r="BB29" i="6"/>
  <c r="M21" i="6"/>
  <c r="I21" i="6"/>
  <c r="BI21" i="6"/>
  <c r="AZ21" i="6"/>
  <c r="Q29" i="6"/>
  <c r="AK29" i="6"/>
  <c r="AT29" i="6"/>
  <c r="BC29" i="6"/>
  <c r="T34" i="6"/>
  <c r="AL21" i="6"/>
  <c r="X21" i="6"/>
  <c r="AI34" i="6"/>
  <c r="K21" i="6"/>
  <c r="BG21" i="6"/>
  <c r="AG28" i="6"/>
  <c r="I29" i="6"/>
  <c r="AU29" i="6"/>
  <c r="BD29" i="6"/>
  <c r="U34" i="6"/>
  <c r="AS21" i="6"/>
  <c r="BB21" i="6"/>
  <c r="S21" i="6"/>
  <c r="AD29" i="6"/>
  <c r="BE29" i="6"/>
  <c r="N21" i="6"/>
  <c r="AK21" i="6"/>
  <c r="AT21" i="6"/>
  <c r="BC21" i="6"/>
  <c r="BF28" i="6"/>
  <c r="AQ28" i="6"/>
  <c r="AQ29" i="6" s="1"/>
  <c r="AE29" i="6"/>
  <c r="AN29" i="6"/>
  <c r="AW29" i="6"/>
  <c r="AF32" i="6"/>
  <c r="AC34" i="6"/>
  <c r="W21" i="6"/>
  <c r="BI34" i="6"/>
  <c r="BN35" i="6" s="1"/>
  <c r="AF21" i="6"/>
  <c r="W29" i="6"/>
  <c r="R34" i="6"/>
  <c r="AG34" i="6"/>
  <c r="AL29" i="6"/>
  <c r="V34" i="6"/>
  <c r="Z21" i="6"/>
  <c r="AH21" i="6"/>
  <c r="AP21" i="6"/>
  <c r="AX21" i="6"/>
  <c r="AK32" i="6"/>
  <c r="N34" i="6"/>
  <c r="AD34" i="6"/>
  <c r="AL34" i="6"/>
  <c r="AT34" i="6"/>
  <c r="BB34" i="6"/>
  <c r="AK34" i="6"/>
  <c r="O34" i="6"/>
  <c r="O35" i="6" s="1"/>
  <c r="AE34" i="6"/>
  <c r="AM34" i="6"/>
  <c r="AU34" i="6"/>
  <c r="AU35" i="6" s="1"/>
  <c r="BC34" i="6"/>
  <c r="BC35" i="6" s="1"/>
  <c r="P34" i="6"/>
  <c r="X34" i="6"/>
  <c r="AF34" i="6"/>
  <c r="AN34" i="6"/>
  <c r="AV34" i="6"/>
  <c r="BD34" i="6"/>
  <c r="BD35" i="6" s="1"/>
  <c r="I34" i="6"/>
  <c r="I35" i="6" s="1"/>
  <c r="Y34" i="6"/>
  <c r="AO34" i="6"/>
  <c r="AW34" i="6"/>
  <c r="BE34" i="6"/>
  <c r="G40" i="4"/>
  <c r="I40" i="4"/>
  <c r="H40" i="4"/>
  <c r="F42" i="4"/>
  <c r="E37" i="3"/>
  <c r="E38" i="3" s="1"/>
  <c r="AG34" i="2"/>
  <c r="W59" i="2"/>
  <c r="S61" i="2"/>
  <c r="AC65" i="2"/>
  <c r="AG61" i="2"/>
  <c r="AK77" i="2"/>
  <c r="AK76" i="2"/>
  <c r="AN77" i="2"/>
  <c r="AN76" i="2"/>
  <c r="W21" i="2"/>
  <c r="N23" i="2"/>
  <c r="N50" i="2" s="1"/>
  <c r="G23" i="2"/>
  <c r="G50" i="2" s="1"/>
  <c r="W24" i="2"/>
  <c r="M27" i="2"/>
  <c r="W32" i="2"/>
  <c r="V77" i="2"/>
  <c r="V76" i="2"/>
  <c r="Y77" i="2"/>
  <c r="Y76" i="2"/>
  <c r="AG27" i="2"/>
  <c r="H26" i="2"/>
  <c r="D50" i="2"/>
  <c r="D51" i="2"/>
  <c r="H27" i="2"/>
  <c r="W28" i="2"/>
  <c r="Z77" i="2"/>
  <c r="Z76" i="2"/>
  <c r="U77" i="2"/>
  <c r="U76" i="2"/>
  <c r="H21" i="2"/>
  <c r="AL27" i="2"/>
  <c r="H30" i="2"/>
  <c r="AH65" i="2"/>
  <c r="AL61" i="2"/>
  <c r="AB21" i="2"/>
  <c r="X23" i="2"/>
  <c r="X50" i="2" s="1"/>
  <c r="AS77" i="2"/>
  <c r="AS76" i="2"/>
  <c r="AG26" i="2"/>
  <c r="AX3" i="2"/>
  <c r="BH4" i="6" s="1"/>
  <c r="AU23" i="2"/>
  <c r="AV21" i="2"/>
  <c r="AV22" i="2"/>
  <c r="AD23" i="2"/>
  <c r="H24" i="2"/>
  <c r="AL31" i="2"/>
  <c r="AV32" i="2"/>
  <c r="AQ34" i="2"/>
  <c r="AQ59" i="2"/>
  <c r="AQ61" i="2" s="1"/>
  <c r="AQ65" i="2" s="1"/>
  <c r="M59" i="2"/>
  <c r="AA77" i="2"/>
  <c r="AA76" i="2"/>
  <c r="AJ77" i="2"/>
  <c r="AJ76" i="2"/>
  <c r="I61" i="2"/>
  <c r="AL26" i="2"/>
  <c r="T77" i="2"/>
  <c r="T76" i="2"/>
  <c r="AD77" i="2"/>
  <c r="AD76" i="2"/>
  <c r="AE76" i="2"/>
  <c r="AE77" i="2"/>
  <c r="AF76" i="2"/>
  <c r="AF77" i="2"/>
  <c r="R65" i="2"/>
  <c r="AM76" i="2"/>
  <c r="I23" i="2"/>
  <c r="I51" i="2" s="1"/>
  <c r="AW23" i="2"/>
  <c r="BB47" i="2" s="1"/>
  <c r="H35" i="2"/>
  <c r="E77" i="2"/>
  <c r="E76" i="2"/>
  <c r="R69" i="2"/>
  <c r="W34" i="2"/>
  <c r="AV34" i="2"/>
  <c r="F77" i="2"/>
  <c r="F76" i="2"/>
  <c r="AB59" i="2"/>
  <c r="R26" i="2"/>
  <c r="R27" i="2"/>
  <c r="H34" i="2"/>
  <c r="AG35" i="2"/>
  <c r="AL59" i="2"/>
  <c r="R61" i="2"/>
  <c r="R34" i="2"/>
  <c r="AI77" i="2"/>
  <c r="AI76" i="2"/>
  <c r="X65" i="2"/>
  <c r="AB61" i="2"/>
  <c r="AU69" i="2"/>
  <c r="AU72" i="2" s="1"/>
  <c r="R114" i="2"/>
  <c r="W114" i="2"/>
  <c r="I71" i="2"/>
  <c r="AC50" i="2" l="1"/>
  <c r="AR76" i="2"/>
  <c r="O14" i="5"/>
  <c r="AC51" i="2"/>
  <c r="AC25" i="2"/>
  <c r="E51" i="2"/>
  <c r="AT76" i="2"/>
  <c r="E50" i="2"/>
  <c r="BU4" i="6"/>
  <c r="S4" i="3"/>
  <c r="S4" i="4" s="1"/>
  <c r="U3" i="2"/>
  <c r="AE4" i="6" s="1"/>
  <c r="AR50" i="2"/>
  <c r="N4" i="3"/>
  <c r="N4" i="4" s="1"/>
  <c r="BA30" i="2"/>
  <c r="BA105" i="2" s="1"/>
  <c r="BA103" i="2" s="1"/>
  <c r="AX47" i="2"/>
  <c r="BY4" i="6"/>
  <c r="W4" i="3"/>
  <c r="W4" i="4" s="1"/>
  <c r="Z3" i="2"/>
  <c r="AJ4" i="6" s="1"/>
  <c r="AX25" i="2"/>
  <c r="U25" i="2"/>
  <c r="U50" i="2"/>
  <c r="AX51" i="2"/>
  <c r="BS4" i="6"/>
  <c r="M14" i="5"/>
  <c r="D29" i="2"/>
  <c r="D49" i="2" s="1"/>
  <c r="Q4" i="5"/>
  <c r="AS25" i="2"/>
  <c r="AS29" i="2" s="1"/>
  <c r="AS39" i="2" s="1"/>
  <c r="AZ49" i="2"/>
  <c r="AA51" i="2"/>
  <c r="AS3" i="2"/>
  <c r="BC4" i="6" s="1"/>
  <c r="AF51" i="2"/>
  <c r="BA110" i="2"/>
  <c r="BA107" i="2" s="1"/>
  <c r="AF50" i="2"/>
  <c r="AS50" i="2"/>
  <c r="L14" i="5"/>
  <c r="O50" i="2"/>
  <c r="AY51" i="2"/>
  <c r="AT51" i="2"/>
  <c r="O25" i="2"/>
  <c r="O48" i="2" s="1"/>
  <c r="AV30" i="2"/>
  <c r="AV105" i="2" s="1"/>
  <c r="AV103" i="2" s="1"/>
  <c r="AW50" i="2"/>
  <c r="E25" i="2"/>
  <c r="E29" i="2" s="1"/>
  <c r="E49" i="2" s="1"/>
  <c r="F4" i="5"/>
  <c r="AY76" i="2"/>
  <c r="T50" i="2"/>
  <c r="AT50" i="2"/>
  <c r="CC4" i="6"/>
  <c r="AQ97" i="2"/>
  <c r="BP4" i="6"/>
  <c r="K4" i="5"/>
  <c r="AF47" i="2"/>
  <c r="AV26" i="2"/>
  <c r="AV95" i="2" s="1"/>
  <c r="AV93" i="2" s="1"/>
  <c r="S14" i="5"/>
  <c r="L4" i="5"/>
  <c r="AF25" i="2"/>
  <c r="Z4" i="3"/>
  <c r="Z4" i="4" s="1"/>
  <c r="BW4" i="6"/>
  <c r="CD4" i="6"/>
  <c r="AB4" i="3"/>
  <c r="AB4" i="4" s="1"/>
  <c r="AP76" i="2"/>
  <c r="BA24" i="2"/>
  <c r="BA25" i="2" s="1"/>
  <c r="P4" i="3"/>
  <c r="P4" i="4" s="1"/>
  <c r="AR25" i="2"/>
  <c r="K47" i="2"/>
  <c r="N14" i="5"/>
  <c r="R14" i="5"/>
  <c r="AV28" i="2"/>
  <c r="AV101" i="2" s="1"/>
  <c r="AV97" i="2" s="1"/>
  <c r="AE50" i="2"/>
  <c r="AR51" i="2"/>
  <c r="AT3" i="2"/>
  <c r="BD4" i="6" s="1"/>
  <c r="F51" i="2"/>
  <c r="AA50" i="2"/>
  <c r="AY25" i="2"/>
  <c r="AY29" i="2" s="1"/>
  <c r="AY39" i="2" s="1"/>
  <c r="AX50" i="2"/>
  <c r="P14" i="5"/>
  <c r="AY50" i="2"/>
  <c r="AG19" i="12"/>
  <c r="R4" i="3"/>
  <c r="R4" i="4" s="1"/>
  <c r="AB19" i="12"/>
  <c r="AZ33" i="2"/>
  <c r="AZ36" i="2" s="1"/>
  <c r="AZ41" i="2" s="1"/>
  <c r="AZ4" i="2" s="1"/>
  <c r="BJ5" i="6" s="1"/>
  <c r="AD19" i="12"/>
  <c r="P47" i="2"/>
  <c r="AF19" i="12"/>
  <c r="AY3" i="2"/>
  <c r="BI4" i="6" s="1"/>
  <c r="BQ4" i="6"/>
  <c r="Q14" i="5"/>
  <c r="AY47" i="2"/>
  <c r="F3" i="2"/>
  <c r="P4" i="6" s="1"/>
  <c r="AE19" i="12"/>
  <c r="AX76" i="2"/>
  <c r="AH19" i="12"/>
  <c r="AA19" i="12"/>
  <c r="F25" i="2"/>
  <c r="F29" i="2" s="1"/>
  <c r="AV24" i="2"/>
  <c r="AV87" i="2" s="1"/>
  <c r="AV85" i="2" s="1"/>
  <c r="AC19" i="12"/>
  <c r="Z19" i="12"/>
  <c r="Y19" i="12"/>
  <c r="Q4" i="3"/>
  <c r="Q4" i="4" s="1"/>
  <c r="BA26" i="2"/>
  <c r="BA95" i="2" s="1"/>
  <c r="BA93" i="2" s="1"/>
  <c r="AX14" i="12"/>
  <c r="AH93" i="12"/>
  <c r="AH86" i="12"/>
  <c r="AH105" i="12"/>
  <c r="AH74" i="12"/>
  <c r="AJ82" i="12"/>
  <c r="AI83" i="12"/>
  <c r="AI91" i="12"/>
  <c r="D96" i="12"/>
  <c r="J14" i="5"/>
  <c r="X15" i="9"/>
  <c r="X42" i="9" s="1"/>
  <c r="AF15" i="9"/>
  <c r="AH15" i="9"/>
  <c r="Z15" i="9"/>
  <c r="AB15" i="9"/>
  <c r="AK42" i="9"/>
  <c r="Y15" i="9"/>
  <c r="Y42" i="9" s="1"/>
  <c r="AA15" i="9"/>
  <c r="AA42" i="9" s="1"/>
  <c r="AC15" i="9"/>
  <c r="AC42" i="9" s="1"/>
  <c r="AG15" i="9"/>
  <c r="AG42" i="9" s="1"/>
  <c r="AI15" i="9"/>
  <c r="AI42" i="9" s="1"/>
  <c r="AD15" i="9"/>
  <c r="AD42" i="9" s="1"/>
  <c r="D13" i="5"/>
  <c r="BA3" i="2"/>
  <c r="BK4" i="6" s="1"/>
  <c r="K50" i="2"/>
  <c r="K51" i="2"/>
  <c r="P22" i="4"/>
  <c r="G83" i="12"/>
  <c r="BD83" i="12" s="1"/>
  <c r="P28" i="3"/>
  <c r="F86" i="12"/>
  <c r="BC86" i="12" s="1"/>
  <c r="Q25" i="2"/>
  <c r="Q48" i="2" s="1"/>
  <c r="AW77" i="2"/>
  <c r="BZ4" i="6"/>
  <c r="P31" i="3"/>
  <c r="F91" i="12"/>
  <c r="BG43" i="2"/>
  <c r="E58" i="12"/>
  <c r="G23" i="12" s="1"/>
  <c r="G25" i="12" s="1"/>
  <c r="L34" i="6"/>
  <c r="L35" i="6" s="1"/>
  <c r="AV65" i="2"/>
  <c r="AV69" i="2" s="1"/>
  <c r="AV72" i="2" s="1"/>
  <c r="O4" i="5"/>
  <c r="G37" i="3"/>
  <c r="G38" i="3" s="1"/>
  <c r="X35" i="6"/>
  <c r="Q3" i="2"/>
  <c r="AA4" i="6" s="1"/>
  <c r="P35" i="6"/>
  <c r="AH35" i="6"/>
  <c r="R17" i="9"/>
  <c r="R47" i="9" s="1"/>
  <c r="AN35" i="6"/>
  <c r="Q51" i="2"/>
  <c r="S35" i="6"/>
  <c r="AV110" i="2"/>
  <c r="AV107" i="2" s="1"/>
  <c r="AA34" i="6"/>
  <c r="BV4" i="6"/>
  <c r="I4" i="5"/>
  <c r="F43" i="4"/>
  <c r="F44" i="4" s="1"/>
  <c r="AP50" i="2"/>
  <c r="K25" i="2"/>
  <c r="K48" i="2" s="1"/>
  <c r="AP25" i="2"/>
  <c r="AP48" i="2" s="1"/>
  <c r="AM35" i="6"/>
  <c r="K37" i="3"/>
  <c r="K38" i="3" s="1"/>
  <c r="BA28" i="2"/>
  <c r="AE15" i="9"/>
  <c r="I8" i="12"/>
  <c r="V110" i="12"/>
  <c r="V111" i="12" s="1"/>
  <c r="X70" i="9"/>
  <c r="Z63" i="9"/>
  <c r="X60" i="9"/>
  <c r="W71" i="12" s="1"/>
  <c r="Y61" i="9"/>
  <c r="Y65" i="9"/>
  <c r="X64" i="9"/>
  <c r="W81" i="12" s="1"/>
  <c r="X58" i="9"/>
  <c r="Y59" i="9"/>
  <c r="AA14" i="9"/>
  <c r="Z35" i="9"/>
  <c r="X58" i="12"/>
  <c r="Z55" i="9"/>
  <c r="Y19" i="9"/>
  <c r="X47" i="12" s="1"/>
  <c r="X14" i="9"/>
  <c r="X27" i="9"/>
  <c r="W26" i="9"/>
  <c r="I47" i="3"/>
  <c r="I49" i="3"/>
  <c r="V4" i="3"/>
  <c r="V4" i="4" s="1"/>
  <c r="AQ87" i="2"/>
  <c r="AQ85" i="2" s="1"/>
  <c r="K49" i="3"/>
  <c r="K47" i="3"/>
  <c r="M4" i="5"/>
  <c r="M50" i="4"/>
  <c r="M47" i="4"/>
  <c r="M49" i="4"/>
  <c r="M48" i="4"/>
  <c r="M45" i="3"/>
  <c r="N45" i="3" s="1"/>
  <c r="M51" i="3"/>
  <c r="N51" i="3" s="1"/>
  <c r="AQ105" i="2"/>
  <c r="AQ103" i="2" s="1"/>
  <c r="AQ52" i="2"/>
  <c r="J47" i="3"/>
  <c r="J49" i="3"/>
  <c r="AP51" i="2"/>
  <c r="BR4" i="6"/>
  <c r="W14" i="9"/>
  <c r="Y14" i="9"/>
  <c r="AI14" i="9"/>
  <c r="AE14" i="9"/>
  <c r="Z14" i="9"/>
  <c r="AB14" i="9"/>
  <c r="AD14" i="9"/>
  <c r="AG14" i="9"/>
  <c r="AF14" i="9"/>
  <c r="AH14" i="9"/>
  <c r="H47" i="9"/>
  <c r="AJ14" i="9"/>
  <c r="W46" i="9"/>
  <c r="W13" i="9" s="1"/>
  <c r="AC14" i="9"/>
  <c r="P18" i="3"/>
  <c r="P15" i="4"/>
  <c r="G104" i="12" s="1"/>
  <c r="P19" i="4"/>
  <c r="G36" i="3"/>
  <c r="D37" i="3"/>
  <c r="D38" i="3" s="1"/>
  <c r="Q13" i="3"/>
  <c r="H72" i="12" s="1"/>
  <c r="Q25" i="3"/>
  <c r="H37" i="3"/>
  <c r="H38" i="3" s="1"/>
  <c r="AU51" i="2"/>
  <c r="AZ47" i="2"/>
  <c r="AV23" i="2"/>
  <c r="AV51" i="2" s="1"/>
  <c r="BF47" i="2"/>
  <c r="BA27" i="2"/>
  <c r="Z47" i="2"/>
  <c r="BA69" i="2"/>
  <c r="BA72" i="2" s="1"/>
  <c r="H43" i="9"/>
  <c r="H24" i="9"/>
  <c r="N22" i="9"/>
  <c r="N47" i="9"/>
  <c r="S43" i="9"/>
  <c r="D43" i="9"/>
  <c r="D24" i="9"/>
  <c r="F22" i="9"/>
  <c r="F47" i="9"/>
  <c r="L47" i="9"/>
  <c r="L22" i="9"/>
  <c r="Q22" i="9"/>
  <c r="Q47" i="9"/>
  <c r="M22" i="9"/>
  <c r="M47" i="9"/>
  <c r="P43" i="9"/>
  <c r="P24" i="9"/>
  <c r="J22" i="9"/>
  <c r="J47" i="9"/>
  <c r="G47" i="9"/>
  <c r="G22" i="9"/>
  <c r="O47" i="9"/>
  <c r="O22" i="9"/>
  <c r="R22" i="9"/>
  <c r="K43" i="9"/>
  <c r="K24" i="9"/>
  <c r="E43" i="9"/>
  <c r="E24" i="9"/>
  <c r="I43" i="9"/>
  <c r="I24" i="9"/>
  <c r="BG35" i="6"/>
  <c r="BF34" i="6"/>
  <c r="BK35" i="6" s="1"/>
  <c r="BE35" i="6"/>
  <c r="BJ35" i="6"/>
  <c r="AR35" i="6"/>
  <c r="AB29" i="6"/>
  <c r="AJ35" i="6"/>
  <c r="R21" i="6"/>
  <c r="BK29" i="6"/>
  <c r="BB33" i="2"/>
  <c r="BB49" i="2"/>
  <c r="AA47" i="2"/>
  <c r="Z51" i="2"/>
  <c r="Z50" i="2"/>
  <c r="O51" i="2"/>
  <c r="S25" i="2"/>
  <c r="S29" i="2" s="1"/>
  <c r="AE47" i="2"/>
  <c r="T25" i="2"/>
  <c r="AE51" i="2"/>
  <c r="AA25" i="2"/>
  <c r="AA48" i="2" s="1"/>
  <c r="AE25" i="2"/>
  <c r="AE48" i="2" s="1"/>
  <c r="T47" i="2"/>
  <c r="AC47" i="2"/>
  <c r="V3" i="2"/>
  <c r="AF4" i="6" s="1"/>
  <c r="T51" i="2"/>
  <c r="L51" i="2"/>
  <c r="L50" i="2"/>
  <c r="Q47" i="2"/>
  <c r="J51" i="2"/>
  <c r="J50" i="2"/>
  <c r="J25" i="2"/>
  <c r="J48" i="2" s="1"/>
  <c r="O47" i="2"/>
  <c r="L3" i="2"/>
  <c r="V4" i="6" s="1"/>
  <c r="J47" i="2"/>
  <c r="V51" i="2"/>
  <c r="V50" i="2"/>
  <c r="W23" i="2"/>
  <c r="W51" i="2" s="1"/>
  <c r="Y25" i="2"/>
  <c r="Y29" i="2" s="1"/>
  <c r="V25" i="2"/>
  <c r="V29" i="2" s="1"/>
  <c r="V47" i="2"/>
  <c r="AU50" i="2"/>
  <c r="N51" i="2"/>
  <c r="L29" i="2"/>
  <c r="L49" i="2" s="1"/>
  <c r="T35" i="6"/>
  <c r="Y51" i="2"/>
  <c r="H23" i="2"/>
  <c r="H3" i="2" s="1"/>
  <c r="Y47" i="2"/>
  <c r="AF35" i="6"/>
  <c r="V21" i="6"/>
  <c r="AG29" i="6"/>
  <c r="R29" i="6"/>
  <c r="M34" i="6"/>
  <c r="M35" i="6" s="1"/>
  <c r="BF21" i="6"/>
  <c r="S50" i="2"/>
  <c r="S3" i="2"/>
  <c r="AC4" i="6" s="1"/>
  <c r="U47" i="2"/>
  <c r="Y50" i="2"/>
  <c r="P51" i="2"/>
  <c r="P50" i="2"/>
  <c r="G51" i="2"/>
  <c r="P25" i="2"/>
  <c r="P48" i="2" s="1"/>
  <c r="AW35" i="6"/>
  <c r="AV29" i="6"/>
  <c r="Q34" i="6"/>
  <c r="V35" i="6" s="1"/>
  <c r="AQ34" i="6"/>
  <c r="AQ35" i="6" s="1"/>
  <c r="AV21" i="6"/>
  <c r="AO35" i="6"/>
  <c r="AE35" i="6"/>
  <c r="Z35" i="6"/>
  <c r="AB21" i="6"/>
  <c r="D69" i="2"/>
  <c r="H65" i="2"/>
  <c r="I107" i="2"/>
  <c r="I110" i="2" s="1"/>
  <c r="M67" i="2"/>
  <c r="M107" i="2" s="1"/>
  <c r="M110" i="2" s="1"/>
  <c r="I31" i="2"/>
  <c r="M31" i="2" s="1"/>
  <c r="AG21" i="6"/>
  <c r="W34" i="6"/>
  <c r="W35" i="6" s="1"/>
  <c r="AD35" i="6"/>
  <c r="BA21" i="6"/>
  <c r="AB34" i="6"/>
  <c r="AG35" i="6" s="1"/>
  <c r="BF29" i="6"/>
  <c r="BA34" i="6"/>
  <c r="BA35" i="6" s="1"/>
  <c r="AK35" i="6"/>
  <c r="Y35" i="6"/>
  <c r="BB35" i="6"/>
  <c r="AT35" i="6"/>
  <c r="AY35" i="6"/>
  <c r="AL35" i="6"/>
  <c r="BI35" i="6"/>
  <c r="AS35" i="6"/>
  <c r="U35" i="6"/>
  <c r="N35" i="6"/>
  <c r="AA35" i="6"/>
  <c r="BH35" i="6"/>
  <c r="AZ35" i="6"/>
  <c r="AI35" i="6"/>
  <c r="AP35" i="6"/>
  <c r="AC35" i="6"/>
  <c r="G42" i="4"/>
  <c r="G43" i="4" s="1"/>
  <c r="G44" i="4" s="1"/>
  <c r="U48" i="2"/>
  <c r="U29" i="2"/>
  <c r="AW47" i="2"/>
  <c r="AW25" i="2"/>
  <c r="AW3" i="2"/>
  <c r="BG4" i="6" s="1"/>
  <c r="AQ114" i="2"/>
  <c r="AQ112" i="2" s="1"/>
  <c r="Z48" i="2"/>
  <c r="Z29" i="2"/>
  <c r="AC69" i="2"/>
  <c r="AG65" i="2"/>
  <c r="AQ91" i="2"/>
  <c r="AQ89" i="2" s="1"/>
  <c r="AT48" i="2"/>
  <c r="AT29" i="2"/>
  <c r="AT39" i="2" s="1"/>
  <c r="AU77" i="2"/>
  <c r="AU76" i="2"/>
  <c r="AV114" i="2"/>
  <c r="AV112" i="2" s="1"/>
  <c r="I47" i="2"/>
  <c r="I25" i="2"/>
  <c r="I3" i="2"/>
  <c r="S4" i="6" s="1"/>
  <c r="M23" i="2"/>
  <c r="AD47" i="2"/>
  <c r="AD25" i="2"/>
  <c r="AD3" i="2"/>
  <c r="AN4" i="6" s="1"/>
  <c r="AU47" i="2"/>
  <c r="AU25" i="2"/>
  <c r="AU3" i="2"/>
  <c r="BE4" i="6" s="1"/>
  <c r="W61" i="2"/>
  <c r="S65" i="2"/>
  <c r="AC48" i="2"/>
  <c r="AC29" i="2"/>
  <c r="X47" i="2"/>
  <c r="AB23" i="2"/>
  <c r="X25" i="2"/>
  <c r="X3" i="2"/>
  <c r="AH4" i="6" s="1"/>
  <c r="J71" i="2"/>
  <c r="X51" i="2"/>
  <c r="AX48" i="2"/>
  <c r="AX29" i="2"/>
  <c r="AX39" i="2" s="1"/>
  <c r="AG23" i="2"/>
  <c r="AD50" i="2"/>
  <c r="AF48" i="2"/>
  <c r="AF29" i="2"/>
  <c r="G25" i="2"/>
  <c r="L47" i="2"/>
  <c r="G3" i="2"/>
  <c r="Q4" i="6" s="1"/>
  <c r="X69" i="2"/>
  <c r="AB65" i="2"/>
  <c r="N47" i="2"/>
  <c r="R23" i="2"/>
  <c r="N25" i="2"/>
  <c r="N3" i="2"/>
  <c r="X4" i="6" s="1"/>
  <c r="AW51" i="2"/>
  <c r="I50" i="2"/>
  <c r="AD51" i="2"/>
  <c r="M61" i="2"/>
  <c r="I65" i="2"/>
  <c r="S47" i="2"/>
  <c r="AV91" i="2"/>
  <c r="AV89" i="2" s="1"/>
  <c r="I35" i="2"/>
  <c r="AH69" i="2"/>
  <c r="AL65" i="2"/>
  <c r="AR48" i="2"/>
  <c r="AR29" i="2"/>
  <c r="AR39" i="2" s="1"/>
  <c r="BA52" i="2" l="1"/>
  <c r="AV52" i="2"/>
  <c r="O29" i="2"/>
  <c r="AZ53" i="2"/>
  <c r="F48" i="2"/>
  <c r="D33" i="2"/>
  <c r="E33" i="2"/>
  <c r="E53" i="2" s="1"/>
  <c r="AS49" i="2"/>
  <c r="AS33" i="2"/>
  <c r="AS36" i="2" s="1"/>
  <c r="AS41" i="2" s="1"/>
  <c r="AS4" i="2" s="1"/>
  <c r="BC5" i="6" s="1"/>
  <c r="AS48" i="2"/>
  <c r="M47" i="3"/>
  <c r="N47" i="3" s="1"/>
  <c r="M49" i="3"/>
  <c r="N49" i="3" s="1"/>
  <c r="BA87" i="2"/>
  <c r="BA85" i="2" s="1"/>
  <c r="AP29" i="2"/>
  <c r="AP39" i="2" s="1"/>
  <c r="E48" i="2"/>
  <c r="D4" i="5"/>
  <c r="M4" i="3"/>
  <c r="M4" i="4" s="1"/>
  <c r="BA50" i="2"/>
  <c r="AY48" i="2"/>
  <c r="AV50" i="2"/>
  <c r="AV3" i="2"/>
  <c r="BF4" i="6" s="1"/>
  <c r="L47" i="3"/>
  <c r="L49" i="3"/>
  <c r="AV25" i="2"/>
  <c r="AV48" i="2" s="1"/>
  <c r="Q29" i="2"/>
  <c r="Q33" i="2" s="1"/>
  <c r="AI105" i="12"/>
  <c r="AY14" i="12"/>
  <c r="AI74" i="12"/>
  <c r="AH106" i="12"/>
  <c r="AH123" i="12" s="1"/>
  <c r="AH125" i="12" s="1"/>
  <c r="AI86" i="12"/>
  <c r="AI106" i="12"/>
  <c r="AI123" i="12" s="1"/>
  <c r="AI125" i="12" s="1"/>
  <c r="AI93" i="12"/>
  <c r="AJ83" i="12"/>
  <c r="AJ91" i="12"/>
  <c r="AE42" i="9"/>
  <c r="AJ42" i="9"/>
  <c r="Z42" i="9"/>
  <c r="AH42" i="9"/>
  <c r="AB42" i="9"/>
  <c r="AF42" i="9"/>
  <c r="BF52" i="2"/>
  <c r="BF30" i="2" s="1"/>
  <c r="E47" i="12" s="1"/>
  <c r="BH43" i="2"/>
  <c r="F58" i="12"/>
  <c r="R28" i="9"/>
  <c r="Q31" i="3"/>
  <c r="G91" i="12"/>
  <c r="Q28" i="3"/>
  <c r="G86" i="12"/>
  <c r="BD86" i="12" s="1"/>
  <c r="K29" i="2"/>
  <c r="K33" i="2" s="1"/>
  <c r="Q22" i="4"/>
  <c r="H83" i="12"/>
  <c r="BE83" i="12" s="1"/>
  <c r="W70" i="12"/>
  <c r="V48" i="2"/>
  <c r="AA29" i="2"/>
  <c r="AA33" i="2" s="1"/>
  <c r="BA101" i="2"/>
  <c r="BA97" i="2" s="1"/>
  <c r="BF28" i="2"/>
  <c r="BG28" i="2" s="1"/>
  <c r="Q35" i="6"/>
  <c r="S48" i="2"/>
  <c r="J29" i="2"/>
  <c r="J33" i="2" s="1"/>
  <c r="E8" i="12"/>
  <c r="W110" i="12"/>
  <c r="Y70" i="9"/>
  <c r="Z59" i="9"/>
  <c r="Y58" i="9"/>
  <c r="Y64" i="9"/>
  <c r="X81" i="12" s="1"/>
  <c r="Z65" i="9"/>
  <c r="Y60" i="9"/>
  <c r="X71" i="12" s="1"/>
  <c r="Z61" i="9"/>
  <c r="AA63" i="9"/>
  <c r="AA55" i="9"/>
  <c r="Z19" i="9"/>
  <c r="Y47" i="12" s="1"/>
  <c r="AA35" i="9"/>
  <c r="Y58" i="12"/>
  <c r="V42" i="12"/>
  <c r="V43" i="12" s="1"/>
  <c r="Y27" i="9"/>
  <c r="X26" i="9"/>
  <c r="I50" i="4"/>
  <c r="I49" i="4"/>
  <c r="I48" i="4"/>
  <c r="I51" i="3"/>
  <c r="I47" i="4"/>
  <c r="I45" i="3"/>
  <c r="BA47" i="2"/>
  <c r="L50" i="4"/>
  <c r="L49" i="4"/>
  <c r="L48" i="4"/>
  <c r="L47" i="4"/>
  <c r="L51" i="3"/>
  <c r="L45" i="3"/>
  <c r="AV77" i="2"/>
  <c r="AV76" i="2"/>
  <c r="X46" i="9"/>
  <c r="Y46" i="9" s="1"/>
  <c r="W12" i="9"/>
  <c r="W17" i="9"/>
  <c r="W28" i="9" s="1"/>
  <c r="V39" i="12" s="1"/>
  <c r="Q18" i="3"/>
  <c r="Q15" i="4"/>
  <c r="H104" i="12" s="1"/>
  <c r="Q19" i="4"/>
  <c r="R25" i="3"/>
  <c r="R13" i="3"/>
  <c r="I72" i="12" s="1"/>
  <c r="BA48" i="2"/>
  <c r="BA29" i="2"/>
  <c r="D15" i="5" s="1"/>
  <c r="BA77" i="2"/>
  <c r="BA76" i="2"/>
  <c r="W25" i="2"/>
  <c r="W48" i="2" s="1"/>
  <c r="R4" i="6"/>
  <c r="D4" i="3"/>
  <c r="D4" i="4" s="1"/>
  <c r="BA91" i="2"/>
  <c r="BA89" i="2" s="1"/>
  <c r="BA51" i="2"/>
  <c r="H51" i="2"/>
  <c r="E48" i="9"/>
  <c r="E31" i="9"/>
  <c r="E5" i="9" s="1"/>
  <c r="G24" i="9"/>
  <c r="G43" i="9"/>
  <c r="P31" i="9"/>
  <c r="P5" i="9" s="1"/>
  <c r="P48" i="9"/>
  <c r="L43" i="9"/>
  <c r="L24" i="9"/>
  <c r="D31" i="9"/>
  <c r="D5" i="9" s="1"/>
  <c r="D48" i="9"/>
  <c r="Q43" i="9"/>
  <c r="Q24" i="9"/>
  <c r="N43" i="9"/>
  <c r="N24" i="9"/>
  <c r="I48" i="9"/>
  <c r="I31" i="9"/>
  <c r="I5" i="9" s="1"/>
  <c r="K31" i="9"/>
  <c r="K5" i="9" s="1"/>
  <c r="K48" i="9"/>
  <c r="O24" i="9"/>
  <c r="O43" i="9"/>
  <c r="S5" i="9"/>
  <c r="S48" i="9"/>
  <c r="H31" i="9"/>
  <c r="H5" i="9" s="1"/>
  <c r="H48" i="9"/>
  <c r="R24" i="9"/>
  <c r="R43" i="9"/>
  <c r="W43" i="9" s="1"/>
  <c r="X43" i="9" s="1"/>
  <c r="Y43" i="9" s="1"/>
  <c r="Z43" i="9" s="1"/>
  <c r="AA43" i="9" s="1"/>
  <c r="AB43" i="9" s="1"/>
  <c r="AC43" i="9" s="1"/>
  <c r="AD43" i="9" s="1"/>
  <c r="AE43" i="9" s="1"/>
  <c r="AF43" i="9" s="1"/>
  <c r="AG43" i="9" s="1"/>
  <c r="AH43" i="9" s="1"/>
  <c r="AI43" i="9" s="1"/>
  <c r="AJ43" i="9" s="1"/>
  <c r="AK43" i="9" s="1"/>
  <c r="J43" i="9"/>
  <c r="J24" i="9"/>
  <c r="M24" i="9"/>
  <c r="M43" i="9"/>
  <c r="F43" i="9"/>
  <c r="F24" i="9"/>
  <c r="AV35" i="6"/>
  <c r="R35" i="6"/>
  <c r="BB36" i="2"/>
  <c r="BB53" i="2"/>
  <c r="AE29" i="2"/>
  <c r="AE49" i="2" s="1"/>
  <c r="T29" i="2"/>
  <c r="W29" i="2" s="1"/>
  <c r="W49" i="2" s="1"/>
  <c r="T48" i="2"/>
  <c r="Y48" i="2"/>
  <c r="W50" i="2"/>
  <c r="W3" i="2"/>
  <c r="G4" i="3" s="1"/>
  <c r="G4" i="4" s="1"/>
  <c r="P29" i="2"/>
  <c r="P49" i="2" s="1"/>
  <c r="L33" i="2"/>
  <c r="L53" i="2" s="1"/>
  <c r="H50" i="2"/>
  <c r="AB35" i="6"/>
  <c r="D72" i="2"/>
  <c r="H69" i="2"/>
  <c r="BF35" i="6"/>
  <c r="H42" i="4"/>
  <c r="H43" i="4" s="1"/>
  <c r="H44" i="4" s="1"/>
  <c r="AX49" i="2"/>
  <c r="AX33" i="2"/>
  <c r="N48" i="2"/>
  <c r="R25" i="2"/>
  <c r="R48" i="2" s="1"/>
  <c r="N29" i="2"/>
  <c r="G48" i="2"/>
  <c r="G29" i="2"/>
  <c r="H29" i="2" s="1"/>
  <c r="H49" i="2" s="1"/>
  <c r="H25" i="2"/>
  <c r="H48" i="2" s="1"/>
  <c r="W65" i="2"/>
  <c r="S69" i="2"/>
  <c r="O49" i="2"/>
  <c r="O33" i="2"/>
  <c r="AB47" i="2"/>
  <c r="AB3" i="2"/>
  <c r="AB50" i="2"/>
  <c r="AB51" i="2"/>
  <c r="I69" i="2"/>
  <c r="M65" i="2"/>
  <c r="R47" i="2"/>
  <c r="R3" i="2"/>
  <c r="AB69" i="2"/>
  <c r="X72" i="2"/>
  <c r="AF49" i="2"/>
  <c r="AF33" i="2"/>
  <c r="AC49" i="2"/>
  <c r="AC33" i="2"/>
  <c r="AD48" i="2"/>
  <c r="AD29" i="2"/>
  <c r="V49" i="2"/>
  <c r="V33" i="2"/>
  <c r="U33" i="2"/>
  <c r="U49" i="2"/>
  <c r="F49" i="2"/>
  <c r="F33" i="2"/>
  <c r="R50" i="2"/>
  <c r="Z49" i="2"/>
  <c r="Z33" i="2"/>
  <c r="AY33" i="2"/>
  <c r="AY49" i="2"/>
  <c r="J35" i="2"/>
  <c r="J72" i="2"/>
  <c r="K71" i="2"/>
  <c r="L71" i="2" s="1"/>
  <c r="AG25" i="2"/>
  <c r="AG48" i="2" s="1"/>
  <c r="M47" i="2"/>
  <c r="M3" i="2"/>
  <c r="M50" i="2"/>
  <c r="AT49" i="2"/>
  <c r="AT33" i="2"/>
  <c r="M51" i="2"/>
  <c r="AW48" i="2"/>
  <c r="AW29" i="2"/>
  <c r="AW39" i="2" s="1"/>
  <c r="S33" i="2"/>
  <c r="S49" i="2"/>
  <c r="Y49" i="2"/>
  <c r="Y33" i="2"/>
  <c r="AG50" i="2"/>
  <c r="D36" i="2"/>
  <c r="D53" i="2"/>
  <c r="AH72" i="2"/>
  <c r="AL69" i="2"/>
  <c r="AR33" i="2"/>
  <c r="AR49" i="2"/>
  <c r="I48" i="2"/>
  <c r="I29" i="2"/>
  <c r="M25" i="2"/>
  <c r="M48" i="2" s="1"/>
  <c r="AC72" i="2"/>
  <c r="AG69" i="2"/>
  <c r="R51" i="2"/>
  <c r="W47" i="2"/>
  <c r="AG47" i="2"/>
  <c r="AG3" i="2"/>
  <c r="X48" i="2"/>
  <c r="X29" i="2"/>
  <c r="AB25" i="2"/>
  <c r="AB48" i="2" s="1"/>
  <c r="E36" i="2"/>
  <c r="E41" i="2" s="1"/>
  <c r="E4" i="2" s="1"/>
  <c r="O5" i="6" s="1"/>
  <c r="AU48" i="2"/>
  <c r="AU29" i="2"/>
  <c r="AU39" i="2" s="1"/>
  <c r="AG51" i="2"/>
  <c r="AS53" i="2" l="1"/>
  <c r="Q49" i="2"/>
  <c r="AA49" i="2"/>
  <c r="AP33" i="2"/>
  <c r="J49" i="2"/>
  <c r="AP49" i="2"/>
  <c r="AV29" i="2"/>
  <c r="AV39" i="2" s="1"/>
  <c r="L4" i="3"/>
  <c r="L4" i="4" s="1"/>
  <c r="BG52" i="2"/>
  <c r="BH52" i="2" s="1"/>
  <c r="AZ14" i="12"/>
  <c r="AJ86" i="12"/>
  <c r="AJ93" i="12"/>
  <c r="AJ105" i="12"/>
  <c r="AJ74" i="12"/>
  <c r="R22" i="4"/>
  <c r="I83" i="12"/>
  <c r="BF83" i="12" s="1"/>
  <c r="R31" i="3"/>
  <c r="H91" i="12"/>
  <c r="AG29" i="2"/>
  <c r="K49" i="2"/>
  <c r="BA39" i="2"/>
  <c r="BI43" i="2"/>
  <c r="G58" i="12"/>
  <c r="R28" i="3"/>
  <c r="H86" i="12"/>
  <c r="BE86" i="12" s="1"/>
  <c r="AE33" i="2"/>
  <c r="AE53" i="2" s="1"/>
  <c r="X70" i="12"/>
  <c r="W111" i="12"/>
  <c r="X110" i="12"/>
  <c r="Z70" i="9"/>
  <c r="AB63" i="9"/>
  <c r="Z60" i="9"/>
  <c r="Y71" i="12" s="1"/>
  <c r="AA61" i="9"/>
  <c r="AA65" i="9"/>
  <c r="Z64" i="9"/>
  <c r="Y81" i="12" s="1"/>
  <c r="Z58" i="9"/>
  <c r="AA59" i="9"/>
  <c r="AB35" i="9"/>
  <c r="AC35" i="9" s="1"/>
  <c r="AD35" i="9" s="1"/>
  <c r="AE35" i="9" s="1"/>
  <c r="AF35" i="9" s="1"/>
  <c r="AG35" i="9" s="1"/>
  <c r="AH35" i="9" s="1"/>
  <c r="AI35" i="9" s="1"/>
  <c r="AJ35" i="9" s="1"/>
  <c r="AK35" i="9" s="1"/>
  <c r="Z58" i="12"/>
  <c r="AB55" i="9"/>
  <c r="AA19" i="9"/>
  <c r="Z47" i="12" s="1"/>
  <c r="W42" i="12"/>
  <c r="W43" i="12" s="1"/>
  <c r="BC104" i="12" s="1"/>
  <c r="Y26" i="9"/>
  <c r="Z27" i="9"/>
  <c r="X13" i="9"/>
  <c r="X12" i="9" s="1"/>
  <c r="X62" i="9" s="1"/>
  <c r="O49" i="3"/>
  <c r="BB41" i="2"/>
  <c r="BB4" i="2" s="1"/>
  <c r="BL5" i="6" s="1"/>
  <c r="O47" i="3"/>
  <c r="W22" i="9"/>
  <c r="W23" i="9" s="1"/>
  <c r="W47" i="9"/>
  <c r="Z46" i="9"/>
  <c r="Y13" i="9"/>
  <c r="R19" i="4"/>
  <c r="R18" i="3"/>
  <c r="R15" i="4"/>
  <c r="I104" i="12" s="1"/>
  <c r="S13" i="3"/>
  <c r="S25" i="3"/>
  <c r="S22" i="4" s="1"/>
  <c r="BG50" i="2"/>
  <c r="BF26" i="2"/>
  <c r="AG4" i="6"/>
  <c r="BA49" i="2"/>
  <c r="BA33" i="2"/>
  <c r="U5" i="9"/>
  <c r="F48" i="9"/>
  <c r="F31" i="9"/>
  <c r="F5" i="9" s="1"/>
  <c r="N48" i="9"/>
  <c r="N31" i="9"/>
  <c r="N5" i="9" s="1"/>
  <c r="M48" i="9"/>
  <c r="M31" i="9"/>
  <c r="M5" i="9" s="1"/>
  <c r="R48" i="9"/>
  <c r="R31" i="9"/>
  <c r="R5" i="9" s="1"/>
  <c r="J48" i="9"/>
  <c r="J31" i="9"/>
  <c r="J5" i="9" s="1"/>
  <c r="Q48" i="9"/>
  <c r="Q31" i="9"/>
  <c r="Q5" i="9" s="1"/>
  <c r="L31" i="9"/>
  <c r="L5" i="9" s="1"/>
  <c r="L48" i="9"/>
  <c r="O31" i="9"/>
  <c r="O5" i="9" s="1"/>
  <c r="O48" i="9"/>
  <c r="G31" i="9"/>
  <c r="G5" i="9" s="1"/>
  <c r="G48" i="9"/>
  <c r="P33" i="2"/>
  <c r="P53" i="2" s="1"/>
  <c r="T33" i="2"/>
  <c r="W33" i="2" s="1"/>
  <c r="W53" i="2" s="1"/>
  <c r="T49" i="2"/>
  <c r="W4" i="6"/>
  <c r="E4" i="3"/>
  <c r="E4" i="4" s="1"/>
  <c r="F4" i="3"/>
  <c r="F4" i="4" s="1"/>
  <c r="AB4" i="6"/>
  <c r="H4" i="3"/>
  <c r="H4" i="4" s="1"/>
  <c r="AL4" i="6"/>
  <c r="AQ4" i="6"/>
  <c r="I4" i="3"/>
  <c r="I4" i="4" s="1"/>
  <c r="D76" i="2"/>
  <c r="H72" i="2"/>
  <c r="D77" i="2"/>
  <c r="I42" i="4"/>
  <c r="I43" i="4" s="1"/>
  <c r="I44" i="4" s="1"/>
  <c r="AC77" i="2"/>
  <c r="AC76" i="2"/>
  <c r="AG72" i="2"/>
  <c r="AH77" i="2"/>
  <c r="AH76" i="2"/>
  <c r="AL72" i="2"/>
  <c r="K35" i="2"/>
  <c r="K72" i="2"/>
  <c r="M71" i="2"/>
  <c r="O53" i="2"/>
  <c r="F36" i="2"/>
  <c r="F41" i="2" s="1"/>
  <c r="F4" i="2" s="1"/>
  <c r="P5" i="6" s="1"/>
  <c r="F53" i="2"/>
  <c r="U36" i="2"/>
  <c r="U41" i="2" s="1"/>
  <c r="U4" i="2" s="1"/>
  <c r="AE5" i="6" s="1"/>
  <c r="U53" i="2"/>
  <c r="AF36" i="2"/>
  <c r="AF41" i="2" s="1"/>
  <c r="AF4" i="2" s="1"/>
  <c r="AP5" i="6" s="1"/>
  <c r="AF53" i="2"/>
  <c r="Q53" i="2"/>
  <c r="I72" i="2"/>
  <c r="M69" i="2"/>
  <c r="I49" i="2"/>
  <c r="I33" i="2"/>
  <c r="M29" i="2"/>
  <c r="M49" i="2" s="1"/>
  <c r="X49" i="2"/>
  <c r="X33" i="2"/>
  <c r="AB29" i="2"/>
  <c r="AB49" i="2" s="1"/>
  <c r="V36" i="2"/>
  <c r="V41" i="2" s="1"/>
  <c r="V4" i="2" s="1"/>
  <c r="AF5" i="6" s="1"/>
  <c r="V53" i="2"/>
  <c r="K53" i="2"/>
  <c r="AB72" i="2"/>
  <c r="X76" i="2"/>
  <c r="X77" i="2"/>
  <c r="S72" i="2"/>
  <c r="W69" i="2"/>
  <c r="L35" i="2"/>
  <c r="L36" i="2" s="1"/>
  <c r="L41" i="2" s="1"/>
  <c r="L4" i="2" s="1"/>
  <c r="V5" i="6" s="1"/>
  <c r="L72" i="2"/>
  <c r="J77" i="2"/>
  <c r="J76" i="2"/>
  <c r="Y36" i="2"/>
  <c r="Y41" i="2" s="1"/>
  <c r="Y4" i="2" s="1"/>
  <c r="AI5" i="6" s="1"/>
  <c r="Y53" i="2"/>
  <c r="AA36" i="2"/>
  <c r="AA41" i="2" s="1"/>
  <c r="AA4" i="2" s="1"/>
  <c r="AK5" i="6" s="1"/>
  <c r="AA53" i="2"/>
  <c r="AY36" i="2"/>
  <c r="AY41" i="2" s="1"/>
  <c r="AY4" i="2" s="1"/>
  <c r="BI5" i="6" s="1"/>
  <c r="AY53" i="2"/>
  <c r="AD49" i="2"/>
  <c r="AD33" i="2"/>
  <c r="N49" i="2"/>
  <c r="R29" i="2"/>
  <c r="R49" i="2" s="1"/>
  <c r="N33" i="2"/>
  <c r="AR36" i="2"/>
  <c r="AR41" i="2" s="1"/>
  <c r="AR4" i="2" s="1"/>
  <c r="BB5" i="6" s="1"/>
  <c r="AR53" i="2"/>
  <c r="S36" i="2"/>
  <c r="S53" i="2"/>
  <c r="AP36" i="2"/>
  <c r="AP41" i="2" s="1"/>
  <c r="AP4" i="2" s="1"/>
  <c r="AZ5" i="6" s="1"/>
  <c r="AP53" i="2"/>
  <c r="Z36" i="2"/>
  <c r="Z41" i="2" s="1"/>
  <c r="Z4" i="2" s="1"/>
  <c r="AJ5" i="6" s="1"/>
  <c r="Z53" i="2"/>
  <c r="AX36" i="2"/>
  <c r="AX41" i="2" s="1"/>
  <c r="AX4" i="2" s="1"/>
  <c r="BH5" i="6" s="1"/>
  <c r="AX53" i="2"/>
  <c r="AT36" i="2"/>
  <c r="AT41" i="2" s="1"/>
  <c r="AT4" i="2" s="1"/>
  <c r="BD5" i="6" s="1"/>
  <c r="AT53" i="2"/>
  <c r="AU49" i="2"/>
  <c r="AU33" i="2"/>
  <c r="D41" i="2"/>
  <c r="D4" i="2" s="1"/>
  <c r="N5" i="6" s="1"/>
  <c r="AW49" i="2"/>
  <c r="AW33" i="2"/>
  <c r="J36" i="2"/>
  <c r="J41" i="2" s="1"/>
  <c r="J4" i="2" s="1"/>
  <c r="T5" i="6" s="1"/>
  <c r="J53" i="2"/>
  <c r="AC36" i="2"/>
  <c r="AC53" i="2"/>
  <c r="G49" i="2"/>
  <c r="G33" i="2"/>
  <c r="AV33" i="2" l="1"/>
  <c r="AG33" i="2"/>
  <c r="AG53" i="2" s="1"/>
  <c r="AV49" i="2"/>
  <c r="BG30" i="2"/>
  <c r="F47" i="12" s="1"/>
  <c r="BA14" i="12"/>
  <c r="AJ106" i="12"/>
  <c r="AJ123" i="12" s="1"/>
  <c r="AJ125" i="12" s="1"/>
  <c r="S31" i="3"/>
  <c r="T31" i="3" s="1"/>
  <c r="U31" i="3" s="1"/>
  <c r="V31" i="3" s="1"/>
  <c r="W31" i="3" s="1"/>
  <c r="X31" i="3" s="1"/>
  <c r="Y31" i="3" s="1"/>
  <c r="Z31" i="3" s="1"/>
  <c r="AA31" i="3" s="1"/>
  <c r="AB31" i="3" s="1"/>
  <c r="I91" i="12"/>
  <c r="AE36" i="2"/>
  <c r="AE41" i="2" s="1"/>
  <c r="AE4" i="2" s="1"/>
  <c r="AO5" i="6" s="1"/>
  <c r="Y70" i="12"/>
  <c r="S28" i="3"/>
  <c r="T28" i="3" s="1"/>
  <c r="U28" i="3" s="1"/>
  <c r="V28" i="3" s="1"/>
  <c r="W28" i="3" s="1"/>
  <c r="X28" i="3" s="1"/>
  <c r="Y28" i="3" s="1"/>
  <c r="Z28" i="3" s="1"/>
  <c r="AA28" i="3" s="1"/>
  <c r="AB28" i="3" s="1"/>
  <c r="I86" i="12"/>
  <c r="BF86" i="12" s="1"/>
  <c r="W80" i="12"/>
  <c r="X67" i="9"/>
  <c r="AG49" i="2"/>
  <c r="AG39" i="2"/>
  <c r="BJ43" i="2"/>
  <c r="H58" i="12"/>
  <c r="Y110" i="12"/>
  <c r="AA70" i="9"/>
  <c r="X111" i="12"/>
  <c r="AB65" i="9"/>
  <c r="AA64" i="9"/>
  <c r="Z81" i="12" s="1"/>
  <c r="AA60" i="9"/>
  <c r="Z71" i="12" s="1"/>
  <c r="AB61" i="9"/>
  <c r="AC63" i="9"/>
  <c r="AA58" i="9"/>
  <c r="AB59" i="9"/>
  <c r="X17" i="9"/>
  <c r="X28" i="9" s="1"/>
  <c r="W39" i="12" s="1"/>
  <c r="AC55" i="9"/>
  <c r="AB19" i="9"/>
  <c r="W24" i="9"/>
  <c r="W48" i="9" s="1"/>
  <c r="V51" i="12"/>
  <c r="Z26" i="9"/>
  <c r="AA27" i="9"/>
  <c r="X42" i="12"/>
  <c r="X43" i="12" s="1"/>
  <c r="BD104" i="12" s="1"/>
  <c r="P47" i="3"/>
  <c r="N44" i="3"/>
  <c r="N11" i="3" s="1"/>
  <c r="E70" i="12" s="1"/>
  <c r="O45" i="3"/>
  <c r="N26" i="4"/>
  <c r="BH30" i="2"/>
  <c r="G47" i="12" s="1"/>
  <c r="BI52" i="2"/>
  <c r="O51" i="3"/>
  <c r="N50" i="3"/>
  <c r="N22" i="3" s="1"/>
  <c r="P49" i="3"/>
  <c r="Y12" i="9"/>
  <c r="Y62" i="9" s="1"/>
  <c r="Y17" i="9"/>
  <c r="Y28" i="9" s="1"/>
  <c r="X39" i="12" s="1"/>
  <c r="AA46" i="9"/>
  <c r="Z13" i="9"/>
  <c r="S18" i="3"/>
  <c r="S19" i="4"/>
  <c r="T25" i="3"/>
  <c r="T22" i="4" s="1"/>
  <c r="T13" i="3"/>
  <c r="BG51" i="2"/>
  <c r="BF27" i="2"/>
  <c r="M35" i="2"/>
  <c r="BA36" i="2"/>
  <c r="BA41" i="2" s="1"/>
  <c r="BA4" i="2" s="1"/>
  <c r="BA53" i="2"/>
  <c r="D16" i="5" s="1"/>
  <c r="D18" i="5" s="1"/>
  <c r="D22" i="5" s="1"/>
  <c r="BH50" i="2"/>
  <c r="BG26" i="2"/>
  <c r="T53" i="2"/>
  <c r="T36" i="2"/>
  <c r="T41" i="2" s="1"/>
  <c r="T4" i="2" s="1"/>
  <c r="AD5" i="6" s="1"/>
  <c r="H76" i="2"/>
  <c r="H77" i="2"/>
  <c r="J42" i="4"/>
  <c r="J43" i="4" s="1"/>
  <c r="J44" i="4" s="1"/>
  <c r="AC41" i="2"/>
  <c r="AC4" i="2" s="1"/>
  <c r="AM5" i="6" s="1"/>
  <c r="AU36" i="2"/>
  <c r="AU41" i="2" s="1"/>
  <c r="AU4" i="2" s="1"/>
  <c r="BE5" i="6" s="1"/>
  <c r="AU53" i="2"/>
  <c r="L77" i="2"/>
  <c r="L76" i="2"/>
  <c r="AV36" i="2"/>
  <c r="AV41" i="2" s="1"/>
  <c r="AV4" i="2" s="1"/>
  <c r="AV53" i="2"/>
  <c r="AL77" i="2"/>
  <c r="AL76" i="2"/>
  <c r="I36" i="2"/>
  <c r="M33" i="2"/>
  <c r="M53" i="2" s="1"/>
  <c r="I53" i="2"/>
  <c r="R33" i="2"/>
  <c r="R53" i="2" s="1"/>
  <c r="N53" i="2"/>
  <c r="AG77" i="2"/>
  <c r="AG76" i="2"/>
  <c r="AW36" i="2"/>
  <c r="AW41" i="2" s="1"/>
  <c r="AW4" i="2" s="1"/>
  <c r="BG5" i="6" s="1"/>
  <c r="AW53" i="2"/>
  <c r="S77" i="2"/>
  <c r="S76" i="2"/>
  <c r="W72" i="2"/>
  <c r="M72" i="2"/>
  <c r="I77" i="2"/>
  <c r="I76" i="2"/>
  <c r="AB77" i="2"/>
  <c r="AB76" i="2"/>
  <c r="G36" i="2"/>
  <c r="G53" i="2"/>
  <c r="N71" i="2"/>
  <c r="O71" i="2" s="1"/>
  <c r="K77" i="2"/>
  <c r="K76" i="2"/>
  <c r="S41" i="2"/>
  <c r="S4" i="2" s="1"/>
  <c r="AC5" i="6" s="1"/>
  <c r="AD36" i="2"/>
  <c r="AD41" i="2" s="1"/>
  <c r="AD4" i="2" s="1"/>
  <c r="AN5" i="6" s="1"/>
  <c r="AD53" i="2"/>
  <c r="K36" i="2"/>
  <c r="K41" i="2" s="1"/>
  <c r="K4" i="2" s="1"/>
  <c r="U5" i="6" s="1"/>
  <c r="X36" i="2"/>
  <c r="AB33" i="2"/>
  <c r="AB53" i="2" s="1"/>
  <c r="X53" i="2"/>
  <c r="H33" i="2"/>
  <c r="H53" i="2" s="1"/>
  <c r="W36" i="2" l="1"/>
  <c r="W41" i="2" s="1"/>
  <c r="W4" i="2" s="1"/>
  <c r="BC14" i="12"/>
  <c r="BB14" i="12"/>
  <c r="W31" i="9"/>
  <c r="X80" i="12"/>
  <c r="X105" i="12" s="1"/>
  <c r="Y67" i="9"/>
  <c r="Y68" i="9" s="1"/>
  <c r="BK43" i="2"/>
  <c r="I58" i="12"/>
  <c r="X47" i="9"/>
  <c r="E110" i="12"/>
  <c r="E20" i="5"/>
  <c r="Z70" i="12"/>
  <c r="S15" i="4"/>
  <c r="N21" i="4"/>
  <c r="E81" i="12"/>
  <c r="X22" i="9"/>
  <c r="X23" i="9" s="1"/>
  <c r="W51" i="12" s="1"/>
  <c r="Z110" i="12"/>
  <c r="AB70" i="9"/>
  <c r="Y111" i="12"/>
  <c r="AD63" i="9"/>
  <c r="AB60" i="9"/>
  <c r="AC61" i="9"/>
  <c r="AC59" i="9"/>
  <c r="AB58" i="9"/>
  <c r="AB64" i="9"/>
  <c r="AC65" i="9"/>
  <c r="AD55" i="9"/>
  <c r="AC19" i="9"/>
  <c r="AB27" i="9"/>
  <c r="AA26" i="9"/>
  <c r="Y42" i="12"/>
  <c r="Y43" i="12" s="1"/>
  <c r="BE104" i="12" s="1"/>
  <c r="P51" i="3"/>
  <c r="O50" i="3"/>
  <c r="O22" i="3" s="1"/>
  <c r="O26" i="4"/>
  <c r="O44" i="3"/>
  <c r="O11" i="3" s="1"/>
  <c r="F70" i="12" s="1"/>
  <c r="P45" i="3"/>
  <c r="N17" i="4"/>
  <c r="Q47" i="3"/>
  <c r="Q49" i="3"/>
  <c r="BJ52" i="2"/>
  <c r="BI30" i="2"/>
  <c r="H47" i="12" s="1"/>
  <c r="Y22" i="9"/>
  <c r="Y23" i="9" s="1"/>
  <c r="Y47" i="9"/>
  <c r="Z12" i="9"/>
  <c r="Z62" i="9" s="1"/>
  <c r="Z17" i="9"/>
  <c r="Z28" i="9" s="1"/>
  <c r="Y39" i="12" s="1"/>
  <c r="AB46" i="9"/>
  <c r="AA13" i="9"/>
  <c r="T19" i="4"/>
  <c r="T18" i="3"/>
  <c r="T15" i="4"/>
  <c r="U25" i="3"/>
  <c r="U22" i="4" s="1"/>
  <c r="U13" i="3"/>
  <c r="D5" i="5"/>
  <c r="BK5" i="6"/>
  <c r="M5" i="3"/>
  <c r="M5" i="4" s="1"/>
  <c r="BH51" i="2"/>
  <c r="BG27" i="2"/>
  <c r="BH26" i="2"/>
  <c r="BF5" i="6"/>
  <c r="L5" i="3"/>
  <c r="L5" i="4" s="1"/>
  <c r="AG5" i="6"/>
  <c r="G5" i="3"/>
  <c r="G5" i="4" s="1"/>
  <c r="K42" i="4"/>
  <c r="K43" i="4" s="1"/>
  <c r="K44" i="4" s="1"/>
  <c r="W76" i="2"/>
  <c r="W77" i="2"/>
  <c r="X41" i="2"/>
  <c r="X4" i="2" s="1"/>
  <c r="AH5" i="6" s="1"/>
  <c r="AB36" i="2"/>
  <c r="AB41" i="2" s="1"/>
  <c r="AB4" i="2" s="1"/>
  <c r="N35" i="2"/>
  <c r="N72" i="2"/>
  <c r="P71" i="2"/>
  <c r="I41" i="2"/>
  <c r="I4" i="2" s="1"/>
  <c r="S5" i="6" s="1"/>
  <c r="M36" i="2"/>
  <c r="M41" i="2" s="1"/>
  <c r="M4" i="2" s="1"/>
  <c r="G41" i="2"/>
  <c r="G4" i="2" s="1"/>
  <c r="Q5" i="6" s="1"/>
  <c r="H36" i="2"/>
  <c r="H41" i="2" s="1"/>
  <c r="H4" i="2" s="1"/>
  <c r="M77" i="2"/>
  <c r="M76" i="2"/>
  <c r="O35" i="2"/>
  <c r="O36" i="2" s="1"/>
  <c r="O41" i="2" s="1"/>
  <c r="O4" i="2" s="1"/>
  <c r="Y5" i="6" s="1"/>
  <c r="O72" i="2"/>
  <c r="AG36" i="2"/>
  <c r="AG41" i="2" s="1"/>
  <c r="AG4" i="2" s="1"/>
  <c r="O17" i="4" l="1"/>
  <c r="BL43" i="2"/>
  <c r="J58" i="12"/>
  <c r="Y80" i="12"/>
  <c r="Y105" i="12" s="1"/>
  <c r="Z67" i="9"/>
  <c r="Z68" i="9" s="1"/>
  <c r="X24" i="9"/>
  <c r="F110" i="12"/>
  <c r="BC110" i="12" s="1"/>
  <c r="F20" i="5"/>
  <c r="O21" i="4"/>
  <c r="F81" i="12"/>
  <c r="BC81" i="12" s="1"/>
  <c r="C21" i="18" s="1"/>
  <c r="AC70" i="9"/>
  <c r="Z111" i="12"/>
  <c r="AC64" i="9"/>
  <c r="AD65" i="9"/>
  <c r="AC58" i="9"/>
  <c r="AD59" i="9"/>
  <c r="AD61" i="9"/>
  <c r="AC60" i="9"/>
  <c r="AE63" i="9"/>
  <c r="AE55" i="9"/>
  <c r="AD19" i="9"/>
  <c r="Y24" i="9"/>
  <c r="Y31" i="9" s="1"/>
  <c r="X51" i="12"/>
  <c r="Z42" i="12"/>
  <c r="Z43" i="12" s="1"/>
  <c r="BF104" i="12" s="1"/>
  <c r="AC27" i="9"/>
  <c r="AB26" i="9"/>
  <c r="BK52" i="2"/>
  <c r="BJ30" i="2"/>
  <c r="I47" i="12" s="1"/>
  <c r="Q45" i="3"/>
  <c r="P44" i="3"/>
  <c r="P11" i="3" s="1"/>
  <c r="G70" i="12" s="1"/>
  <c r="R49" i="3"/>
  <c r="Q51" i="3"/>
  <c r="P50" i="3"/>
  <c r="P22" i="3" s="1"/>
  <c r="R47" i="3"/>
  <c r="P26" i="4"/>
  <c r="Z22" i="9"/>
  <c r="Z23" i="9" s="1"/>
  <c r="Z47" i="9"/>
  <c r="Y48" i="9"/>
  <c r="AA12" i="9"/>
  <c r="AA62" i="9" s="1"/>
  <c r="AA17" i="9"/>
  <c r="AA28" i="9" s="1"/>
  <c r="Z39" i="12" s="1"/>
  <c r="AC46" i="9"/>
  <c r="AB13" i="9"/>
  <c r="U18" i="3"/>
  <c r="U15" i="4" s="1"/>
  <c r="U19" i="4"/>
  <c r="V13" i="3"/>
  <c r="V25" i="3"/>
  <c r="V22" i="4" s="1"/>
  <c r="R5" i="6"/>
  <c r="D5" i="3"/>
  <c r="D5" i="4" s="1"/>
  <c r="BH27" i="2"/>
  <c r="BJ50" i="2"/>
  <c r="BI26" i="2"/>
  <c r="W5" i="6"/>
  <c r="E5" i="3"/>
  <c r="E5" i="4" s="1"/>
  <c r="AQ5" i="6"/>
  <c r="I5" i="3"/>
  <c r="I5" i="4" s="1"/>
  <c r="H5" i="3"/>
  <c r="H5" i="4" s="1"/>
  <c r="AL5" i="6"/>
  <c r="L42" i="4"/>
  <c r="L43" i="4" s="1"/>
  <c r="N77" i="2"/>
  <c r="N76" i="2"/>
  <c r="N36" i="2"/>
  <c r="O77" i="2"/>
  <c r="O76" i="2"/>
  <c r="P35" i="2"/>
  <c r="P36" i="2" s="1"/>
  <c r="P41" i="2" s="1"/>
  <c r="P4" i="2" s="1"/>
  <c r="Z5" i="6" s="1"/>
  <c r="P72" i="2"/>
  <c r="Q71" i="2"/>
  <c r="P17" i="4" l="1"/>
  <c r="BM43" i="2"/>
  <c r="K58" i="12"/>
  <c r="X31" i="9"/>
  <c r="X48" i="9"/>
  <c r="G110" i="12"/>
  <c r="BD110" i="12" s="1"/>
  <c r="G20" i="5"/>
  <c r="Z80" i="12"/>
  <c r="AA67" i="9"/>
  <c r="AA68" i="9" s="1"/>
  <c r="P21" i="4"/>
  <c r="G81" i="12"/>
  <c r="BD81" i="12" s="1"/>
  <c r="D21" i="18" s="1"/>
  <c r="AD70" i="9"/>
  <c r="AE61" i="9"/>
  <c r="AD60" i="9"/>
  <c r="AD58" i="9"/>
  <c r="AE59" i="9"/>
  <c r="AD64" i="9"/>
  <c r="AE65" i="9"/>
  <c r="AF63" i="9"/>
  <c r="AF55" i="9"/>
  <c r="AE19" i="9"/>
  <c r="Z24" i="9"/>
  <c r="Z48" i="9" s="1"/>
  <c r="Y51" i="12"/>
  <c r="AD27" i="9"/>
  <c r="AC26" i="9"/>
  <c r="R51" i="3"/>
  <c r="Q50" i="3"/>
  <c r="Q22" i="3" s="1"/>
  <c r="S47" i="3"/>
  <c r="S49" i="3"/>
  <c r="R45" i="3"/>
  <c r="Q44" i="3"/>
  <c r="Q11" i="3" s="1"/>
  <c r="H70" i="12" s="1"/>
  <c r="Q26" i="4"/>
  <c r="BL52" i="2"/>
  <c r="BK30" i="2"/>
  <c r="J47" i="12" s="1"/>
  <c r="AA22" i="9"/>
  <c r="AA23" i="9" s="1"/>
  <c r="Z51" i="12" s="1"/>
  <c r="AA47" i="9"/>
  <c r="AB12" i="9"/>
  <c r="AB62" i="9" s="1"/>
  <c r="AB67" i="9" s="1"/>
  <c r="AB17" i="9"/>
  <c r="AD46" i="9"/>
  <c r="AC13" i="9"/>
  <c r="V18" i="3"/>
  <c r="V15" i="4"/>
  <c r="V19" i="4"/>
  <c r="W25" i="3"/>
  <c r="W22" i="4" s="1"/>
  <c r="W13" i="3"/>
  <c r="BJ51" i="2"/>
  <c r="BI27" i="2"/>
  <c r="BK50" i="2"/>
  <c r="BJ26" i="2"/>
  <c r="M42" i="4"/>
  <c r="M43" i="4" s="1"/>
  <c r="L44" i="4"/>
  <c r="N41" i="2"/>
  <c r="N4" i="2" s="1"/>
  <c r="X5" i="6" s="1"/>
  <c r="Q35" i="2"/>
  <c r="Q36" i="2" s="1"/>
  <c r="Q41" i="2" s="1"/>
  <c r="Q4" i="2" s="1"/>
  <c r="AA5" i="6" s="1"/>
  <c r="Q72" i="2"/>
  <c r="R71" i="2"/>
  <c r="P77" i="2"/>
  <c r="P76" i="2"/>
  <c r="BN43" i="2" l="1"/>
  <c r="L58" i="12"/>
  <c r="Z105" i="12"/>
  <c r="AA105" i="12"/>
  <c r="H110" i="12"/>
  <c r="BE110" i="12" s="1"/>
  <c r="H20" i="5"/>
  <c r="AB68" i="9"/>
  <c r="Z31" i="9"/>
  <c r="Q21" i="4"/>
  <c r="H81" i="12"/>
  <c r="BE81" i="12" s="1"/>
  <c r="E21" i="18" s="1"/>
  <c r="AB28" i="9"/>
  <c r="AE70" i="9"/>
  <c r="AG63" i="9"/>
  <c r="AE58" i="9"/>
  <c r="AF59" i="9"/>
  <c r="AF65" i="9"/>
  <c r="AE64" i="9"/>
  <c r="AF61" i="9"/>
  <c r="AE60" i="9"/>
  <c r="AG55" i="9"/>
  <c r="AF19" i="9"/>
  <c r="AA24" i="9"/>
  <c r="AA48" i="9" s="1"/>
  <c r="AD26" i="9"/>
  <c r="AE27" i="9"/>
  <c r="T47" i="3"/>
  <c r="Q17" i="4"/>
  <c r="S45" i="3"/>
  <c r="R44" i="3"/>
  <c r="R11" i="3" s="1"/>
  <c r="BM52" i="2"/>
  <c r="BL30" i="2"/>
  <c r="K47" i="12" s="1"/>
  <c r="S51" i="3"/>
  <c r="R50" i="3"/>
  <c r="R22" i="3" s="1"/>
  <c r="R26" i="4"/>
  <c r="T49" i="3"/>
  <c r="AB22" i="9"/>
  <c r="AB23" i="9" s="1"/>
  <c r="AB24" i="9" s="1"/>
  <c r="AB47" i="9"/>
  <c r="AC12" i="9"/>
  <c r="AC62" i="9" s="1"/>
  <c r="AC67" i="9" s="1"/>
  <c r="AC68" i="9" s="1"/>
  <c r="AC17" i="9"/>
  <c r="AE46" i="9"/>
  <c r="AD13" i="9"/>
  <c r="W18" i="3"/>
  <c r="W15" i="4"/>
  <c r="W19" i="4"/>
  <c r="M44" i="4"/>
  <c r="N42" i="4"/>
  <c r="X25" i="3"/>
  <c r="X22" i="4" s="1"/>
  <c r="X13" i="3"/>
  <c r="X19" i="4" s="1"/>
  <c r="BK26" i="2"/>
  <c r="BK51" i="2"/>
  <c r="BJ27" i="2"/>
  <c r="Q77" i="2"/>
  <c r="Q76" i="2"/>
  <c r="R35" i="2"/>
  <c r="R72" i="2"/>
  <c r="R36" i="2"/>
  <c r="R41" i="2" s="1"/>
  <c r="R4" i="2" s="1"/>
  <c r="BO43" i="2" l="1"/>
  <c r="M58" i="12"/>
  <c r="AA106" i="12"/>
  <c r="AA123" i="12" s="1"/>
  <c r="AA125" i="12" s="1"/>
  <c r="I110" i="12"/>
  <c r="BF110" i="12" s="1"/>
  <c r="I20" i="5"/>
  <c r="R21" i="4"/>
  <c r="I81" i="12"/>
  <c r="BF81" i="12" s="1"/>
  <c r="F21" i="18" s="1"/>
  <c r="R17" i="4"/>
  <c r="I70" i="12"/>
  <c r="AA31" i="9"/>
  <c r="AC28" i="9"/>
  <c r="AF70" i="9"/>
  <c r="AG61" i="9"/>
  <c r="AF60" i="9"/>
  <c r="AG65" i="9"/>
  <c r="AF64" i="9"/>
  <c r="AG59" i="9"/>
  <c r="AF58" i="9"/>
  <c r="AH63" i="9"/>
  <c r="AH55" i="9"/>
  <c r="AG19" i="9"/>
  <c r="AE26" i="9"/>
  <c r="AF27" i="9"/>
  <c r="U49" i="3"/>
  <c r="T51" i="3"/>
  <c r="S50" i="3"/>
  <c r="S22" i="3" s="1"/>
  <c r="T45" i="3"/>
  <c r="S44" i="3"/>
  <c r="S11" i="3" s="1"/>
  <c r="S26" i="4"/>
  <c r="BN52" i="2"/>
  <c r="BM30" i="2"/>
  <c r="L47" i="12" s="1"/>
  <c r="U47" i="3"/>
  <c r="AC22" i="9"/>
  <c r="AC23" i="9" s="1"/>
  <c r="AC24" i="9" s="1"/>
  <c r="AC47" i="9"/>
  <c r="AB48" i="9"/>
  <c r="AB31" i="9"/>
  <c r="AD12" i="9"/>
  <c r="AD62" i="9" s="1"/>
  <c r="AD67" i="9" s="1"/>
  <c r="AD68" i="9" s="1"/>
  <c r="AD17" i="9"/>
  <c r="AF46" i="9"/>
  <c r="AE13" i="9"/>
  <c r="X18" i="3"/>
  <c r="X15" i="4"/>
  <c r="Y25" i="3"/>
  <c r="Y22" i="4" s="1"/>
  <c r="Y13" i="3"/>
  <c r="BK27" i="2"/>
  <c r="BM50" i="2"/>
  <c r="BL26" i="2"/>
  <c r="F5" i="3"/>
  <c r="F5" i="4" s="1"/>
  <c r="AB5" i="6"/>
  <c r="R77" i="2"/>
  <c r="R76" i="2"/>
  <c r="S21" i="4" l="1"/>
  <c r="J81" i="12"/>
  <c r="BG81" i="12" s="1"/>
  <c r="G21" i="18" s="1"/>
  <c r="S17" i="4"/>
  <c r="J70" i="12"/>
  <c r="BG70" i="12" s="1"/>
  <c r="G10" i="18" s="1"/>
  <c r="J20" i="5"/>
  <c r="J110" i="12"/>
  <c r="BG110" i="12" s="1"/>
  <c r="BP43" i="2"/>
  <c r="N58" i="12"/>
  <c r="AG70" i="9"/>
  <c r="AD28" i="9"/>
  <c r="AI63" i="9"/>
  <c r="AG58" i="9"/>
  <c r="AH59" i="9"/>
  <c r="AG64" i="9"/>
  <c r="AH65" i="9"/>
  <c r="AG60" i="9"/>
  <c r="AH61" i="9"/>
  <c r="AI55" i="9"/>
  <c r="AH19" i="9"/>
  <c r="AG27" i="9"/>
  <c r="AF26" i="9"/>
  <c r="V47" i="3"/>
  <c r="T44" i="3"/>
  <c r="T11" i="3" s="1"/>
  <c r="U45" i="3"/>
  <c r="V49" i="3"/>
  <c r="T26" i="4"/>
  <c r="K110" i="12" s="1"/>
  <c r="BH110" i="12" s="1"/>
  <c r="BO52" i="2"/>
  <c r="BN30" i="2"/>
  <c r="M47" i="12" s="1"/>
  <c r="U51" i="3"/>
  <c r="T50" i="3"/>
  <c r="T22" i="3" s="1"/>
  <c r="AC48" i="9"/>
  <c r="AC31" i="9"/>
  <c r="AC5" i="9" s="1"/>
  <c r="AD22" i="9"/>
  <c r="AD23" i="9" s="1"/>
  <c r="AD24" i="9" s="1"/>
  <c r="AD47" i="9"/>
  <c r="AE12" i="9"/>
  <c r="AE62" i="9" s="1"/>
  <c r="AE67" i="9" s="1"/>
  <c r="AE68" i="9" s="1"/>
  <c r="AE17" i="9"/>
  <c r="AG46" i="9"/>
  <c r="AF13" i="9"/>
  <c r="Y18" i="3"/>
  <c r="Y15" i="4"/>
  <c r="Y19" i="4"/>
  <c r="Z13" i="3"/>
  <c r="Z25" i="3"/>
  <c r="Z22" i="4" s="1"/>
  <c r="BM51" i="2"/>
  <c r="BL27" i="2"/>
  <c r="BN50" i="2"/>
  <c r="BM26" i="2"/>
  <c r="T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J4" i="9"/>
  <c r="AK4" i="9"/>
  <c r="V5" i="9"/>
  <c r="W5" i="9"/>
  <c r="X5" i="9"/>
  <c r="Y5" i="9"/>
  <c r="Z5" i="9"/>
  <c r="AA5" i="9"/>
  <c r="AB5" i="9"/>
  <c r="T21" i="4" l="1"/>
  <c r="K81" i="12"/>
  <c r="BH81" i="12" s="1"/>
  <c r="H21" i="18" s="1"/>
  <c r="BQ43" i="2"/>
  <c r="O58" i="12"/>
  <c r="T17" i="4"/>
  <c r="K70" i="12"/>
  <c r="BH70" i="12" s="1"/>
  <c r="H10" i="18" s="1"/>
  <c r="K20" i="5"/>
  <c r="AE28" i="9"/>
  <c r="AH70" i="9"/>
  <c r="AI65" i="9"/>
  <c r="AH64" i="9"/>
  <c r="AI59" i="9"/>
  <c r="AH58" i="9"/>
  <c r="AH60" i="9"/>
  <c r="AI61" i="9"/>
  <c r="AJ63" i="9"/>
  <c r="AJ55" i="9"/>
  <c r="AI19" i="9"/>
  <c r="AG26" i="9"/>
  <c r="AH27" i="9"/>
  <c r="W49" i="3"/>
  <c r="BP52" i="2"/>
  <c r="BO30" i="2"/>
  <c r="N47" i="12" s="1"/>
  <c r="U26" i="4"/>
  <c r="V45" i="3"/>
  <c r="U44" i="3"/>
  <c r="U11" i="3" s="1"/>
  <c r="U50" i="3"/>
  <c r="U22" i="3" s="1"/>
  <c r="V51" i="3"/>
  <c r="W47" i="3"/>
  <c r="AE22" i="9"/>
  <c r="AE23" i="9" s="1"/>
  <c r="AE24" i="9" s="1"/>
  <c r="AE47" i="9"/>
  <c r="AD48" i="9"/>
  <c r="AD31" i="9"/>
  <c r="AD5" i="9" s="1"/>
  <c r="AF12" i="9"/>
  <c r="AF62" i="9" s="1"/>
  <c r="AF67" i="9" s="1"/>
  <c r="AF68" i="9" s="1"/>
  <c r="AF17" i="9"/>
  <c r="AH46" i="9"/>
  <c r="AG13" i="9"/>
  <c r="Z19" i="4"/>
  <c r="Z18" i="3"/>
  <c r="Z15" i="4"/>
  <c r="AA25" i="3"/>
  <c r="AA22" i="4" s="1"/>
  <c r="AA13" i="3"/>
  <c r="BO50" i="2"/>
  <c r="BN26" i="2"/>
  <c r="BN51" i="2"/>
  <c r="BM27" i="2"/>
  <c r="U17" i="4" l="1"/>
  <c r="L70" i="12"/>
  <c r="BI70" i="12" s="1"/>
  <c r="I10" i="18" s="1"/>
  <c r="L20" i="5"/>
  <c r="L110" i="12"/>
  <c r="BI110" i="12" s="1"/>
  <c r="BR43" i="2"/>
  <c r="P58" i="12"/>
  <c r="U21" i="4"/>
  <c r="L81" i="12"/>
  <c r="BI81" i="12" s="1"/>
  <c r="I21" i="18" s="1"/>
  <c r="AF28" i="9"/>
  <c r="AI70" i="9"/>
  <c r="AJ61" i="9"/>
  <c r="AI60" i="9"/>
  <c r="AK63" i="9"/>
  <c r="AI58" i="9"/>
  <c r="AJ59" i="9"/>
  <c r="AJ65" i="9"/>
  <c r="AI64" i="9"/>
  <c r="AK55" i="9"/>
  <c r="AK19" i="9" s="1"/>
  <c r="AJ19" i="9"/>
  <c r="AH26" i="9"/>
  <c r="AI27" i="9"/>
  <c r="W45" i="3"/>
  <c r="V44" i="3"/>
  <c r="V11" i="3" s="1"/>
  <c r="V26" i="4"/>
  <c r="M110" i="12" s="1"/>
  <c r="BJ110" i="12" s="1"/>
  <c r="X49" i="3"/>
  <c r="X47" i="3"/>
  <c r="W51" i="3"/>
  <c r="V50" i="3"/>
  <c r="V22" i="3" s="1"/>
  <c r="BQ52" i="2"/>
  <c r="BP30" i="2"/>
  <c r="O47" i="12" s="1"/>
  <c r="AF22" i="9"/>
  <c r="AF23" i="9" s="1"/>
  <c r="AF24" i="9" s="1"/>
  <c r="AF47" i="9"/>
  <c r="AE48" i="9"/>
  <c r="AE31" i="9"/>
  <c r="AE5" i="9" s="1"/>
  <c r="AG12" i="9"/>
  <c r="AG62" i="9" s="1"/>
  <c r="AG67" i="9" s="1"/>
  <c r="AG68" i="9" s="1"/>
  <c r="AG17" i="9"/>
  <c r="AI46" i="9"/>
  <c r="AH13" i="9"/>
  <c r="AA18" i="3"/>
  <c r="AA15" i="4"/>
  <c r="AA19" i="4"/>
  <c r="AB13" i="3"/>
  <c r="AB19" i="4" s="1"/>
  <c r="AB25" i="3"/>
  <c r="BO51" i="2"/>
  <c r="BN27" i="2"/>
  <c r="BP50" i="2"/>
  <c r="BO26" i="2"/>
  <c r="V17" i="4" l="1"/>
  <c r="M70" i="12"/>
  <c r="BJ70" i="12" s="1"/>
  <c r="J10" i="18" s="1"/>
  <c r="V21" i="4"/>
  <c r="M81" i="12"/>
  <c r="BJ81" i="12" s="1"/>
  <c r="J21" i="18" s="1"/>
  <c r="BS43" i="2"/>
  <c r="Q58" i="12"/>
  <c r="M20" i="5"/>
  <c r="AG28" i="9"/>
  <c r="AK70" i="9"/>
  <c r="AJ70" i="9"/>
  <c r="AK65" i="9"/>
  <c r="AK64" i="9" s="1"/>
  <c r="AJ64" i="9"/>
  <c r="AJ58" i="9"/>
  <c r="AK59" i="9"/>
  <c r="AK58" i="9" s="1"/>
  <c r="AJ60" i="9"/>
  <c r="AK61" i="9"/>
  <c r="AK60" i="9" s="1"/>
  <c r="AI26" i="9"/>
  <c r="AJ27" i="9"/>
  <c r="W26" i="4"/>
  <c r="Y49" i="3"/>
  <c r="X45" i="3"/>
  <c r="W44" i="3"/>
  <c r="W11" i="3" s="1"/>
  <c r="N70" i="12" s="1"/>
  <c r="BK70" i="12" s="1"/>
  <c r="K10" i="18" s="1"/>
  <c r="X51" i="3"/>
  <c r="W50" i="3"/>
  <c r="W22" i="3" s="1"/>
  <c r="Y47" i="3"/>
  <c r="BR52" i="2"/>
  <c r="BQ30" i="2"/>
  <c r="P47" i="12" s="1"/>
  <c r="AG22" i="9"/>
  <c r="AG23" i="9" s="1"/>
  <c r="AG24" i="9" s="1"/>
  <c r="AG47" i="9"/>
  <c r="AF48" i="9"/>
  <c r="AF31" i="9"/>
  <c r="AF5" i="9" s="1"/>
  <c r="AH12" i="9"/>
  <c r="AH62" i="9" s="1"/>
  <c r="AH67" i="9" s="1"/>
  <c r="AH68" i="9" s="1"/>
  <c r="AH17" i="9"/>
  <c r="AJ46" i="9"/>
  <c r="AI13" i="9"/>
  <c r="AB22" i="4"/>
  <c r="AB18" i="3"/>
  <c r="AB15" i="4"/>
  <c r="BQ50" i="2"/>
  <c r="BP26" i="2"/>
  <c r="BP51" i="2"/>
  <c r="BO27" i="2"/>
  <c r="N20" i="5" l="1"/>
  <c r="N110" i="12"/>
  <c r="BK110" i="12" s="1"/>
  <c r="BT43" i="2"/>
  <c r="S58" i="12" s="1"/>
  <c r="R58" i="12"/>
  <c r="W21" i="4"/>
  <c r="N81" i="12"/>
  <c r="BK81" i="12" s="1"/>
  <c r="K21" i="18" s="1"/>
  <c r="AH28" i="9"/>
  <c r="AJ26" i="9"/>
  <c r="AK27" i="9"/>
  <c r="AK26" i="9" s="1"/>
  <c r="Y45" i="3"/>
  <c r="X44" i="3"/>
  <c r="X11" i="3" s="1"/>
  <c r="O70" i="12" s="1"/>
  <c r="BL70" i="12" s="1"/>
  <c r="L10" i="18" s="1"/>
  <c r="Y51" i="3"/>
  <c r="X50" i="3"/>
  <c r="X22" i="3" s="1"/>
  <c r="Z47" i="3"/>
  <c r="BS52" i="2"/>
  <c r="BR30" i="2"/>
  <c r="Q47" i="12" s="1"/>
  <c r="W17" i="4"/>
  <c r="X26" i="4"/>
  <c r="O110" i="12" s="1"/>
  <c r="BL110" i="12" s="1"/>
  <c r="Z49" i="3"/>
  <c r="AH22" i="9"/>
  <c r="AH23" i="9" s="1"/>
  <c r="AH24" i="9" s="1"/>
  <c r="AH47" i="9"/>
  <c r="AG48" i="9"/>
  <c r="AG31" i="9"/>
  <c r="AG5" i="9" s="1"/>
  <c r="AI12" i="9"/>
  <c r="AI62" i="9" s="1"/>
  <c r="AI67" i="9" s="1"/>
  <c r="AI68" i="9" s="1"/>
  <c r="AI17" i="9"/>
  <c r="AK46" i="9"/>
  <c r="AK13" i="9" s="1"/>
  <c r="AJ13" i="9"/>
  <c r="BQ51" i="2"/>
  <c r="BP27" i="2"/>
  <c r="BR50" i="2"/>
  <c r="BQ26" i="2"/>
  <c r="X21" i="4" l="1"/>
  <c r="O81" i="12"/>
  <c r="BL81" i="12" s="1"/>
  <c r="L21" i="18" s="1"/>
  <c r="O20" i="5"/>
  <c r="AI28" i="9"/>
  <c r="Z51" i="3"/>
  <c r="Y50" i="3"/>
  <c r="Y22" i="3" s="1"/>
  <c r="BT52" i="2"/>
  <c r="BT30" i="2" s="1"/>
  <c r="S47" i="12" s="1"/>
  <c r="BS30" i="2"/>
  <c r="R47" i="12" s="1"/>
  <c r="Z45" i="3"/>
  <c r="Y44" i="3"/>
  <c r="Y11" i="3" s="1"/>
  <c r="AA49" i="3"/>
  <c r="AA47" i="3"/>
  <c r="Y26" i="4"/>
  <c r="P110" i="12" s="1"/>
  <c r="BM110" i="12" s="1"/>
  <c r="X17" i="4"/>
  <c r="AI22" i="9"/>
  <c r="AI23" i="9" s="1"/>
  <c r="AI24" i="9" s="1"/>
  <c r="AI47" i="9"/>
  <c r="AH48" i="9"/>
  <c r="AH31" i="9"/>
  <c r="AH5" i="9" s="1"/>
  <c r="AK12" i="9"/>
  <c r="AK62" i="9" s="1"/>
  <c r="AK67" i="9" s="1"/>
  <c r="AK17" i="9"/>
  <c r="AJ12" i="9"/>
  <c r="AJ62" i="9" s="1"/>
  <c r="AJ67" i="9" s="1"/>
  <c r="AJ68" i="9" s="1"/>
  <c r="AJ17" i="9"/>
  <c r="BS50" i="2"/>
  <c r="BR26" i="2"/>
  <c r="BR51" i="2"/>
  <c r="BQ27" i="2"/>
  <c r="Y17" i="4" l="1"/>
  <c r="P70" i="12"/>
  <c r="BM70" i="12" s="1"/>
  <c r="M10" i="18" s="1"/>
  <c r="Y21" i="4"/>
  <c r="P81" i="12"/>
  <c r="BM81" i="12" s="1"/>
  <c r="M21" i="18" s="1"/>
  <c r="P20" i="5"/>
  <c r="AK68" i="9"/>
  <c r="AJ28" i="9"/>
  <c r="AK28" i="9"/>
  <c r="AB47" i="3"/>
  <c r="AB49" i="3"/>
  <c r="AA51" i="3"/>
  <c r="Z50" i="3"/>
  <c r="Z22" i="3" s="1"/>
  <c r="Z26" i="4"/>
  <c r="AA45" i="3"/>
  <c r="Z44" i="3"/>
  <c r="Z11" i="3" s="1"/>
  <c r="AK22" i="9"/>
  <c r="AK23" i="9" s="1"/>
  <c r="AK24" i="9" s="1"/>
  <c r="AK47" i="9"/>
  <c r="AI48" i="9"/>
  <c r="AI31" i="9"/>
  <c r="AI5" i="9" s="1"/>
  <c r="AJ22" i="9"/>
  <c r="AJ23" i="9" s="1"/>
  <c r="AJ24" i="9" s="1"/>
  <c r="AJ47" i="9"/>
  <c r="BT50" i="2"/>
  <c r="BT26" i="2" s="1"/>
  <c r="BS26" i="2"/>
  <c r="BS51" i="2"/>
  <c r="BR27" i="2"/>
  <c r="Z17" i="4" l="1"/>
  <c r="Q70" i="12"/>
  <c r="BN70" i="12" s="1"/>
  <c r="N10" i="18" s="1"/>
  <c r="Z21" i="4"/>
  <c r="Q81" i="12"/>
  <c r="BN81" i="12" s="1"/>
  <c r="N21" i="18" s="1"/>
  <c r="Q20" i="5"/>
  <c r="Q110" i="12"/>
  <c r="BN110" i="12" s="1"/>
  <c r="AB51" i="3"/>
  <c r="AB50" i="3" s="1"/>
  <c r="AB22" i="3" s="1"/>
  <c r="S81" i="12" s="1"/>
  <c r="BP81" i="12" s="1"/>
  <c r="P21" i="18" s="1"/>
  <c r="AA50" i="3"/>
  <c r="AA22" i="3" s="1"/>
  <c r="AB45" i="3"/>
  <c r="AB44" i="3" s="1"/>
  <c r="AB11" i="3" s="1"/>
  <c r="S70" i="12" s="1"/>
  <c r="BP70" i="12" s="1"/>
  <c r="P10" i="18" s="1"/>
  <c r="AA44" i="3"/>
  <c r="AA11" i="3" s="1"/>
  <c r="R70" i="12" s="1"/>
  <c r="BO70" i="12" s="1"/>
  <c r="O10" i="18" s="1"/>
  <c r="AB26" i="4"/>
  <c r="AA26" i="4"/>
  <c r="AK48" i="9"/>
  <c r="AK31" i="9"/>
  <c r="AK5" i="9" s="1"/>
  <c r="AJ48" i="9"/>
  <c r="AJ31" i="9"/>
  <c r="AJ5" i="9" s="1"/>
  <c r="BT51" i="2"/>
  <c r="BT27" i="2" s="1"/>
  <c r="BS27" i="2"/>
  <c r="AA21" i="4" l="1"/>
  <c r="R81" i="12"/>
  <c r="BO81" i="12" s="1"/>
  <c r="O21" i="18" s="1"/>
  <c r="S20" i="5"/>
  <c r="S110" i="12"/>
  <c r="BP110" i="12" s="1"/>
  <c r="R20" i="5"/>
  <c r="R110" i="12"/>
  <c r="BO110" i="12" s="1"/>
  <c r="AB17" i="4"/>
  <c r="AA17" i="4"/>
  <c r="AB21" i="4"/>
  <c r="V37" i="12" l="1"/>
  <c r="BB72" i="12" l="1"/>
  <c r="U19" i="12"/>
  <c r="W19" i="12"/>
  <c r="X19" i="12"/>
  <c r="V19" i="12"/>
  <c r="BC36" i="12"/>
  <c r="F13" i="5" s="1"/>
  <c r="BD36" i="12"/>
  <c r="G13" i="5" s="1"/>
  <c r="BE36" i="12"/>
  <c r="H13" i="5" s="1"/>
  <c r="W37" i="12"/>
  <c r="X37" i="12"/>
  <c r="Y37" i="12"/>
  <c r="Z37" i="12"/>
  <c r="BE72" i="12"/>
  <c r="V40" i="12"/>
  <c r="G14" i="5" l="1"/>
  <c r="I14" i="5"/>
  <c r="H14" i="5"/>
  <c r="AH13" i="12"/>
  <c r="BB54" i="12"/>
  <c r="BF72" i="12"/>
  <c r="BD72" i="12"/>
  <c r="BC72" i="12"/>
  <c r="BE70" i="12" l="1"/>
  <c r="E10" i="18" s="1"/>
  <c r="Y69" i="12"/>
  <c r="BE69" i="12" s="1"/>
  <c r="BF70" i="12"/>
  <c r="F10" i="18" s="1"/>
  <c r="Z69" i="12"/>
  <c r="BF69" i="12" s="1"/>
  <c r="BB69" i="12"/>
  <c r="M19" i="12"/>
  <c r="AL92" i="12" l="1"/>
  <c r="M20" i="12"/>
  <c r="G20" i="12" s="1"/>
  <c r="BD70" i="12"/>
  <c r="D10" i="18" s="1"/>
  <c r="X69" i="12"/>
  <c r="BD69" i="12" s="1"/>
  <c r="BC70" i="12"/>
  <c r="C10" i="18" s="1"/>
  <c r="W69" i="12"/>
  <c r="BC69" i="12" s="1"/>
  <c r="G18" i="12" l="1"/>
  <c r="AL114" i="12" s="1"/>
  <c r="G19" i="12"/>
  <c r="AL68" i="12" s="1"/>
  <c r="G17" i="12"/>
  <c r="AL85" i="12" s="1"/>
  <c r="L9" i="12" s="1"/>
  <c r="D58" i="5" s="1"/>
  <c r="AL91" i="12" l="1"/>
  <c r="BB91" i="12" s="1"/>
  <c r="BC91" i="12" s="1"/>
  <c r="L10" i="12"/>
  <c r="D59" i="5" s="1"/>
  <c r="H49" i="5" s="1"/>
  <c r="G26" i="12"/>
  <c r="BB139" i="12"/>
  <c r="BC137" i="12" s="1"/>
  <c r="AR58" i="12" l="1"/>
  <c r="BH58" i="12" s="1"/>
  <c r="AS58" i="12"/>
  <c r="BI58" i="12" s="1"/>
  <c r="AT58" i="12"/>
  <c r="BJ58" i="12" s="1"/>
  <c r="AU58" i="12"/>
  <c r="BK58" i="12" s="1"/>
  <c r="AV58" i="12"/>
  <c r="BL58" i="12" s="1"/>
  <c r="AW58" i="12"/>
  <c r="BM58" i="12" s="1"/>
  <c r="AX58" i="12"/>
  <c r="BN58" i="12" s="1"/>
  <c r="AY58" i="12"/>
  <c r="BO58" i="12" s="1"/>
  <c r="AZ58" i="12"/>
  <c r="BP58" i="12" s="1"/>
  <c r="AO58" i="12"/>
  <c r="BE58" i="12" s="1"/>
  <c r="AQ58" i="12"/>
  <c r="BG58" i="12" s="1"/>
  <c r="BB141" i="12"/>
  <c r="AM58" i="12"/>
  <c r="BC58" i="12" s="1"/>
  <c r="E49" i="5"/>
  <c r="I45" i="5"/>
  <c r="E45" i="5"/>
  <c r="AL58" i="12"/>
  <c r="BB58" i="12" s="1"/>
  <c r="G49" i="5"/>
  <c r="H48" i="5"/>
  <c r="E47" i="5"/>
  <c r="I49" i="5"/>
  <c r="H45" i="5"/>
  <c r="E48" i="5"/>
  <c r="F46" i="5"/>
  <c r="I47" i="5"/>
  <c r="G28" i="12"/>
  <c r="I46" i="5"/>
  <c r="F49" i="5"/>
  <c r="H47" i="5"/>
  <c r="F45" i="5"/>
  <c r="F48" i="5"/>
  <c r="E46" i="5"/>
  <c r="F47" i="5"/>
  <c r="G48" i="5"/>
  <c r="I48" i="5"/>
  <c r="G45" i="5"/>
  <c r="G47" i="5"/>
  <c r="AN58" i="12"/>
  <c r="BD58" i="12" s="1"/>
  <c r="H46" i="5"/>
  <c r="G46" i="5"/>
  <c r="AP58" i="12"/>
  <c r="BF58" i="12" s="1"/>
  <c r="G27" i="12"/>
  <c r="BD91" i="12"/>
  <c r="BE91" i="12" l="1"/>
  <c r="BF91" i="12" l="1"/>
  <c r="W40" i="12"/>
  <c r="X40" i="12"/>
  <c r="Y40" i="12"/>
  <c r="Z40" i="12"/>
  <c r="V45" i="12"/>
  <c r="V73" i="12"/>
  <c r="V103" i="12"/>
  <c r="W45" i="12"/>
  <c r="X45" i="12"/>
  <c r="Y45" i="12"/>
  <c r="Z45" i="12"/>
  <c r="W103" i="12"/>
  <c r="X103" i="12"/>
  <c r="Y103" i="12"/>
  <c r="Z103" i="12"/>
  <c r="W73" i="12" l="1"/>
  <c r="X73" i="12" l="1"/>
  <c r="Y73" i="12" l="1"/>
  <c r="Z73" i="12" l="1"/>
  <c r="V49" i="12"/>
  <c r="AA73" i="12" l="1"/>
  <c r="W49" i="12"/>
  <c r="X49" i="12"/>
  <c r="Y49" i="12"/>
  <c r="Z49" i="12"/>
  <c r="V52" i="12"/>
  <c r="V56" i="12"/>
  <c r="I13" i="12" s="1"/>
  <c r="AB73" i="12" l="1"/>
  <c r="V60" i="12"/>
  <c r="V102" i="12"/>
  <c r="V92" i="12"/>
  <c r="V94" i="12" s="1"/>
  <c r="AH12" i="12" s="1"/>
  <c r="AL76" i="12" s="1"/>
  <c r="AC73" i="12" l="1"/>
  <c r="AL93" i="12"/>
  <c r="W52" i="12"/>
  <c r="X52" i="12"/>
  <c r="Y52" i="12"/>
  <c r="Z52" i="12"/>
  <c r="W56" i="12"/>
  <c r="W60" i="12" s="1"/>
  <c r="X56" i="12"/>
  <c r="X60" i="12" s="1"/>
  <c r="Y56" i="12"/>
  <c r="Y60" i="12" s="1"/>
  <c r="Z56" i="12"/>
  <c r="Z60" i="12" s="1"/>
  <c r="AD73" i="12" l="1"/>
  <c r="BB93" i="12"/>
  <c r="BB76" i="12"/>
  <c r="BC76" i="12" s="1"/>
  <c r="BD76" i="12" s="1"/>
  <c r="BE76" i="12" s="1"/>
  <c r="BF76" i="12" s="1"/>
  <c r="Y102" i="12"/>
  <c r="Y106" i="12" s="1"/>
  <c r="Y123" i="12" s="1"/>
  <c r="Y125" i="12" s="1"/>
  <c r="Z102" i="12"/>
  <c r="Z106" i="12" s="1"/>
  <c r="X102" i="12"/>
  <c r="X106" i="12" s="1"/>
  <c r="X123" i="12" s="1"/>
  <c r="W92" i="12"/>
  <c r="W102" i="12"/>
  <c r="AE73" i="12" l="1"/>
  <c r="Z123" i="12"/>
  <c r="Z125" i="12" s="1"/>
  <c r="X125" i="12"/>
  <c r="W94" i="12"/>
  <c r="X92" i="12"/>
  <c r="AF73" i="12" l="1"/>
  <c r="Y92" i="12"/>
  <c r="X94" i="12"/>
  <c r="AG73" i="12" l="1"/>
  <c r="Z92" i="12"/>
  <c r="Y94" i="12"/>
  <c r="AH73" i="12" l="1"/>
  <c r="Z94" i="12"/>
  <c r="AA92" i="12"/>
  <c r="W58" i="9"/>
  <c r="W60" i="9"/>
  <c r="V71" i="12" s="1"/>
  <c r="W62" i="9"/>
  <c r="V80" i="12" s="1"/>
  <c r="W64" i="9"/>
  <c r="V81" i="12" s="1"/>
  <c r="BB81" i="12" s="1"/>
  <c r="B21" i="18" s="1"/>
  <c r="AI73" i="12" l="1"/>
  <c r="AB92" i="12"/>
  <c r="AA94" i="12"/>
  <c r="V70" i="12"/>
  <c r="W105" i="12" s="1"/>
  <c r="W67" i="9"/>
  <c r="AJ73" i="12" l="1"/>
  <c r="AC92" i="12"/>
  <c r="AB94" i="12"/>
  <c r="BB70" i="12"/>
  <c r="B10" i="18" s="1"/>
  <c r="V105" i="12"/>
  <c r="V106" i="12" s="1"/>
  <c r="V123" i="12" s="1"/>
  <c r="V125" i="12" s="1"/>
  <c r="V130" i="12" s="1"/>
  <c r="V115" i="12" s="1"/>
  <c r="W68" i="9"/>
  <c r="X68" i="9"/>
  <c r="W106" i="12"/>
  <c r="W123" i="12" s="1"/>
  <c r="AD92" i="12" l="1"/>
  <c r="AC94" i="12"/>
  <c r="V131" i="12"/>
  <c r="W129" i="12" s="1"/>
  <c r="W130" i="12"/>
  <c r="W115" i="12" s="1"/>
  <c r="W116" i="12" s="1"/>
  <c r="W118" i="12" s="1"/>
  <c r="W125" i="12"/>
  <c r="V85" i="12"/>
  <c r="V116" i="12"/>
  <c r="V118" i="12" s="1"/>
  <c r="V68" i="12" s="1"/>
  <c r="V77" i="12" s="1"/>
  <c r="AE92" i="12" l="1"/>
  <c r="AD94" i="12"/>
  <c r="W131" i="12"/>
  <c r="X129" i="12" s="1"/>
  <c r="V133" i="12"/>
  <c r="V87" i="12"/>
  <c r="V96" i="12" s="1"/>
  <c r="W85" i="12"/>
  <c r="W68" i="12"/>
  <c r="AF92" i="12" l="1"/>
  <c r="AE94" i="12"/>
  <c r="W133" i="12"/>
  <c r="V97" i="12"/>
  <c r="X130" i="12"/>
  <c r="X115" i="12" s="1"/>
  <c r="X116" i="12" s="1"/>
  <c r="X118" i="12" s="1"/>
  <c r="X68" i="12" s="1"/>
  <c r="W77" i="12"/>
  <c r="W87" i="12"/>
  <c r="X85" i="12"/>
  <c r="AG92" i="12" l="1"/>
  <c r="AF94" i="12"/>
  <c r="X131" i="12"/>
  <c r="X87" i="12"/>
  <c r="X77" i="12"/>
  <c r="W97" i="12"/>
  <c r="W96" i="12"/>
  <c r="AH92" i="12" l="1"/>
  <c r="AG94" i="12"/>
  <c r="X133" i="12"/>
  <c r="Y129" i="12"/>
  <c r="X97" i="12"/>
  <c r="X96" i="12"/>
  <c r="AI92" i="12" l="1"/>
  <c r="AH94" i="12"/>
  <c r="Y130" i="12"/>
  <c r="Y115" i="12" s="1"/>
  <c r="AJ92" i="12" l="1"/>
  <c r="AJ94" i="12" s="1"/>
  <c r="AI94" i="12"/>
  <c r="Y116" i="12"/>
  <c r="Y118" i="12" s="1"/>
  <c r="Y68" i="12" s="1"/>
  <c r="Y85" i="12"/>
  <c r="Y131" i="12"/>
  <c r="Y133" i="12" l="1"/>
  <c r="Z129" i="12"/>
  <c r="Y87" i="12"/>
  <c r="Y77" i="12"/>
  <c r="Y96" i="12" l="1"/>
  <c r="Y97" i="12"/>
  <c r="Z130" i="12"/>
  <c r="Z115" i="12" s="1"/>
  <c r="Z116" i="12" l="1"/>
  <c r="Z118" i="12" s="1"/>
  <c r="Z68" i="12" s="1"/>
  <c r="Z77" i="12" s="1"/>
  <c r="Z85" i="12"/>
  <c r="Z131" i="12"/>
  <c r="Z133" i="12" l="1"/>
  <c r="AA129" i="12"/>
  <c r="Z87" i="12"/>
  <c r="Z96" i="12" s="1"/>
  <c r="Z97" i="12" l="1"/>
  <c r="AA130" i="12"/>
  <c r="AA115" i="12" s="1"/>
  <c r="AA116" i="12" l="1"/>
  <c r="AA118" i="12" s="1"/>
  <c r="AA68" i="12" s="1"/>
  <c r="AA77" i="12" s="1"/>
  <c r="AA85" i="12"/>
  <c r="AA131" i="12"/>
  <c r="AA87" i="12" l="1"/>
  <c r="AA97" i="12" s="1"/>
  <c r="AA133" i="12"/>
  <c r="AB129" i="12"/>
  <c r="AA96" i="12" l="1"/>
  <c r="AB130" i="12"/>
  <c r="AB115" i="12" s="1"/>
  <c r="AB116" i="12" l="1"/>
  <c r="AB118" i="12" s="1"/>
  <c r="AB68" i="12" s="1"/>
  <c r="AB77" i="12" s="1"/>
  <c r="AB85" i="12"/>
  <c r="AB131" i="12"/>
  <c r="AC129" i="12" l="1"/>
  <c r="AB133" i="12"/>
  <c r="AB87" i="12"/>
  <c r="AB96" i="12" s="1"/>
  <c r="AC130" i="12" l="1"/>
  <c r="AC115" i="12" s="1"/>
  <c r="AB97" i="12"/>
  <c r="AC116" i="12" l="1"/>
  <c r="AC118" i="12" s="1"/>
  <c r="AC68" i="12" s="1"/>
  <c r="AC77" i="12" s="1"/>
  <c r="AC85" i="12"/>
  <c r="AC131" i="12"/>
  <c r="AC87" i="12" l="1"/>
  <c r="AC97" i="12" s="1"/>
  <c r="AC133" i="12"/>
  <c r="AD129" i="12"/>
  <c r="AD130" i="12" l="1"/>
  <c r="AD115" i="12" s="1"/>
  <c r="AC96" i="12"/>
  <c r="AD116" i="12" l="1"/>
  <c r="AD118" i="12" s="1"/>
  <c r="AD68" i="12" s="1"/>
  <c r="AD77" i="12" s="1"/>
  <c r="AD85" i="12"/>
  <c r="AD131" i="12"/>
  <c r="AE129" i="12" l="1"/>
  <c r="AD133" i="12"/>
  <c r="AD87" i="12"/>
  <c r="AD97" i="12" s="1"/>
  <c r="AD96" i="12" l="1"/>
  <c r="AE130" i="12"/>
  <c r="AE115" i="12" s="1"/>
  <c r="AE116" i="12" l="1"/>
  <c r="AE118" i="12" s="1"/>
  <c r="AE68" i="12" s="1"/>
  <c r="AE77" i="12" s="1"/>
  <c r="AE85" i="12"/>
  <c r="AE131" i="12"/>
  <c r="AF129" i="12" l="1"/>
  <c r="AE133" i="12"/>
  <c r="AE87" i="12"/>
  <c r="AE96" i="12" s="1"/>
  <c r="AF130" i="12" l="1"/>
  <c r="AF115" i="12" s="1"/>
  <c r="AE97" i="12"/>
  <c r="AF116" i="12" l="1"/>
  <c r="AF118" i="12" s="1"/>
  <c r="AF68" i="12" s="1"/>
  <c r="AF77" i="12" s="1"/>
  <c r="AF85" i="12"/>
  <c r="AF131" i="12"/>
  <c r="AF87" i="12" l="1"/>
  <c r="AF96" i="12" s="1"/>
  <c r="AG129" i="12"/>
  <c r="AF133" i="12"/>
  <c r="AG130" i="12" l="1"/>
  <c r="AG115" i="12" s="1"/>
  <c r="AF97" i="12"/>
  <c r="AG116" i="12" l="1"/>
  <c r="AG118" i="12" s="1"/>
  <c r="AG68" i="12" s="1"/>
  <c r="AG77" i="12" s="1"/>
  <c r="AG85" i="12"/>
  <c r="AG131" i="12"/>
  <c r="AH129" i="12" l="1"/>
  <c r="AG133" i="12"/>
  <c r="AG87" i="12"/>
  <c r="AG97" i="12" s="1"/>
  <c r="AG96" i="12" l="1"/>
  <c r="AH130" i="12"/>
  <c r="AH115" i="12" s="1"/>
  <c r="AH116" i="12" l="1"/>
  <c r="AH118" i="12" s="1"/>
  <c r="AH68" i="12" s="1"/>
  <c r="AH77" i="12" s="1"/>
  <c r="AH85" i="12"/>
  <c r="AH131" i="12"/>
  <c r="AI129" i="12" l="1"/>
  <c r="AH133" i="12"/>
  <c r="AH87" i="12"/>
  <c r="AH96" i="12" s="1"/>
  <c r="AH97" i="12" l="1"/>
  <c r="AI130" i="12"/>
  <c r="AI115" i="12" s="1"/>
  <c r="AI116" i="12" l="1"/>
  <c r="AI118" i="12" s="1"/>
  <c r="AI68" i="12" s="1"/>
  <c r="AI77" i="12" s="1"/>
  <c r="AI85" i="12"/>
  <c r="AI131" i="12"/>
  <c r="AI133" i="12" l="1"/>
  <c r="AJ129" i="12"/>
  <c r="AI87" i="12"/>
  <c r="AI96" i="12" s="1"/>
  <c r="AI97" i="12" l="1"/>
  <c r="AJ130" i="12"/>
  <c r="AJ115" i="12" s="1"/>
  <c r="AJ116" i="12" l="1"/>
  <c r="AJ118" i="12" s="1"/>
  <c r="AJ68" i="12" s="1"/>
  <c r="AJ77" i="12" s="1"/>
  <c r="AJ85" i="12"/>
  <c r="AJ87" i="12" s="1"/>
  <c r="AJ131" i="12"/>
  <c r="AJ133" i="12" s="1"/>
  <c r="AJ96" i="12" l="1"/>
  <c r="AJ97" i="12"/>
  <c r="AI33" i="2" l="1"/>
  <c r="AI53" i="2" s="1"/>
  <c r="AQ3" i="2"/>
  <c r="BA4" i="6" s="1"/>
  <c r="AI25" i="2"/>
  <c r="AI29" i="2" s="1"/>
  <c r="AI48" i="2"/>
  <c r="AJ33" i="2"/>
  <c r="AJ36" i="2" s="1"/>
  <c r="AJ41" i="2" s="1"/>
  <c r="AJ4" i="2" s="1"/>
  <c r="AT5" i="6" s="1"/>
  <c r="AJ53" i="2"/>
  <c r="K50" i="4"/>
  <c r="AV47" i="2"/>
  <c r="K48" i="4"/>
  <c r="K51" i="3"/>
  <c r="AQ21" i="2"/>
  <c r="AQ23" i="2"/>
  <c r="K49" i="4"/>
  <c r="AJ29" i="2"/>
  <c r="AJ49" i="2" s="1"/>
  <c r="AJ25" i="2"/>
  <c r="AJ48" i="2" s="1"/>
  <c r="AN23" i="2"/>
  <c r="AN51" i="2" s="1"/>
  <c r="AH51" i="2"/>
  <c r="AH50" i="2"/>
  <c r="AH47" i="2"/>
  <c r="AH3" i="2"/>
  <c r="AR4" i="6" s="1"/>
  <c r="AH23" i="2"/>
  <c r="AH25" i="2" s="1"/>
  <c r="AO23" i="2"/>
  <c r="AT47" i="2" s="1"/>
  <c r="AI51" i="2"/>
  <c r="AI47" i="2"/>
  <c r="AI3" i="2"/>
  <c r="AS4" i="6" s="1"/>
  <c r="AI50" i="2"/>
  <c r="AI23" i="2"/>
  <c r="AJ47" i="2"/>
  <c r="AJ51" i="2"/>
  <c r="AJ23" i="2"/>
  <c r="AJ3" i="2" s="1"/>
  <c r="AT4" i="6" s="1"/>
  <c r="AK3" i="2"/>
  <c r="AU4" i="6" s="1"/>
  <c r="AK47" i="2"/>
  <c r="AP47" i="2"/>
  <c r="AK23" i="2"/>
  <c r="AL23" i="2" s="1"/>
  <c r="AM23" i="2"/>
  <c r="J51" i="3" l="1"/>
  <c r="J50" i="4"/>
  <c r="J47" i="4"/>
  <c r="N47" i="4" s="1"/>
  <c r="AL51" i="2"/>
  <c r="J49" i="4"/>
  <c r="N49" i="4" s="1"/>
  <c r="AL3" i="2"/>
  <c r="AL47" i="2"/>
  <c r="J45" i="3"/>
  <c r="AL50" i="2"/>
  <c r="J48" i="4"/>
  <c r="N48" i="4" s="1"/>
  <c r="AM51" i="2"/>
  <c r="AM3" i="2"/>
  <c r="AW4" i="6" s="1"/>
  <c r="AM50" i="2"/>
  <c r="AO50" i="2"/>
  <c r="AO3" i="2"/>
  <c r="AY4" i="6" s="1"/>
  <c r="AN50" i="2"/>
  <c r="AK51" i="2"/>
  <c r="AK50" i="2"/>
  <c r="AO47" i="2"/>
  <c r="AK25" i="2"/>
  <c r="AO51" i="2"/>
  <c r="AJ39" i="2"/>
  <c r="AI36" i="2"/>
  <c r="AI41" i="2" s="1"/>
  <c r="AI4" i="2" s="1"/>
  <c r="AS5" i="6" s="1"/>
  <c r="AM25" i="2"/>
  <c r="AN3" i="2"/>
  <c r="AX4" i="6" s="1"/>
  <c r="AN25" i="2"/>
  <c r="AN47" i="2"/>
  <c r="AS47" i="2"/>
  <c r="AL25" i="2"/>
  <c r="AL48" i="2" s="1"/>
  <c r="AH48" i="2"/>
  <c r="AO25" i="2"/>
  <c r="AJ50" i="2"/>
  <c r="K47" i="4"/>
  <c r="AQ47" i="2"/>
  <c r="K45" i="3"/>
  <c r="AQ25" i="2"/>
  <c r="AQ51" i="2"/>
  <c r="AI39" i="2"/>
  <c r="AI49" i="2"/>
  <c r="AH29" i="2"/>
  <c r="K4" i="3"/>
  <c r="K4" i="4" s="1"/>
  <c r="AR47" i="2"/>
  <c r="AM47" i="2"/>
  <c r="AQ50" i="2"/>
  <c r="N25" i="4" l="1"/>
  <c r="O49" i="4"/>
  <c r="J4" i="3"/>
  <c r="J4" i="4" s="1"/>
  <c r="AV4" i="6"/>
  <c r="AQ48" i="2"/>
  <c r="BF48" i="2" s="1"/>
  <c r="AQ29" i="2"/>
  <c r="AK29" i="2"/>
  <c r="AL29" i="2" s="1"/>
  <c r="AK48" i="2"/>
  <c r="AM29" i="2"/>
  <c r="AM48" i="2"/>
  <c r="O47" i="4"/>
  <c r="N11" i="4"/>
  <c r="AN48" i="2"/>
  <c r="AN29" i="2"/>
  <c r="AO29" i="2"/>
  <c r="AO48" i="2"/>
  <c r="N12" i="4"/>
  <c r="N16" i="3" s="1"/>
  <c r="O48" i="4"/>
  <c r="AH49" i="2"/>
  <c r="AH39" i="2"/>
  <c r="AH33" i="2"/>
  <c r="AL39" i="2" l="1"/>
  <c r="AL49" i="2"/>
  <c r="AQ49" i="2"/>
  <c r="AQ39" i="2"/>
  <c r="AN39" i="2"/>
  <c r="AN49" i="2"/>
  <c r="AN33" i="2"/>
  <c r="BG48" i="2"/>
  <c r="BF24" i="2"/>
  <c r="P47" i="4"/>
  <c r="O11" i="4"/>
  <c r="BG38" i="2" s="1"/>
  <c r="AK49" i="2"/>
  <c r="AK39" i="2"/>
  <c r="AK33" i="2"/>
  <c r="O12" i="4"/>
  <c r="O16" i="3" s="1"/>
  <c r="P48" i="4"/>
  <c r="P49" i="4"/>
  <c r="O25" i="4"/>
  <c r="AO49" i="2"/>
  <c r="AO39" i="2"/>
  <c r="BF38" i="2"/>
  <c r="N15" i="3"/>
  <c r="AM39" i="2"/>
  <c r="AM49" i="2"/>
  <c r="AM33" i="2"/>
  <c r="AH36" i="2"/>
  <c r="AH53" i="2"/>
  <c r="E74" i="12"/>
  <c r="BB74" i="12" s="1"/>
  <c r="B14" i="18" s="1"/>
  <c r="N29" i="4"/>
  <c r="E109" i="12"/>
  <c r="E111" i="12" s="1"/>
  <c r="F74" i="12" l="1"/>
  <c r="BC74" i="12" s="1"/>
  <c r="C14" i="18" s="1"/>
  <c r="F42" i="12"/>
  <c r="Q47" i="4"/>
  <c r="P11" i="4"/>
  <c r="AH41" i="2"/>
  <c r="AH4" i="2" s="1"/>
  <c r="AR5" i="6" s="1"/>
  <c r="AN36" i="2"/>
  <c r="AN41" i="2" s="1"/>
  <c r="AN4" i="2" s="1"/>
  <c r="AX5" i="6" s="1"/>
  <c r="AN53" i="2"/>
  <c r="AK53" i="2"/>
  <c r="AK36" i="2"/>
  <c r="AK41" i="2" s="1"/>
  <c r="AK4" i="2" s="1"/>
  <c r="AU5" i="6" s="1"/>
  <c r="AM53" i="2"/>
  <c r="AM36" i="2"/>
  <c r="AM41" i="2" s="1"/>
  <c r="AM4" i="2" s="1"/>
  <c r="AW5" i="6" s="1"/>
  <c r="O15" i="3"/>
  <c r="E73" i="12"/>
  <c r="BB73" i="12" s="1"/>
  <c r="B13" i="18" s="1"/>
  <c r="E42" i="12"/>
  <c r="O29" i="4"/>
  <c r="F109" i="12"/>
  <c r="P25" i="4"/>
  <c r="Q49" i="4"/>
  <c r="AL33" i="2"/>
  <c r="AL53" i="2" s="1"/>
  <c r="BF25" i="2"/>
  <c r="BF29" i="2" s="1"/>
  <c r="N48" i="3"/>
  <c r="N21" i="3" s="1"/>
  <c r="N46" i="3"/>
  <c r="N12" i="3" s="1"/>
  <c r="BG24" i="2"/>
  <c r="BH48" i="2"/>
  <c r="Q48" i="4"/>
  <c r="P12" i="4"/>
  <c r="P16" i="3" s="1"/>
  <c r="G74" i="12" l="1"/>
  <c r="BD74" i="12" s="1"/>
  <c r="D14" i="18" s="1"/>
  <c r="F73" i="12"/>
  <c r="BC73" i="12" s="1"/>
  <c r="C13" i="18" s="1"/>
  <c r="P15" i="3"/>
  <c r="R48" i="4"/>
  <c r="Q12" i="4"/>
  <c r="Q16" i="3" s="1"/>
  <c r="N26" i="3"/>
  <c r="N29" i="3" s="1"/>
  <c r="N20" i="4"/>
  <c r="E80" i="12"/>
  <c r="P29" i="4"/>
  <c r="G109" i="12"/>
  <c r="BH24" i="2"/>
  <c r="BI48" i="2"/>
  <c r="N18" i="4"/>
  <c r="E71" i="12"/>
  <c r="BB71" i="12" s="1"/>
  <c r="B11" i="18" s="1"/>
  <c r="O18" i="4"/>
  <c r="BF33" i="2"/>
  <c r="BF49" i="2"/>
  <c r="BH38" i="2"/>
  <c r="O46" i="3"/>
  <c r="O12" i="3" s="1"/>
  <c r="BG25" i="2"/>
  <c r="BG29" i="2" s="1"/>
  <c r="O48" i="3"/>
  <c r="O21" i="3" s="1"/>
  <c r="AL36" i="2"/>
  <c r="AL41" i="2" s="1"/>
  <c r="AL4" i="2" s="1"/>
  <c r="R49" i="4"/>
  <c r="Q25" i="4"/>
  <c r="Q11" i="4"/>
  <c r="BI38" i="2" s="1"/>
  <c r="R47" i="4"/>
  <c r="BC109" i="12"/>
  <c r="BC111" i="12" s="1"/>
  <c r="F111" i="12"/>
  <c r="F43" i="12"/>
  <c r="F103" i="12"/>
  <c r="BC103" i="12" s="1"/>
  <c r="BC42" i="12"/>
  <c r="BF39" i="2"/>
  <c r="E39" i="12" s="1"/>
  <c r="E45" i="12"/>
  <c r="E49" i="12" s="1"/>
  <c r="E103" i="12"/>
  <c r="BB42" i="12"/>
  <c r="H74" i="12" l="1"/>
  <c r="BE74" i="12" s="1"/>
  <c r="E14" i="18" s="1"/>
  <c r="E21" i="5"/>
  <c r="E105" i="12"/>
  <c r="P48" i="3"/>
  <c r="P21" i="3" s="1"/>
  <c r="BH25" i="2"/>
  <c r="BH29" i="2" s="1"/>
  <c r="P46" i="3"/>
  <c r="P12" i="3" s="1"/>
  <c r="E19" i="5"/>
  <c r="BD109" i="12"/>
  <c r="BD111" i="12" s="1"/>
  <c r="G111" i="12"/>
  <c r="Q29" i="4"/>
  <c r="H109" i="12"/>
  <c r="S49" i="4"/>
  <c r="R25" i="4"/>
  <c r="BI24" i="2"/>
  <c r="BJ48" i="2"/>
  <c r="S47" i="4"/>
  <c r="R11" i="4"/>
  <c r="H42" i="12"/>
  <c r="AV5" i="6"/>
  <c r="J5" i="3"/>
  <c r="J5" i="4" s="1"/>
  <c r="O26" i="3"/>
  <c r="O29" i="3" s="1"/>
  <c r="F80" i="12"/>
  <c r="O20" i="4"/>
  <c r="F105" i="12" s="1"/>
  <c r="BC105" i="12" s="1"/>
  <c r="F71" i="12"/>
  <c r="BC71" i="12" s="1"/>
  <c r="C11" i="18" s="1"/>
  <c r="P18" i="4"/>
  <c r="F21" i="5"/>
  <c r="BB80" i="12"/>
  <c r="BG33" i="2"/>
  <c r="BG49" i="2"/>
  <c r="BG39" i="2"/>
  <c r="F39" i="12" s="1"/>
  <c r="S48" i="4"/>
  <c r="R12" i="4"/>
  <c r="R16" i="3" s="1"/>
  <c r="Q15" i="3"/>
  <c r="G73" i="12"/>
  <c r="BD73" i="12" s="1"/>
  <c r="D13" i="18" s="1"/>
  <c r="BH39" i="2"/>
  <c r="G39" i="12" s="1"/>
  <c r="G42" i="12"/>
  <c r="F19" i="5"/>
  <c r="I74" i="12" l="1"/>
  <c r="BF74" i="12" s="1"/>
  <c r="F14" i="18" s="1"/>
  <c r="G40" i="12"/>
  <c r="V17" i="12"/>
  <c r="V21" i="12" s="1"/>
  <c r="V24" i="12" s="1"/>
  <c r="BE109" i="12"/>
  <c r="BE111" i="12" s="1"/>
  <c r="H111" i="12"/>
  <c r="T48" i="4"/>
  <c r="S12" i="4"/>
  <c r="S16" i="3" s="1"/>
  <c r="G45" i="12"/>
  <c r="G49" i="12" s="1"/>
  <c r="G43" i="12"/>
  <c r="BD42" i="12"/>
  <c r="G103" i="12"/>
  <c r="BD103" i="12" s="1"/>
  <c r="BE42" i="12"/>
  <c r="H103" i="12"/>
  <c r="BE103" i="12" s="1"/>
  <c r="H43" i="12"/>
  <c r="S25" i="4"/>
  <c r="T49" i="4"/>
  <c r="F40" i="12"/>
  <c r="U17" i="12"/>
  <c r="U21" i="12" s="1"/>
  <c r="U24" i="12" s="1"/>
  <c r="AM39" i="12" s="1"/>
  <c r="BC39" i="12" s="1"/>
  <c r="F45" i="12"/>
  <c r="F49" i="12" s="1"/>
  <c r="P26" i="3"/>
  <c r="P29" i="3" s="1"/>
  <c r="G80" i="12"/>
  <c r="P20" i="4"/>
  <c r="G21" i="5" s="1"/>
  <c r="R29" i="4"/>
  <c r="I109" i="12"/>
  <c r="BC80" i="12"/>
  <c r="G71" i="12"/>
  <c r="BD71" i="12" s="1"/>
  <c r="D11" i="18" s="1"/>
  <c r="BJ38" i="2"/>
  <c r="S11" i="4"/>
  <c r="T47" i="4"/>
  <c r="B20" i="18"/>
  <c r="BI25" i="2"/>
  <c r="BI29" i="2" s="1"/>
  <c r="Q48" i="3"/>
  <c r="Q21" i="3" s="1"/>
  <c r="Q46" i="3"/>
  <c r="Q12" i="3" s="1"/>
  <c r="H73" i="12"/>
  <c r="BE73" i="12" s="1"/>
  <c r="E13" i="18" s="1"/>
  <c r="R15" i="3"/>
  <c r="BH33" i="2"/>
  <c r="BH49" i="2"/>
  <c r="BK48" i="2"/>
  <c r="BJ24" i="2"/>
  <c r="AN39" i="12" l="1"/>
  <c r="BD39" i="12" s="1"/>
  <c r="J74" i="12"/>
  <c r="BG74" i="12" s="1"/>
  <c r="G14" i="18" s="1"/>
  <c r="BF109" i="12"/>
  <c r="BF111" i="12" s="1"/>
  <c r="I111" i="12"/>
  <c r="G19" i="5"/>
  <c r="BC40" i="12"/>
  <c r="BC45" i="12"/>
  <c r="C20" i="18"/>
  <c r="R18" i="4"/>
  <c r="H71" i="12"/>
  <c r="BE71" i="12" s="1"/>
  <c r="E11" i="18" s="1"/>
  <c r="T12" i="4"/>
  <c r="T16" i="3" s="1"/>
  <c r="U48" i="4"/>
  <c r="Q26" i="3"/>
  <c r="Q29" i="3" s="1"/>
  <c r="Q20" i="4"/>
  <c r="H80" i="12"/>
  <c r="G105" i="12"/>
  <c r="BD105" i="12" s="1"/>
  <c r="I73" i="12"/>
  <c r="BF73" i="12" s="1"/>
  <c r="F13" i="18" s="1"/>
  <c r="S15" i="3"/>
  <c r="BD80" i="12"/>
  <c r="U47" i="4"/>
  <c r="T11" i="4"/>
  <c r="BJ25" i="2"/>
  <c r="BJ29" i="2" s="1"/>
  <c r="R46" i="3"/>
  <c r="R12" i="3" s="1"/>
  <c r="R48" i="3"/>
  <c r="R21" i="3" s="1"/>
  <c r="BK38" i="2"/>
  <c r="BI33" i="2"/>
  <c r="BI49" i="2"/>
  <c r="BI39" i="2"/>
  <c r="H39" i="12" s="1"/>
  <c r="U49" i="4"/>
  <c r="T25" i="4"/>
  <c r="S29" i="4"/>
  <c r="J109" i="12"/>
  <c r="BJ39" i="2"/>
  <c r="I39" i="12" s="1"/>
  <c r="I42" i="12"/>
  <c r="BK24" i="2"/>
  <c r="BL48" i="2"/>
  <c r="Q18" i="4"/>
  <c r="H19" i="5"/>
  <c r="BD40" i="12" l="1"/>
  <c r="BD45" i="12"/>
  <c r="K74" i="12"/>
  <c r="BH74" i="12" s="1"/>
  <c r="H14" i="18" s="1"/>
  <c r="BM48" i="2"/>
  <c r="BL24" i="2"/>
  <c r="I105" i="12"/>
  <c r="BF105" i="12" s="1"/>
  <c r="I21" i="5"/>
  <c r="S46" i="3"/>
  <c r="S12" i="3" s="1"/>
  <c r="S48" i="3"/>
  <c r="S21" i="3" s="1"/>
  <c r="BK25" i="2"/>
  <c r="BK29" i="2" s="1"/>
  <c r="I45" i="12"/>
  <c r="I49" i="12" s="1"/>
  <c r="I103" i="12"/>
  <c r="BF103" i="12" s="1"/>
  <c r="BF42" i="12"/>
  <c r="I43" i="12"/>
  <c r="T29" i="4"/>
  <c r="K109" i="12"/>
  <c r="R26" i="3"/>
  <c r="R29" i="3" s="1"/>
  <c r="I80" i="12"/>
  <c r="R20" i="4"/>
  <c r="BJ33" i="2"/>
  <c r="BJ49" i="2"/>
  <c r="BL38" i="2"/>
  <c r="V49" i="4"/>
  <c r="U25" i="4"/>
  <c r="T15" i="3"/>
  <c r="J73" i="12"/>
  <c r="BG73" i="12" s="1"/>
  <c r="G13" i="18" s="1"/>
  <c r="I40" i="12"/>
  <c r="X17" i="12"/>
  <c r="X21" i="12" s="1"/>
  <c r="X24" i="12" s="1"/>
  <c r="AP39" i="12" s="1"/>
  <c r="BF39" i="12" s="1"/>
  <c r="BF40" i="12" s="1"/>
  <c r="BG109" i="12"/>
  <c r="BG111" i="12" s="1"/>
  <c r="J111" i="12"/>
  <c r="G15" i="5"/>
  <c r="V48" i="4"/>
  <c r="U12" i="4"/>
  <c r="U16" i="3" s="1"/>
  <c r="F15" i="5"/>
  <c r="D20" i="18"/>
  <c r="J42" i="12"/>
  <c r="BE80" i="12"/>
  <c r="H21" i="5"/>
  <c r="H105" i="12"/>
  <c r="BE105" i="12" s="1"/>
  <c r="I71" i="12"/>
  <c r="BF71" i="12" s="1"/>
  <c r="F11" i="18" s="1"/>
  <c r="V47" i="4"/>
  <c r="U11" i="4"/>
  <c r="BM38" i="2" s="1"/>
  <c r="W17" i="12"/>
  <c r="W21" i="12" s="1"/>
  <c r="W24" i="12" s="1"/>
  <c r="AO39" i="12" s="1"/>
  <c r="BE39" i="12" s="1"/>
  <c r="H40" i="12"/>
  <c r="H45" i="12"/>
  <c r="H49" i="12" s="1"/>
  <c r="L74" i="12" l="1"/>
  <c r="BI74" i="12" s="1"/>
  <c r="I14" i="18" s="1"/>
  <c r="J71" i="12"/>
  <c r="BG71" i="12" s="1"/>
  <c r="G11" i="18" s="1"/>
  <c r="T18" i="4"/>
  <c r="BK33" i="2"/>
  <c r="BK49" i="2"/>
  <c r="U15" i="3"/>
  <c r="K73" i="12"/>
  <c r="BH73" i="12" s="1"/>
  <c r="H13" i="18" s="1"/>
  <c r="S26" i="3"/>
  <c r="S29" i="3" s="1"/>
  <c r="J80" i="12"/>
  <c r="S20" i="4"/>
  <c r="U29" i="4"/>
  <c r="L109" i="12"/>
  <c r="V25" i="4"/>
  <c r="W49" i="4"/>
  <c r="BL25" i="2"/>
  <c r="BL29" i="2" s="1"/>
  <c r="BL39" i="2" s="1"/>
  <c r="K39" i="12" s="1"/>
  <c r="T48" i="3"/>
  <c r="T21" i="3" s="1"/>
  <c r="T46" i="3"/>
  <c r="T12" i="3" s="1"/>
  <c r="BE40" i="12"/>
  <c r="BE45" i="12"/>
  <c r="BM24" i="2"/>
  <c r="BN48" i="2"/>
  <c r="K111" i="12"/>
  <c r="BH109" i="12"/>
  <c r="BH111" i="12" s="1"/>
  <c r="E20" i="18"/>
  <c r="BF45" i="12"/>
  <c r="I19" i="5"/>
  <c r="BK39" i="2"/>
  <c r="J39" i="12" s="1"/>
  <c r="K42" i="12"/>
  <c r="W48" i="4"/>
  <c r="V12" i="4"/>
  <c r="V16" i="3" s="1"/>
  <c r="J45" i="12"/>
  <c r="J49" i="12" s="1"/>
  <c r="J103" i="12"/>
  <c r="BG103" i="12" s="1"/>
  <c r="J43" i="12"/>
  <c r="BG42" i="12"/>
  <c r="L42" i="12"/>
  <c r="W47" i="4"/>
  <c r="V11" i="4"/>
  <c r="BN38" i="2" s="1"/>
  <c r="S18" i="4"/>
  <c r="BF80" i="12"/>
  <c r="M74" i="12" l="1"/>
  <c r="BJ74" i="12" s="1"/>
  <c r="J14" i="18" s="1"/>
  <c r="K40" i="12"/>
  <c r="Z17" i="12"/>
  <c r="Z21" i="12" s="1"/>
  <c r="Z24" i="12" s="1"/>
  <c r="AR39" i="12" s="1"/>
  <c r="BH39" i="12" s="1"/>
  <c r="BH40" i="12" s="1"/>
  <c r="X47" i="4"/>
  <c r="W11" i="4"/>
  <c r="BO38" i="2" s="1"/>
  <c r="BG80" i="12"/>
  <c r="V15" i="3"/>
  <c r="L73" i="12"/>
  <c r="BI73" i="12" s="1"/>
  <c r="I13" i="18" s="1"/>
  <c r="H15" i="5"/>
  <c r="M42" i="12"/>
  <c r="K21" i="5"/>
  <c r="U48" i="3"/>
  <c r="U21" i="3" s="1"/>
  <c r="U46" i="3"/>
  <c r="U12" i="3" s="1"/>
  <c r="BM25" i="2"/>
  <c r="BM29" i="2" s="1"/>
  <c r="T26" i="3"/>
  <c r="T29" i="3" s="1"/>
  <c r="K80" i="12"/>
  <c r="T20" i="4"/>
  <c r="K105" i="12" s="1"/>
  <c r="BH105" i="12" s="1"/>
  <c r="BI42" i="12"/>
  <c r="L43" i="12"/>
  <c r="L103" i="12"/>
  <c r="BI103" i="12" s="1"/>
  <c r="K45" i="12"/>
  <c r="K49" i="12" s="1"/>
  <c r="K43" i="12"/>
  <c r="K103" i="12"/>
  <c r="BH103" i="12" s="1"/>
  <c r="BH42" i="12"/>
  <c r="BI109" i="12"/>
  <c r="BI111" i="12" s="1"/>
  <c r="L111" i="12"/>
  <c r="I15" i="5"/>
  <c r="BN24" i="2"/>
  <c r="BO48" i="2"/>
  <c r="K71" i="12"/>
  <c r="BH71" i="12" s="1"/>
  <c r="H11" i="18" s="1"/>
  <c r="U18" i="4"/>
  <c r="F20" i="18"/>
  <c r="W25" i="4"/>
  <c r="X49" i="4"/>
  <c r="J19" i="5"/>
  <c r="X48" i="4"/>
  <c r="W12" i="4"/>
  <c r="W16" i="3" s="1"/>
  <c r="BL33" i="2"/>
  <c r="BL49" i="2"/>
  <c r="J105" i="12"/>
  <c r="BG105" i="12" s="1"/>
  <c r="J21" i="5"/>
  <c r="J40" i="12"/>
  <c r="Y17" i="12"/>
  <c r="Y21" i="12" s="1"/>
  <c r="Y24" i="12" s="1"/>
  <c r="AQ39" i="12" s="1"/>
  <c r="BG39" i="12" s="1"/>
  <c r="BG40" i="12" s="1"/>
  <c r="V29" i="4"/>
  <c r="M109" i="12"/>
  <c r="BG45" i="12" l="1"/>
  <c r="N74" i="12"/>
  <c r="BK74" i="12" s="1"/>
  <c r="K14" i="18" s="1"/>
  <c r="J15" i="5"/>
  <c r="BJ109" i="12"/>
  <c r="BJ111" i="12" s="1"/>
  <c r="M111" i="12"/>
  <c r="L21" i="5"/>
  <c r="L105" i="12"/>
  <c r="BI105" i="12" s="1"/>
  <c r="G20" i="18"/>
  <c r="BO24" i="2"/>
  <c r="BP48" i="2"/>
  <c r="N42" i="12"/>
  <c r="BM33" i="2"/>
  <c r="BM49" i="2"/>
  <c r="BM39" i="2"/>
  <c r="L39" i="12" s="1"/>
  <c r="X11" i="4"/>
  <c r="BP38" i="2" s="1"/>
  <c r="Y47" i="4"/>
  <c r="N109" i="12"/>
  <c r="W29" i="4"/>
  <c r="L19" i="5"/>
  <c r="M73" i="12"/>
  <c r="BJ73" i="12" s="1"/>
  <c r="J13" i="18" s="1"/>
  <c r="W15" i="3"/>
  <c r="V18" i="4"/>
  <c r="L71" i="12"/>
  <c r="BI71" i="12" s="1"/>
  <c r="I11" i="18" s="1"/>
  <c r="BH80" i="12"/>
  <c r="BN25" i="2"/>
  <c r="BN29" i="2" s="1"/>
  <c r="V46" i="3"/>
  <c r="V12" i="3" s="1"/>
  <c r="V48" i="3"/>
  <c r="V21" i="3" s="1"/>
  <c r="L80" i="12"/>
  <c r="U26" i="3"/>
  <c r="U29" i="3" s="1"/>
  <c r="U20" i="4"/>
  <c r="X25" i="4"/>
  <c r="Y49" i="4"/>
  <c r="BJ42" i="12"/>
  <c r="M103" i="12"/>
  <c r="BJ103" i="12" s="1"/>
  <c r="M43" i="12"/>
  <c r="X12" i="4"/>
  <c r="X16" i="3" s="1"/>
  <c r="Y48" i="4"/>
  <c r="K19" i="5"/>
  <c r="BH45" i="12"/>
  <c r="O74" i="12" l="1"/>
  <c r="BL74" i="12" s="1"/>
  <c r="L14" i="18" s="1"/>
  <c r="H20" i="18"/>
  <c r="W46" i="3"/>
  <c r="W12" i="3" s="1"/>
  <c r="W48" i="3"/>
  <c r="W21" i="3" s="1"/>
  <c r="BO25" i="2"/>
  <c r="BO29" i="2" s="1"/>
  <c r="BK109" i="12"/>
  <c r="BK111" i="12" s="1"/>
  <c r="N111" i="12"/>
  <c r="M19" i="5"/>
  <c r="M105" i="12"/>
  <c r="BJ105" i="12" s="1"/>
  <c r="M21" i="5"/>
  <c r="Y11" i="4"/>
  <c r="BQ38" i="2" s="1"/>
  <c r="Z47" i="4"/>
  <c r="O109" i="12"/>
  <c r="X29" i="4"/>
  <c r="K15" i="5"/>
  <c r="O42" i="12"/>
  <c r="BI80" i="12"/>
  <c r="M71" i="12"/>
  <c r="BJ71" i="12" s="1"/>
  <c r="J11" i="18" s="1"/>
  <c r="W18" i="4"/>
  <c r="AA17" i="12"/>
  <c r="AA21" i="12" s="1"/>
  <c r="AA24" i="12" s="1"/>
  <c r="AS39" i="12" s="1"/>
  <c r="BI39" i="12" s="1"/>
  <c r="L40" i="12"/>
  <c r="L45" i="12"/>
  <c r="L49" i="12" s="1"/>
  <c r="N103" i="12"/>
  <c r="BK103" i="12" s="1"/>
  <c r="BK42" i="12"/>
  <c r="N43" i="12"/>
  <c r="X15" i="3"/>
  <c r="N73" i="12"/>
  <c r="BK73" i="12" s="1"/>
  <c r="K13" i="18" s="1"/>
  <c r="Y12" i="4"/>
  <c r="Y16" i="3" s="1"/>
  <c r="Z48" i="4"/>
  <c r="BN49" i="2"/>
  <c r="BN33" i="2"/>
  <c r="BN39" i="2"/>
  <c r="M39" i="12" s="1"/>
  <c r="BQ48" i="2"/>
  <c r="BP24" i="2"/>
  <c r="Y25" i="4"/>
  <c r="Z49" i="4"/>
  <c r="M80" i="12"/>
  <c r="V26" i="3"/>
  <c r="V29" i="3" s="1"/>
  <c r="V20" i="4"/>
  <c r="P74" i="12" l="1"/>
  <c r="BM74" i="12" s="1"/>
  <c r="M14" i="18" s="1"/>
  <c r="BJ80" i="12"/>
  <c r="Y29" i="4"/>
  <c r="P109" i="12"/>
  <c r="N19" i="5"/>
  <c r="BO33" i="2"/>
  <c r="BO49" i="2"/>
  <c r="BO39" i="2"/>
  <c r="N39" i="12" s="1"/>
  <c r="BL109" i="12"/>
  <c r="BL111" i="12" s="1"/>
  <c r="O111" i="12"/>
  <c r="W26" i="3"/>
  <c r="W29" i="3" s="1"/>
  <c r="W20" i="4"/>
  <c r="N105" i="12" s="1"/>
  <c r="BK105" i="12" s="1"/>
  <c r="N80" i="12"/>
  <c r="I20" i="18"/>
  <c r="AA48" i="4"/>
  <c r="Z12" i="4"/>
  <c r="Z16" i="3" s="1"/>
  <c r="N71" i="12"/>
  <c r="BK71" i="12" s="1"/>
  <c r="K11" i="18" s="1"/>
  <c r="X46" i="3"/>
  <c r="X12" i="3" s="1"/>
  <c r="X18" i="4" s="1"/>
  <c r="X48" i="3"/>
  <c r="X21" i="3" s="1"/>
  <c r="BP25" i="2"/>
  <c r="BP29" i="2" s="1"/>
  <c r="AB17" i="12"/>
  <c r="AB21" i="12" s="1"/>
  <c r="AB24" i="12" s="1"/>
  <c r="AT39" i="12" s="1"/>
  <c r="BJ39" i="12" s="1"/>
  <c r="M40" i="12"/>
  <c r="M45" i="12"/>
  <c r="M49" i="12" s="1"/>
  <c r="BL42" i="12"/>
  <c r="O103" i="12"/>
  <c r="BL103" i="12" s="1"/>
  <c r="O43" i="12"/>
  <c r="P42" i="12"/>
  <c r="Z11" i="4"/>
  <c r="BR38" i="2" s="1"/>
  <c r="AA47" i="4"/>
  <c r="Z25" i="4"/>
  <c r="AA49" i="4"/>
  <c r="O73" i="12"/>
  <c r="BL73" i="12" s="1"/>
  <c r="L13" i="18" s="1"/>
  <c r="Y15" i="3"/>
  <c r="BI40" i="12"/>
  <c r="BI45" i="12"/>
  <c r="BR48" i="2"/>
  <c r="BQ24" i="2"/>
  <c r="Q74" i="12" l="1"/>
  <c r="BN74" i="12" s="1"/>
  <c r="N14" i="18" s="1"/>
  <c r="O21" i="5"/>
  <c r="O105" i="12"/>
  <c r="BL105" i="12" s="1"/>
  <c r="O19" i="5"/>
  <c r="Q42" i="12"/>
  <c r="BP33" i="2"/>
  <c r="BP49" i="2"/>
  <c r="BP39" i="2"/>
  <c r="O39" i="12" s="1"/>
  <c r="BJ40" i="12"/>
  <c r="BJ45" i="12"/>
  <c r="X26" i="3"/>
  <c r="X29" i="3" s="1"/>
  <c r="O80" i="12"/>
  <c r="X20" i="4"/>
  <c r="P111" i="12"/>
  <c r="BM109" i="12"/>
  <c r="BM111" i="12" s="1"/>
  <c r="Z15" i="3"/>
  <c r="P73" i="12"/>
  <c r="BM73" i="12" s="1"/>
  <c r="M13" i="18" s="1"/>
  <c r="AB48" i="4"/>
  <c r="AB12" i="4" s="1"/>
  <c r="AA12" i="4"/>
  <c r="AA16" i="3" s="1"/>
  <c r="BK80" i="12"/>
  <c r="Y48" i="3"/>
  <c r="Y21" i="3" s="1"/>
  <c r="BQ25" i="2"/>
  <c r="BQ29" i="2" s="1"/>
  <c r="Y46" i="3"/>
  <c r="Y12" i="3" s="1"/>
  <c r="J20" i="18"/>
  <c r="N40" i="12"/>
  <c r="AC17" i="12"/>
  <c r="AC21" i="12" s="1"/>
  <c r="AC24" i="12" s="1"/>
  <c r="AU39" i="12" s="1"/>
  <c r="BK39" i="12" s="1"/>
  <c r="N45" i="12"/>
  <c r="N49" i="12" s="1"/>
  <c r="O71" i="12"/>
  <c r="BL71" i="12" s="1"/>
  <c r="L11" i="18" s="1"/>
  <c r="BM42" i="12"/>
  <c r="P43" i="12"/>
  <c r="P103" i="12"/>
  <c r="BM103" i="12" s="1"/>
  <c r="BR24" i="2"/>
  <c r="BS48" i="2"/>
  <c r="N21" i="5"/>
  <c r="AB49" i="4"/>
  <c r="AB25" i="4" s="1"/>
  <c r="AA25" i="4"/>
  <c r="Z29" i="4"/>
  <c r="Q109" i="12"/>
  <c r="AB47" i="4"/>
  <c r="AB11" i="4" s="1"/>
  <c r="AA11" i="4"/>
  <c r="L15" i="5"/>
  <c r="AB16" i="3" l="1"/>
  <c r="S74" i="12" s="1"/>
  <c r="BP74" i="12" s="1"/>
  <c r="P14" i="18" s="1"/>
  <c r="R74" i="12"/>
  <c r="BO74" i="12" s="1"/>
  <c r="O14" i="18" s="1"/>
  <c r="M15" i="5"/>
  <c r="AA29" i="4"/>
  <c r="R109" i="12"/>
  <c r="Z46" i="3"/>
  <c r="Z12" i="3" s="1"/>
  <c r="Z48" i="3"/>
  <c r="Z21" i="3" s="1"/>
  <c r="BR25" i="2"/>
  <c r="BR29" i="2" s="1"/>
  <c r="P19" i="5"/>
  <c r="Z18" i="4"/>
  <c r="P71" i="12"/>
  <c r="BM71" i="12" s="1"/>
  <c r="M11" i="18" s="1"/>
  <c r="AD17" i="12"/>
  <c r="AD21" i="12" s="1"/>
  <c r="AD24" i="12" s="1"/>
  <c r="AV39" i="12" s="1"/>
  <c r="BL39" i="12" s="1"/>
  <c r="O40" i="12"/>
  <c r="O45" i="12"/>
  <c r="O49" i="12" s="1"/>
  <c r="BQ33" i="2"/>
  <c r="BQ49" i="2"/>
  <c r="BQ39" i="2"/>
  <c r="P39" i="12" s="1"/>
  <c r="K20" i="18"/>
  <c r="Y26" i="3"/>
  <c r="Y29" i="3" s="1"/>
  <c r="Y20" i="4"/>
  <c r="P80" i="12"/>
  <c r="BS24" i="2"/>
  <c r="BT48" i="2"/>
  <c r="BT24" i="2" s="1"/>
  <c r="Q73" i="12"/>
  <c r="BN73" i="12" s="1"/>
  <c r="N13" i="18" s="1"/>
  <c r="AA15" i="3"/>
  <c r="BS38" i="2"/>
  <c r="AB29" i="4"/>
  <c r="S109" i="12"/>
  <c r="Q43" i="12"/>
  <c r="Q103" i="12"/>
  <c r="BN103" i="12" s="1"/>
  <c r="BN42" i="12"/>
  <c r="Y18" i="4"/>
  <c r="BK40" i="12"/>
  <c r="BK45" i="12"/>
  <c r="BT38" i="2"/>
  <c r="Q111" i="12"/>
  <c r="BN109" i="12"/>
  <c r="BN111" i="12" s="1"/>
  <c r="BL80" i="12"/>
  <c r="S42" i="12" l="1"/>
  <c r="BT25" i="2"/>
  <c r="BT29" i="2" s="1"/>
  <c r="AB48" i="3"/>
  <c r="AB21" i="3" s="1"/>
  <c r="AB46" i="3"/>
  <c r="AB12" i="3" s="1"/>
  <c r="S71" i="12" s="1"/>
  <c r="BP71" i="12" s="1"/>
  <c r="P11" i="18" s="1"/>
  <c r="BL40" i="12"/>
  <c r="BL45" i="12"/>
  <c r="Z26" i="3"/>
  <c r="Z29" i="3" s="1"/>
  <c r="Z20" i="4"/>
  <c r="Q21" i="5" s="1"/>
  <c r="Q80" i="12"/>
  <c r="R111" i="12"/>
  <c r="BO109" i="12"/>
  <c r="BO111" i="12" s="1"/>
  <c r="N15" i="5"/>
  <c r="P105" i="12"/>
  <c r="BM105" i="12" s="1"/>
  <c r="P21" i="5"/>
  <c r="Q71" i="12"/>
  <c r="BN71" i="12" s="1"/>
  <c r="N11" i="18" s="1"/>
  <c r="AA48" i="3"/>
  <c r="AA21" i="3" s="1"/>
  <c r="AA46" i="3"/>
  <c r="AA12" i="3" s="1"/>
  <c r="BS25" i="2"/>
  <c r="BS29" i="2" s="1"/>
  <c r="BM80" i="12"/>
  <c r="Q19" i="5"/>
  <c r="S111" i="12"/>
  <c r="BP109" i="12"/>
  <c r="BP111" i="12" s="1"/>
  <c r="BR33" i="2"/>
  <c r="BR49" i="2"/>
  <c r="BR39" i="2"/>
  <c r="Q39" i="12" s="1"/>
  <c r="P40" i="12"/>
  <c r="AE17" i="12"/>
  <c r="AE21" i="12" s="1"/>
  <c r="AE24" i="12" s="1"/>
  <c r="AW39" i="12" s="1"/>
  <c r="BM39" i="12" s="1"/>
  <c r="P45" i="12"/>
  <c r="P49" i="12" s="1"/>
  <c r="R42" i="12"/>
  <c r="BS39" i="2"/>
  <c r="R39" i="12" s="1"/>
  <c r="L20" i="18"/>
  <c r="R73" i="12"/>
  <c r="BO73" i="12" s="1"/>
  <c r="O13" i="18" s="1"/>
  <c r="AB15" i="3"/>
  <c r="S73" i="12" s="1"/>
  <c r="BP73" i="12" s="1"/>
  <c r="P13" i="18" s="1"/>
  <c r="BN80" i="12" l="1"/>
  <c r="BO42" i="12"/>
  <c r="R43" i="12"/>
  <c r="R45" i="12"/>
  <c r="R49" i="12" s="1"/>
  <c r="R103" i="12"/>
  <c r="BO103" i="12" s="1"/>
  <c r="Q105" i="12"/>
  <c r="BN105" i="12" s="1"/>
  <c r="M20" i="18"/>
  <c r="AB20" i="4"/>
  <c r="AB26" i="3"/>
  <c r="AB29" i="3" s="1"/>
  <c r="S80" i="12"/>
  <c r="BT33" i="2"/>
  <c r="BT49" i="2"/>
  <c r="AG17" i="12"/>
  <c r="AG21" i="12" s="1"/>
  <c r="AG24" i="12" s="1"/>
  <c r="AY39" i="12" s="1"/>
  <c r="BO39" i="12" s="1"/>
  <c r="BO40" i="12" s="1"/>
  <c r="R40" i="12"/>
  <c r="BS33" i="2"/>
  <c r="BS49" i="2"/>
  <c r="AB18" i="4"/>
  <c r="R71" i="12"/>
  <c r="BO71" i="12" s="1"/>
  <c r="O11" i="18" s="1"/>
  <c r="AA26" i="3"/>
  <c r="AA29" i="3" s="1"/>
  <c r="AA20" i="4"/>
  <c r="R80" i="12"/>
  <c r="AA18" i="4"/>
  <c r="S103" i="12"/>
  <c r="BP103" i="12" s="1"/>
  <c r="BP42" i="12"/>
  <c r="S43" i="12"/>
  <c r="O15" i="5"/>
  <c r="BM40" i="12"/>
  <c r="BM45" i="12"/>
  <c r="Q40" i="12"/>
  <c r="AF17" i="12"/>
  <c r="AF21" i="12" s="1"/>
  <c r="AF24" i="12" s="1"/>
  <c r="AX39" i="12" s="1"/>
  <c r="BN39" i="12" s="1"/>
  <c r="Q45" i="12"/>
  <c r="Q49" i="12" s="1"/>
  <c r="BT39" i="2"/>
  <c r="S39" i="12" s="1"/>
  <c r="S45" i="12" s="1"/>
  <c r="S49" i="12" s="1"/>
  <c r="BP80" i="12" l="1"/>
  <c r="S40" i="12"/>
  <c r="AH17" i="12"/>
  <c r="AH21" i="12" s="1"/>
  <c r="AH24" i="12" s="1"/>
  <c r="AZ39" i="12" s="1"/>
  <c r="BP39" i="12" s="1"/>
  <c r="BP40" i="12" s="1"/>
  <c r="S19" i="5"/>
  <c r="BN40" i="12"/>
  <c r="BN45" i="12"/>
  <c r="P15" i="5"/>
  <c r="R105" i="12"/>
  <c r="BO105" i="12" s="1"/>
  <c r="R21" i="5"/>
  <c r="S21" i="5"/>
  <c r="S105" i="12"/>
  <c r="BP105" i="12" s="1"/>
  <c r="BO80" i="12"/>
  <c r="BO45" i="12"/>
  <c r="R19" i="5"/>
  <c r="N20" i="18"/>
  <c r="BP45" i="12" l="1"/>
  <c r="P20" i="18"/>
  <c r="Q15" i="5"/>
  <c r="R15" i="5"/>
  <c r="O20" i="18"/>
  <c r="S15" i="5" l="1"/>
  <c r="C32" i="18" l="1"/>
  <c r="BC94" i="12"/>
  <c r="BO118" i="12"/>
  <c r="BO116" i="12"/>
  <c r="BO115" i="12"/>
  <c r="BK115" i="12"/>
  <c r="BK116" i="12"/>
  <c r="BK118" i="12"/>
  <c r="H48" i="18"/>
  <c r="BH138" i="12"/>
  <c r="K3" i="18"/>
  <c r="BK63" i="12"/>
  <c r="BK60" i="12"/>
  <c r="E44" i="18"/>
  <c r="BE133" i="12"/>
  <c r="BI52" i="12"/>
  <c r="L52" i="12"/>
  <c r="J42" i="18"/>
  <c r="BB52" i="12"/>
  <c r="E52" i="12"/>
  <c r="I118" i="12"/>
  <c r="I116" i="12"/>
  <c r="I115" i="12"/>
  <c r="I130" i="12"/>
  <c r="O19" i="3"/>
  <c r="O14" i="3"/>
  <c r="O9" i="3"/>
  <c r="K48" i="18"/>
  <c r="BK138" i="12"/>
  <c r="J26" i="18"/>
  <c r="BJ87" i="12"/>
  <c r="E3" i="18"/>
  <c r="BE63" i="12"/>
  <c r="BE60" i="12"/>
  <c r="BE51" i="12"/>
  <c r="C44" i="18"/>
  <c r="BC133" i="12"/>
  <c r="Q94" i="12"/>
  <c r="E51" i="18"/>
  <c r="BE141" i="12"/>
  <c r="G48" i="18"/>
  <c r="BG138" i="12"/>
  <c r="P26" i="18"/>
  <c r="BP87" i="12"/>
  <c r="B44" i="18"/>
  <c r="BB133" i="12"/>
  <c r="P94" i="12"/>
  <c r="I44" i="18"/>
  <c r="BI133" i="12"/>
  <c r="I26" i="5"/>
  <c r="I16" i="5"/>
  <c r="I18" i="5"/>
  <c r="I22" i="5"/>
  <c r="BP85" i="12"/>
  <c r="P24" i="18"/>
  <c r="Q19" i="3"/>
  <c r="Q14" i="3"/>
  <c r="Q9" i="3"/>
  <c r="O5" i="4"/>
  <c r="O5" i="3"/>
  <c r="BM118" i="12"/>
  <c r="BM116" i="12"/>
  <c r="BM115" i="12"/>
  <c r="P44" i="18"/>
  <c r="BP133" i="12"/>
  <c r="BP51" i="12"/>
  <c r="N5" i="4"/>
  <c r="N5" i="3"/>
  <c r="BJ115" i="12"/>
  <c r="BJ116" i="12"/>
  <c r="BJ118" i="12"/>
  <c r="Z5" i="4"/>
  <c r="Z5" i="3"/>
  <c r="BQ5" i="6"/>
  <c r="BG41" i="2"/>
  <c r="BG4" i="2"/>
  <c r="F5" i="5"/>
  <c r="J48" i="18"/>
  <c r="BJ138" i="12"/>
  <c r="Y36" i="3"/>
  <c r="O51" i="19"/>
  <c r="O49" i="19"/>
  <c r="C30" i="18"/>
  <c r="H3" i="18"/>
  <c r="BH63" i="12"/>
  <c r="BH60" i="12"/>
  <c r="B26" i="18"/>
  <c r="BB87" i="12"/>
  <c r="I3" i="18"/>
  <c r="BI63" i="12"/>
  <c r="BI60" i="12"/>
  <c r="M26" i="18"/>
  <c r="BM87" i="12"/>
  <c r="N26" i="5"/>
  <c r="N22" i="5"/>
  <c r="N18" i="5"/>
  <c r="N16" i="5"/>
  <c r="H17" i="18"/>
  <c r="BH96" i="12"/>
  <c r="BH77" i="12"/>
  <c r="BH97" i="12"/>
  <c r="L16" i="5"/>
  <c r="L18" i="5"/>
  <c r="L22" i="5"/>
  <c r="L26" i="5"/>
  <c r="Y34" i="3"/>
  <c r="Y37" i="3"/>
  <c r="Y38" i="3"/>
  <c r="O60" i="12"/>
  <c r="BK130" i="12"/>
  <c r="K41" i="18"/>
  <c r="Y9" i="3"/>
  <c r="Y14" i="3"/>
  <c r="Y19" i="3"/>
  <c r="F40" i="18"/>
  <c r="N97" i="12"/>
  <c r="N77" i="12"/>
  <c r="N96" i="12"/>
  <c r="G40" i="18"/>
  <c r="H26" i="5"/>
  <c r="H22" i="5"/>
  <c r="H18" i="5"/>
  <c r="H16" i="5"/>
  <c r="E26" i="18"/>
  <c r="BE87" i="12"/>
  <c r="P5" i="5"/>
  <c r="CA5" i="6"/>
  <c r="L44" i="18"/>
  <c r="BL133" i="12"/>
  <c r="BQ41" i="2"/>
  <c r="BQ4" i="2"/>
  <c r="Y5" i="3"/>
  <c r="Y5" i="4"/>
  <c r="K47" i="18"/>
  <c r="C24" i="18"/>
  <c r="Q42" i="19"/>
  <c r="P42" i="19"/>
  <c r="C40" i="18"/>
  <c r="BE96" i="12"/>
  <c r="E17" i="18"/>
  <c r="BE77" i="12"/>
  <c r="BE97" i="12"/>
  <c r="BJ133" i="12"/>
  <c r="J44" i="18"/>
  <c r="L130" i="12"/>
  <c r="L115" i="12"/>
  <c r="L116" i="12"/>
  <c r="L118" i="12"/>
  <c r="BO96" i="12"/>
  <c r="BO97" i="12"/>
  <c r="BO77" i="12"/>
  <c r="O17" i="18"/>
  <c r="BD115" i="12"/>
  <c r="BD116" i="12"/>
  <c r="BD118" i="12"/>
  <c r="H8" i="18"/>
  <c r="M37" i="18"/>
  <c r="BM125" i="12"/>
  <c r="L42" i="18"/>
  <c r="E40" i="18"/>
  <c r="BN52" i="12"/>
  <c r="Q52" i="12"/>
  <c r="H118" i="12"/>
  <c r="H116" i="12"/>
  <c r="H115" i="12"/>
  <c r="H130" i="12"/>
  <c r="BJ51" i="12"/>
  <c r="L48" i="18"/>
  <c r="BL138" i="12"/>
  <c r="E8" i="18"/>
  <c r="BF118" i="12"/>
  <c r="BF116" i="12"/>
  <c r="BF115" i="12"/>
  <c r="BG52" i="12"/>
  <c r="J52" i="12"/>
  <c r="BD130" i="12"/>
  <c r="D41" i="18"/>
  <c r="E14" i="5"/>
  <c r="BB36" i="12"/>
  <c r="E13" i="5"/>
  <c r="F14" i="5"/>
  <c r="O40" i="19"/>
  <c r="O42" i="19"/>
  <c r="N118" i="12"/>
  <c r="N116" i="12"/>
  <c r="N115" i="12"/>
  <c r="N130" i="12"/>
  <c r="D34" i="5"/>
  <c r="D29" i="5"/>
  <c r="F3" i="18"/>
  <c r="BF63" i="12"/>
  <c r="BF60" i="12"/>
  <c r="F32" i="18"/>
  <c r="BF94" i="12"/>
  <c r="G47" i="18"/>
  <c r="O40" i="18"/>
  <c r="C42" i="18"/>
  <c r="Z42" i="4"/>
  <c r="BQ36" i="2"/>
  <c r="Y9" i="4"/>
  <c r="Y23" i="4"/>
  <c r="Y40" i="4"/>
  <c r="Y43" i="4"/>
  <c r="Y44" i="4"/>
  <c r="N44" i="18"/>
  <c r="BN133" i="12"/>
  <c r="S38" i="3"/>
  <c r="S37" i="3"/>
  <c r="J5" i="5"/>
  <c r="BU5" i="6"/>
  <c r="C51" i="18"/>
  <c r="BC141" i="12"/>
  <c r="H47" i="18"/>
  <c r="E94" i="12"/>
  <c r="K94" i="12"/>
  <c r="J24" i="18"/>
  <c r="BF130" i="12"/>
  <c r="F41" i="18"/>
  <c r="BB97" i="12"/>
  <c r="BB96" i="12"/>
  <c r="BB77" i="12"/>
  <c r="B17" i="18"/>
  <c r="G13" i="12"/>
  <c r="E13" i="12"/>
  <c r="X44" i="4"/>
  <c r="Y42" i="4"/>
  <c r="R60" i="12"/>
  <c r="P37" i="18"/>
  <c r="BP125" i="12"/>
  <c r="G44" i="18"/>
  <c r="BG133" i="12"/>
  <c r="K118" i="12"/>
  <c r="K116" i="12"/>
  <c r="K115" i="12"/>
  <c r="K130" i="12"/>
  <c r="B32" i="18"/>
  <c r="BB94" i="12"/>
  <c r="H102" i="12"/>
  <c r="H106" i="12"/>
  <c r="H123" i="12"/>
  <c r="H125" i="12"/>
  <c r="O48" i="18"/>
  <c r="BO138" i="12"/>
  <c r="G32" i="18"/>
  <c r="BG94" i="12"/>
  <c r="I42" i="18"/>
  <c r="L102" i="12"/>
  <c r="L106" i="12"/>
  <c r="L123" i="12"/>
  <c r="L125" i="12"/>
  <c r="BP118" i="12"/>
  <c r="BP116" i="12"/>
  <c r="BP115" i="12"/>
  <c r="F26" i="18"/>
  <c r="BF87" i="12"/>
  <c r="N19" i="3"/>
  <c r="N14" i="3"/>
  <c r="N9" i="3"/>
  <c r="O37" i="19"/>
  <c r="O31" i="19"/>
  <c r="E60" i="12"/>
  <c r="H26" i="18"/>
  <c r="BH87" i="12"/>
  <c r="F26" i="5"/>
  <c r="F22" i="5"/>
  <c r="F18" i="5"/>
  <c r="F16" i="5"/>
  <c r="BB40" i="12"/>
  <c r="V36" i="3"/>
  <c r="P50" i="19"/>
  <c r="BO51" i="12"/>
  <c r="AQ77" i="2"/>
  <c r="AQ68" i="2"/>
  <c r="AQ69" i="2"/>
  <c r="AQ72" i="2"/>
  <c r="AQ76" i="2"/>
  <c r="G133" i="12"/>
  <c r="E49" i="18"/>
  <c r="N87" i="12"/>
  <c r="O35" i="19"/>
  <c r="O25" i="19"/>
  <c r="O27" i="19"/>
  <c r="H24" i="18"/>
  <c r="D30" i="18"/>
  <c r="BP131" i="12"/>
  <c r="P42" i="18"/>
  <c r="AB36" i="3"/>
  <c r="I47" i="18"/>
  <c r="L5" i="5"/>
  <c r="BW5" i="6"/>
  <c r="G26" i="5"/>
  <c r="G22" i="5"/>
  <c r="G18" i="5"/>
  <c r="G16" i="5"/>
  <c r="Z19" i="3"/>
  <c r="Z14" i="3"/>
  <c r="Z9" i="3"/>
  <c r="BP130" i="12"/>
  <c r="P41" i="18"/>
  <c r="L51" i="18"/>
  <c r="BL141" i="12"/>
  <c r="BD94" i="12"/>
  <c r="D32" i="18"/>
  <c r="F44" i="18"/>
  <c r="BF133" i="12"/>
  <c r="AB32" i="3"/>
  <c r="AB34" i="3"/>
  <c r="AB37" i="3"/>
  <c r="AB38" i="3"/>
  <c r="BP129" i="12"/>
  <c r="P40" i="18"/>
  <c r="BH52" i="12"/>
  <c r="K52" i="12"/>
  <c r="N26" i="18"/>
  <c r="BN87" i="12"/>
  <c r="R5" i="4"/>
  <c r="R5" i="3"/>
  <c r="L26" i="18"/>
  <c r="BL87" i="12"/>
  <c r="X36" i="3"/>
  <c r="D56" i="5"/>
  <c r="S28" i="5"/>
  <c r="S27" i="5"/>
  <c r="F60" i="12"/>
  <c r="B8" i="18"/>
  <c r="X42" i="4"/>
  <c r="W44" i="4"/>
  <c r="W5" i="4"/>
  <c r="W5" i="3"/>
  <c r="W19" i="3"/>
  <c r="W9" i="4"/>
  <c r="W23" i="4"/>
  <c r="W40" i="4"/>
  <c r="W43" i="4"/>
  <c r="W9" i="3"/>
  <c r="W14" i="3"/>
  <c r="N44" i="4"/>
  <c r="N23" i="4"/>
  <c r="N40" i="4"/>
  <c r="N43" i="4"/>
  <c r="O42" i="4"/>
  <c r="I24" i="18"/>
  <c r="F48" i="18"/>
  <c r="BF138" i="12"/>
  <c r="BD51" i="12"/>
  <c r="D40" i="18"/>
  <c r="M51" i="18"/>
  <c r="BM141" i="12"/>
  <c r="H56" i="12"/>
  <c r="H60" i="12"/>
  <c r="N133" i="12"/>
  <c r="P37" i="19"/>
  <c r="P31" i="19"/>
  <c r="F94" i="12"/>
  <c r="N42" i="18"/>
  <c r="F42" i="18"/>
  <c r="P27" i="19"/>
  <c r="Q27" i="19"/>
  <c r="P25" i="19"/>
  <c r="P35" i="19"/>
  <c r="K17" i="18"/>
  <c r="BK97" i="12"/>
  <c r="BK77" i="12"/>
  <c r="BK96" i="12"/>
  <c r="M16" i="5"/>
  <c r="M18" i="5"/>
  <c r="M22" i="5"/>
  <c r="M26" i="5"/>
  <c r="B42" i="18"/>
  <c r="N5" i="5"/>
  <c r="BO36" i="2"/>
  <c r="BO41" i="2"/>
  <c r="BO4" i="2"/>
  <c r="BY5" i="6"/>
  <c r="W42" i="4"/>
  <c r="V44" i="4"/>
  <c r="BI87" i="12"/>
  <c r="I26" i="18"/>
  <c r="E96" i="12"/>
  <c r="E77" i="12"/>
  <c r="E97" i="12"/>
  <c r="BJ130" i="12"/>
  <c r="J41" i="18"/>
  <c r="F52" i="12"/>
  <c r="BC52" i="12"/>
  <c r="L49" i="18"/>
  <c r="F49" i="18"/>
  <c r="Q38" i="3"/>
  <c r="Q37" i="3"/>
  <c r="J49" i="18"/>
  <c r="S34" i="3"/>
  <c r="S36" i="3"/>
  <c r="M5" i="5"/>
  <c r="BX5" i="6"/>
  <c r="U38" i="3"/>
  <c r="U37" i="3"/>
  <c r="N51" i="18"/>
  <c r="BN141" i="12"/>
  <c r="R130" i="12"/>
  <c r="R115" i="12"/>
  <c r="R116" i="12"/>
  <c r="R118" i="12"/>
  <c r="X34" i="3"/>
  <c r="X37" i="3"/>
  <c r="X38" i="3"/>
  <c r="J36" i="18"/>
  <c r="Q6" i="19"/>
  <c r="P6" i="19"/>
  <c r="M60" i="12"/>
  <c r="BL115" i="12"/>
  <c r="BL116" i="12"/>
  <c r="BL118" i="12"/>
  <c r="K51" i="18"/>
  <c r="BK141" i="12"/>
  <c r="BH115" i="12"/>
  <c r="BH116" i="12"/>
  <c r="BH118" i="12"/>
  <c r="I60" i="12"/>
  <c r="M94" i="12"/>
  <c r="B24" i="18"/>
  <c r="U34" i="3"/>
  <c r="U36" i="3"/>
  <c r="BP60" i="12"/>
  <c r="BP63" i="12"/>
  <c r="P3" i="18"/>
  <c r="K26" i="5"/>
  <c r="K22" i="5"/>
  <c r="K16" i="5"/>
  <c r="K18" i="5"/>
  <c r="F47" i="18"/>
  <c r="U42" i="4"/>
  <c r="T44" i="4"/>
  <c r="E37" i="12"/>
  <c r="E43" i="12"/>
  <c r="F37" i="12"/>
  <c r="E40" i="12"/>
  <c r="J8" i="18"/>
  <c r="BN41" i="2"/>
  <c r="BN4" i="2"/>
  <c r="V5" i="3"/>
  <c r="V5" i="4"/>
  <c r="E30" i="18"/>
  <c r="M3" i="18"/>
  <c r="BM63" i="12"/>
  <c r="BM60" i="12"/>
  <c r="P16" i="5"/>
  <c r="P18" i="5"/>
  <c r="P22" i="5"/>
  <c r="P26" i="5"/>
  <c r="BL51" i="12"/>
  <c r="R38" i="3"/>
  <c r="R37" i="3"/>
  <c r="O87" i="12"/>
  <c r="M32" i="18"/>
  <c r="BM94" i="12"/>
  <c r="K30" i="18"/>
  <c r="O50" i="19"/>
  <c r="O34" i="19"/>
  <c r="O22" i="19"/>
  <c r="O24" i="19"/>
  <c r="BJ102" i="12"/>
  <c r="BJ106" i="12"/>
  <c r="BJ123" i="12"/>
  <c r="BJ125" i="12"/>
  <c r="J37" i="18"/>
  <c r="N49" i="18"/>
  <c r="S52" i="12"/>
  <c r="BP52" i="12"/>
  <c r="BN60" i="12"/>
  <c r="BN63" i="12"/>
  <c r="N3" i="18"/>
  <c r="O26" i="5"/>
  <c r="O22" i="5"/>
  <c r="O18" i="5"/>
  <c r="O16" i="5"/>
  <c r="BN115" i="12"/>
  <c r="BN116" i="12"/>
  <c r="BN118" i="12"/>
  <c r="E15" i="5"/>
  <c r="E18" i="5"/>
  <c r="E22" i="5"/>
  <c r="E26" i="5"/>
  <c r="D55" i="5"/>
  <c r="D57" i="5"/>
  <c r="D61" i="5"/>
  <c r="D62" i="5"/>
  <c r="D64" i="5"/>
  <c r="X19" i="3"/>
  <c r="X9" i="4"/>
  <c r="X23" i="4"/>
  <c r="X40" i="4"/>
  <c r="X43" i="4"/>
  <c r="X9" i="3"/>
  <c r="X14" i="3"/>
  <c r="N48" i="18"/>
  <c r="BN138" i="12"/>
  <c r="J26" i="5"/>
  <c r="J16" i="5"/>
  <c r="J18" i="5"/>
  <c r="J22" i="5"/>
  <c r="K36" i="18"/>
  <c r="I94" i="12"/>
  <c r="O3" i="18"/>
  <c r="BO60" i="12"/>
  <c r="BO63" i="12"/>
  <c r="R94" i="12"/>
  <c r="P30" i="18"/>
  <c r="I97" i="12"/>
  <c r="I77" i="12"/>
  <c r="I96" i="12"/>
  <c r="R34" i="3"/>
  <c r="R36" i="3"/>
  <c r="G37" i="18"/>
  <c r="BG125" i="12"/>
  <c r="O94" i="12"/>
  <c r="J3" i="18"/>
  <c r="BJ63" i="12"/>
  <c r="BJ47" i="12"/>
  <c r="BJ49" i="12"/>
  <c r="BJ56" i="12"/>
  <c r="BJ60" i="12"/>
  <c r="F24" i="18"/>
  <c r="Q87" i="12"/>
  <c r="BK94" i="12"/>
  <c r="K32" i="18"/>
  <c r="P133" i="12"/>
  <c r="O38" i="3"/>
  <c r="O37" i="3"/>
  <c r="L87" i="12"/>
  <c r="Q24" i="19"/>
  <c r="P34" i="19"/>
  <c r="P22" i="19"/>
  <c r="P24" i="19"/>
  <c r="Z38" i="3"/>
  <c r="Z37" i="3"/>
  <c r="G94" i="12"/>
  <c r="K96" i="12"/>
  <c r="K77" i="12"/>
  <c r="K97" i="12"/>
  <c r="BB51" i="12"/>
  <c r="T17" i="12"/>
  <c r="T21" i="12"/>
  <c r="T24" i="12"/>
  <c r="AL39" i="12"/>
  <c r="BB39" i="12"/>
  <c r="BB45" i="12"/>
  <c r="BB49" i="12"/>
  <c r="BB56" i="12"/>
  <c r="G42" i="18"/>
  <c r="F96" i="12"/>
  <c r="F77" i="12"/>
  <c r="F97" i="12"/>
  <c r="BI51" i="12"/>
  <c r="BT5" i="6"/>
  <c r="BJ41" i="2"/>
  <c r="BJ4" i="2"/>
  <c r="I5" i="5"/>
  <c r="BK56" i="12"/>
  <c r="BK102" i="12"/>
  <c r="BK106" i="12"/>
  <c r="BK123" i="12"/>
  <c r="BK125" i="12"/>
  <c r="K37" i="18"/>
  <c r="I51" i="18"/>
  <c r="BI141" i="12"/>
  <c r="O92" i="12"/>
  <c r="P92" i="12"/>
  <c r="Q92" i="12"/>
  <c r="R92" i="12"/>
  <c r="S92" i="12"/>
  <c r="S94" i="12"/>
  <c r="BN130" i="12"/>
  <c r="N41" i="18"/>
  <c r="BJ96" i="12"/>
  <c r="J17" i="18"/>
  <c r="BJ77" i="12"/>
  <c r="BJ97" i="12"/>
  <c r="H37" i="18"/>
  <c r="BH125" i="12"/>
  <c r="BP92" i="12"/>
  <c r="BP94" i="12"/>
  <c r="P32" i="18"/>
  <c r="BE94" i="12"/>
  <c r="E32" i="18"/>
  <c r="BF141" i="12"/>
  <c r="F51" i="18"/>
  <c r="AO36" i="2"/>
  <c r="AO41" i="2"/>
  <c r="AO4" i="2"/>
  <c r="AY5" i="6"/>
  <c r="I40" i="18"/>
  <c r="Q60" i="12"/>
  <c r="G125" i="12"/>
  <c r="Q26" i="5"/>
  <c r="Q22" i="5"/>
  <c r="Q18" i="5"/>
  <c r="Q16" i="5"/>
  <c r="O24" i="18"/>
  <c r="P42" i="4"/>
  <c r="BG36" i="2"/>
  <c r="O9" i="4"/>
  <c r="O23" i="4"/>
  <c r="O40" i="4"/>
  <c r="O43" i="4"/>
  <c r="O44" i="4"/>
  <c r="S60" i="12"/>
  <c r="R9" i="3"/>
  <c r="R14" i="3"/>
  <c r="R19" i="3"/>
  <c r="J94" i="12"/>
  <c r="G102" i="12"/>
  <c r="G106" i="12"/>
  <c r="G123" i="12"/>
  <c r="G130" i="12"/>
  <c r="G115" i="12"/>
  <c r="G116" i="12"/>
  <c r="G118" i="12"/>
  <c r="S9" i="3"/>
  <c r="S14" i="3"/>
  <c r="S19" i="3"/>
  <c r="E16" i="5"/>
  <c r="G49" i="18"/>
  <c r="H40" i="18"/>
  <c r="S118" i="12"/>
  <c r="S116" i="12"/>
  <c r="S115" i="12"/>
  <c r="S130" i="12"/>
  <c r="O125" i="12"/>
  <c r="BO85" i="12"/>
  <c r="BO87" i="12"/>
  <c r="O26" i="18"/>
  <c r="L47" i="18"/>
  <c r="P96" i="12"/>
  <c r="P77" i="12"/>
  <c r="P97" i="12"/>
  <c r="H87" i="12"/>
  <c r="G52" i="12"/>
  <c r="BD52" i="12"/>
  <c r="R16" i="5"/>
  <c r="R18" i="5"/>
  <c r="R22" i="5"/>
  <c r="R26" i="5"/>
  <c r="I52" i="12"/>
  <c r="BF52" i="12"/>
  <c r="H133" i="12"/>
  <c r="I133" i="12"/>
  <c r="U19" i="3"/>
  <c r="U14" i="3"/>
  <c r="U9" i="3"/>
  <c r="BL52" i="12"/>
  <c r="O52" i="12"/>
  <c r="BG141" i="12"/>
  <c r="G51" i="18"/>
  <c r="L51" i="12"/>
  <c r="L56" i="12"/>
  <c r="L60" i="12"/>
  <c r="BK52" i="12"/>
  <c r="N52" i="12"/>
  <c r="L94" i="12"/>
  <c r="O51" i="12"/>
  <c r="O56" i="12"/>
  <c r="O102" i="12"/>
  <c r="O106" i="12"/>
  <c r="O123" i="12"/>
  <c r="O130" i="12"/>
  <c r="O115" i="12"/>
  <c r="O116" i="12"/>
  <c r="O118" i="12"/>
  <c r="I92" i="12"/>
  <c r="J92" i="12"/>
  <c r="K92" i="12"/>
  <c r="L92" i="12"/>
  <c r="M92" i="12"/>
  <c r="N92" i="12"/>
  <c r="N94" i="12"/>
  <c r="O6" i="19"/>
  <c r="M97" i="12"/>
  <c r="M77" i="12"/>
  <c r="M96" i="12"/>
  <c r="BG115" i="12"/>
  <c r="BG116" i="12"/>
  <c r="BG118" i="12"/>
  <c r="T42" i="4"/>
  <c r="S9" i="4"/>
  <c r="S23" i="4"/>
  <c r="S40" i="4"/>
  <c r="S43" i="4"/>
  <c r="S44" i="4"/>
  <c r="F92" i="12"/>
  <c r="G92" i="12"/>
  <c r="H92" i="12"/>
  <c r="H94" i="12"/>
  <c r="K24" i="18"/>
  <c r="O30" i="18"/>
  <c r="J40" i="18"/>
  <c r="AA36" i="3"/>
  <c r="AA5" i="4"/>
  <c r="AA5" i="3"/>
  <c r="E87" i="12"/>
  <c r="I87" i="12"/>
  <c r="BP5" i="6"/>
  <c r="BF41" i="2"/>
  <c r="BF4" i="2"/>
  <c r="E5" i="5"/>
  <c r="J30" i="18"/>
  <c r="H51" i="18"/>
  <c r="BH141" i="12"/>
  <c r="I48" i="18"/>
  <c r="BI138" i="12"/>
  <c r="D3" i="18"/>
  <c r="BD60" i="12"/>
  <c r="BD63" i="12"/>
  <c r="I32" i="18"/>
  <c r="BI94" i="12"/>
  <c r="S133" i="12"/>
  <c r="S131" i="12"/>
  <c r="S129" i="12"/>
  <c r="AO33" i="2"/>
  <c r="AO53" i="2"/>
  <c r="J133" i="12"/>
  <c r="G3" i="18"/>
  <c r="BG63" i="12"/>
  <c r="BG60" i="12"/>
  <c r="G51" i="12"/>
  <c r="G56" i="12"/>
  <c r="G60" i="12"/>
  <c r="BG51" i="12"/>
  <c r="K87" i="12"/>
  <c r="BG130" i="12"/>
  <c r="G41" i="18"/>
  <c r="H51" i="12"/>
  <c r="H52" i="12"/>
  <c r="BE52" i="12"/>
  <c r="BI97" i="12"/>
  <c r="BI96" i="12"/>
  <c r="BI77" i="12"/>
  <c r="I17" i="18"/>
  <c r="F36" i="18"/>
  <c r="BK87" i="12"/>
  <c r="K26" i="18"/>
  <c r="BO92" i="12"/>
  <c r="BO94" i="12"/>
  <c r="O32" i="18"/>
  <c r="E36" i="12"/>
  <c r="T16" i="12"/>
  <c r="T19" i="12"/>
  <c r="O42" i="18"/>
  <c r="O8" i="18"/>
  <c r="BF96" i="12"/>
  <c r="BF97" i="12"/>
  <c r="BF77" i="12"/>
  <c r="F17" i="18"/>
  <c r="M133" i="12"/>
  <c r="AA32" i="3"/>
  <c r="AA34" i="3"/>
  <c r="AA37" i="3"/>
  <c r="AA38" i="3"/>
  <c r="K44" i="18"/>
  <c r="BK133" i="12"/>
  <c r="E37" i="18"/>
  <c r="BE125" i="12"/>
  <c r="E42" i="18"/>
  <c r="BN36" i="2"/>
  <c r="V9" i="4"/>
  <c r="V23" i="4"/>
  <c r="V40" i="4"/>
  <c r="V43" i="4"/>
  <c r="V9" i="3"/>
  <c r="V14" i="3"/>
  <c r="V19" i="3"/>
  <c r="BF51" i="12"/>
  <c r="M47" i="18"/>
  <c r="L96" i="12"/>
  <c r="L77" i="12"/>
  <c r="L97" i="12"/>
  <c r="H49" i="18"/>
  <c r="P36" i="3"/>
  <c r="I36" i="18"/>
  <c r="P125" i="12"/>
  <c r="J60" i="12"/>
  <c r="D37" i="18"/>
  <c r="BD125" i="12"/>
  <c r="K102" i="12"/>
  <c r="K106" i="12"/>
  <c r="K123" i="12"/>
  <c r="K125" i="12"/>
  <c r="U44" i="4"/>
  <c r="U9" i="4"/>
  <c r="U23" i="4"/>
  <c r="U40" i="4"/>
  <c r="U43" i="4"/>
  <c r="V42" i="4"/>
  <c r="I30" i="18"/>
  <c r="P102" i="12"/>
  <c r="P106" i="12"/>
  <c r="P123" i="12"/>
  <c r="P130" i="12"/>
  <c r="P115" i="12"/>
  <c r="P116" i="12"/>
  <c r="P118" i="12"/>
  <c r="N60" i="12"/>
  <c r="M87" i="12"/>
  <c r="P9" i="19"/>
  <c r="Q9" i="19"/>
  <c r="S5" i="5"/>
  <c r="CD5" i="6"/>
  <c r="S51" i="12"/>
  <c r="S56" i="12"/>
  <c r="S102" i="12"/>
  <c r="S106" i="12"/>
  <c r="S123" i="12"/>
  <c r="S125" i="12"/>
  <c r="M36" i="18"/>
  <c r="C48" i="18"/>
  <c r="BA5" i="6"/>
  <c r="BG47" i="12"/>
  <c r="BG49" i="12"/>
  <c r="BG56" i="12"/>
  <c r="BG102" i="12"/>
  <c r="BG106" i="12"/>
  <c r="BG123" i="12"/>
  <c r="G36" i="18"/>
  <c r="P36" i="18"/>
  <c r="BF47" i="12"/>
  <c r="BF49" i="12"/>
  <c r="BF56" i="12"/>
  <c r="BF102" i="12"/>
  <c r="BF106" i="12"/>
  <c r="BF123" i="12"/>
  <c r="BF125" i="12"/>
  <c r="F37" i="18"/>
  <c r="BM51" i="12"/>
  <c r="F130" i="12"/>
  <c r="F115" i="12"/>
  <c r="F116" i="12"/>
  <c r="F118" i="12"/>
  <c r="BN131" i="12"/>
  <c r="BO129" i="12"/>
  <c r="BO131" i="12"/>
  <c r="BO133" i="12"/>
  <c r="O44" i="18"/>
  <c r="O45" i="19"/>
  <c r="O43" i="19"/>
  <c r="O47" i="18"/>
  <c r="N36" i="18"/>
  <c r="J125" i="12"/>
  <c r="Q5" i="4"/>
  <c r="Q5" i="3"/>
  <c r="T36" i="3"/>
  <c r="BC97" i="12"/>
  <c r="C17" i="18"/>
  <c r="BC77" i="12"/>
  <c r="BC96" i="12"/>
  <c r="C41" i="18"/>
  <c r="M130" i="12"/>
  <c r="M115" i="12"/>
  <c r="M116" i="12"/>
  <c r="M118" i="12"/>
  <c r="BN51" i="12"/>
  <c r="C8" i="18"/>
  <c r="AB9" i="3"/>
  <c r="AB14" i="3"/>
  <c r="AB19" i="3"/>
  <c r="BN129" i="12"/>
  <c r="N40" i="18"/>
  <c r="Q45" i="19"/>
  <c r="P7" i="19"/>
  <c r="P43" i="19"/>
  <c r="P45" i="19"/>
  <c r="BT41" i="2"/>
  <c r="BT4" i="2"/>
  <c r="AB5" i="3"/>
  <c r="AB5" i="4"/>
  <c r="L133" i="12"/>
  <c r="BM138" i="12"/>
  <c r="M48" i="18"/>
  <c r="BE118" i="12"/>
  <c r="BE116" i="12"/>
  <c r="BE115" i="12"/>
  <c r="AQ36" i="2"/>
  <c r="AQ41" i="2"/>
  <c r="AQ4" i="2"/>
  <c r="K5" i="3"/>
  <c r="K5" i="4"/>
  <c r="BI118" i="12"/>
  <c r="BI116" i="12"/>
  <c r="BI115" i="12"/>
  <c r="D26" i="18"/>
  <c r="BD87" i="12"/>
  <c r="O51" i="18"/>
  <c r="BO141" i="12"/>
  <c r="BP47" i="12"/>
  <c r="BP49" i="12"/>
  <c r="BP56" i="12"/>
  <c r="BP102" i="12"/>
  <c r="BP106" i="12"/>
  <c r="BP123" i="12"/>
  <c r="BP138" i="12"/>
  <c r="P48" i="18"/>
  <c r="W17" i="19"/>
  <c r="W5" i="19"/>
  <c r="W14" i="19"/>
  <c r="P52" i="12"/>
  <c r="BM52" i="12"/>
  <c r="N36" i="3"/>
  <c r="P17" i="18"/>
  <c r="BP97" i="12"/>
  <c r="BP77" i="12"/>
  <c r="BP96" i="12"/>
  <c r="P51" i="18"/>
  <c r="BP141" i="12"/>
  <c r="F8" i="18"/>
  <c r="BN47" i="12"/>
  <c r="BN49" i="12"/>
  <c r="BN56" i="12"/>
  <c r="BN102" i="12"/>
  <c r="BN106" i="12"/>
  <c r="BN123" i="12"/>
  <c r="BN125" i="12"/>
  <c r="N37" i="18"/>
  <c r="T34" i="3"/>
  <c r="T37" i="3"/>
  <c r="T38" i="3"/>
  <c r="O4" i="19"/>
  <c r="O19" i="19"/>
  <c r="O7" i="19"/>
  <c r="O9" i="19"/>
  <c r="BN96" i="12"/>
  <c r="N17" i="18"/>
  <c r="BN77" i="12"/>
  <c r="BN97" i="12"/>
  <c r="K133" i="12"/>
  <c r="H5" i="5"/>
  <c r="BI41" i="2"/>
  <c r="BI4" i="2"/>
  <c r="BS5" i="6"/>
  <c r="D24" i="18"/>
  <c r="O49" i="18"/>
  <c r="O34" i="3"/>
  <c r="O36" i="3"/>
  <c r="P44" i="4"/>
  <c r="Q42" i="4"/>
  <c r="CC5" i="6"/>
  <c r="BS41" i="2"/>
  <c r="BS4" i="2"/>
  <c r="R5" i="5"/>
  <c r="K49" i="18"/>
  <c r="W19" i="19"/>
  <c r="W11" i="19"/>
  <c r="X12" i="19"/>
  <c r="BG34" i="2"/>
  <c r="F51" i="12"/>
  <c r="F56" i="12"/>
  <c r="F102" i="12"/>
  <c r="F106" i="12"/>
  <c r="F123" i="12"/>
  <c r="F125" i="12"/>
  <c r="N34" i="3"/>
  <c r="N37" i="3"/>
  <c r="N38" i="3"/>
  <c r="L30" i="18"/>
  <c r="BO68" i="12"/>
  <c r="BP68" i="12"/>
  <c r="P8" i="18"/>
  <c r="E36" i="18"/>
  <c r="N47" i="18"/>
  <c r="S42" i="4"/>
  <c r="BJ36" i="2"/>
  <c r="R9" i="4"/>
  <c r="R23" i="4"/>
  <c r="R40" i="4"/>
  <c r="R43" i="4"/>
  <c r="R44" i="4"/>
  <c r="BQ34" i="2"/>
  <c r="P51" i="12"/>
  <c r="P56" i="12"/>
  <c r="P60" i="12"/>
  <c r="I49" i="18"/>
  <c r="K51" i="12"/>
  <c r="K56" i="12"/>
  <c r="K60" i="12"/>
  <c r="G26" i="18"/>
  <c r="BG87" i="12"/>
  <c r="BC130" i="12"/>
  <c r="BC115" i="12"/>
  <c r="BC116" i="12"/>
  <c r="BC118" i="12"/>
  <c r="Q133" i="12"/>
  <c r="BT34" i="2"/>
  <c r="BT36" i="2"/>
  <c r="AB9" i="4"/>
  <c r="AB23" i="4"/>
  <c r="AB40" i="4"/>
  <c r="AB43" i="4"/>
  <c r="AB44" i="4"/>
  <c r="C49" i="18"/>
  <c r="M24" i="18"/>
  <c r="V34" i="3"/>
  <c r="V37" i="3"/>
  <c r="V38" i="3"/>
  <c r="Q118" i="12"/>
  <c r="Q130" i="12"/>
  <c r="Q115" i="12"/>
  <c r="Q116" i="12"/>
  <c r="O97" i="12"/>
  <c r="O77" i="12"/>
  <c r="O96" i="12"/>
  <c r="E125" i="12"/>
  <c r="D47" i="18"/>
  <c r="K5" i="5"/>
  <c r="BV5" i="6"/>
  <c r="AA19" i="3"/>
  <c r="AA14" i="3"/>
  <c r="AA9" i="3"/>
  <c r="BE130" i="12"/>
  <c r="E41" i="18"/>
  <c r="Q96" i="12"/>
  <c r="Q77" i="12"/>
  <c r="Q97" i="12"/>
  <c r="L37" i="18"/>
  <c r="BL125" i="12"/>
  <c r="BT53" i="2"/>
  <c r="S16" i="5"/>
  <c r="S18" i="5"/>
  <c r="S22" i="5"/>
  <c r="S26" i="5"/>
  <c r="BG96" i="12"/>
  <c r="G17" i="18"/>
  <c r="BG77" i="12"/>
  <c r="BG97" i="12"/>
  <c r="H30" i="18"/>
  <c r="BL94" i="12"/>
  <c r="L32" i="18"/>
  <c r="J47" i="18"/>
  <c r="BE47" i="12"/>
  <c r="BE49" i="12"/>
  <c r="BE56" i="12"/>
  <c r="BE102" i="12"/>
  <c r="BE106" i="12"/>
  <c r="BE123" i="12"/>
  <c r="BE138" i="12"/>
  <c r="E48" i="18"/>
  <c r="X45" i="19"/>
  <c r="W45" i="19"/>
  <c r="J51" i="12"/>
  <c r="J56" i="12"/>
  <c r="J102" i="12"/>
  <c r="J106" i="12"/>
  <c r="J123" i="12"/>
  <c r="J130" i="12"/>
  <c r="J115" i="12"/>
  <c r="J116" i="12"/>
  <c r="J118" i="12"/>
  <c r="T9" i="4"/>
  <c r="T23" i="4"/>
  <c r="T40" i="4"/>
  <c r="T43" i="4"/>
  <c r="T9" i="3"/>
  <c r="T14" i="3"/>
  <c r="T19" i="3"/>
  <c r="G24" i="18"/>
  <c r="BO34" i="2"/>
  <c r="N51" i="12"/>
  <c r="N56" i="12"/>
  <c r="N102" i="12"/>
  <c r="N106" i="12"/>
  <c r="N123" i="12"/>
  <c r="N125" i="12"/>
  <c r="M56" i="12"/>
  <c r="M102" i="12"/>
  <c r="M106" i="12"/>
  <c r="M123" i="12"/>
  <c r="M125" i="12"/>
  <c r="AA42" i="4"/>
  <c r="Z9" i="4"/>
  <c r="Z23" i="4"/>
  <c r="Z40" i="4"/>
  <c r="Z43" i="4"/>
  <c r="Z44" i="4"/>
  <c r="BJ94" i="12"/>
  <c r="J32" i="18"/>
  <c r="L40" i="18"/>
  <c r="BJ34" i="2"/>
  <c r="I51" i="12"/>
  <c r="I56" i="12"/>
  <c r="I102" i="12"/>
  <c r="I106" i="12"/>
  <c r="I123" i="12"/>
  <c r="I125" i="12"/>
  <c r="E47" i="18"/>
  <c r="BM85" i="12"/>
  <c r="BN85" i="12"/>
  <c r="N24" i="18"/>
  <c r="P87" i="12"/>
  <c r="Q34" i="3"/>
  <c r="Q36" i="3"/>
  <c r="P129" i="12"/>
  <c r="P131" i="12"/>
  <c r="Q129" i="12"/>
  <c r="Q131" i="12"/>
  <c r="R129" i="12"/>
  <c r="R131" i="12"/>
  <c r="R133" i="12"/>
  <c r="BN68" i="12"/>
  <c r="N8" i="18"/>
  <c r="BM47" i="12"/>
  <c r="BM49" i="12"/>
  <c r="BM56" i="12"/>
  <c r="BM102" i="12"/>
  <c r="BM106" i="12"/>
  <c r="BM123" i="12"/>
  <c r="BM130" i="12"/>
  <c r="M41" i="18"/>
  <c r="BH94" i="12"/>
  <c r="H32" i="18"/>
  <c r="D36" i="18"/>
  <c r="W36" i="3"/>
  <c r="W43" i="19"/>
  <c r="W49" i="19"/>
  <c r="W51" i="19"/>
  <c r="O5" i="5"/>
  <c r="BZ5" i="6"/>
  <c r="BL60" i="12"/>
  <c r="BL63" i="12"/>
  <c r="L3" i="18"/>
  <c r="BD47" i="12"/>
  <c r="BD49" i="12"/>
  <c r="BD56" i="12"/>
  <c r="BD102" i="12"/>
  <c r="BD106" i="12"/>
  <c r="BD123" i="12"/>
  <c r="BD138" i="12"/>
  <c r="D48" i="18"/>
  <c r="W34" i="3"/>
  <c r="W37" i="3"/>
  <c r="W38" i="3"/>
  <c r="R52" i="12"/>
  <c r="BO52" i="12"/>
  <c r="K40" i="18"/>
  <c r="BP34" i="2"/>
  <c r="BP36" i="2"/>
  <c r="BP41" i="2"/>
  <c r="BP4" i="2"/>
  <c r="X5" i="3"/>
  <c r="X5" i="4"/>
  <c r="J87" i="12"/>
  <c r="O37" i="18"/>
  <c r="BO125" i="12"/>
  <c r="BM34" i="2"/>
  <c r="BM36" i="2"/>
  <c r="BM41" i="2"/>
  <c r="BM4" i="2"/>
  <c r="U5" i="3"/>
  <c r="U5" i="4"/>
  <c r="D51" i="18"/>
  <c r="BD141" i="12"/>
  <c r="BC51" i="12"/>
  <c r="D44" i="18"/>
  <c r="BD133" i="12"/>
  <c r="BK47" i="12"/>
  <c r="BK49" i="12"/>
  <c r="BK51" i="12"/>
  <c r="BJ52" i="12"/>
  <c r="BN34" i="2"/>
  <c r="M51" i="12"/>
  <c r="M52" i="12"/>
  <c r="M8" i="18"/>
  <c r="F133" i="12"/>
  <c r="G87" i="12"/>
  <c r="BK34" i="2"/>
  <c r="BK36" i="2"/>
  <c r="BK41" i="2"/>
  <c r="BK4" i="2"/>
  <c r="S5" i="3"/>
  <c r="S5" i="4"/>
  <c r="F87" i="12"/>
  <c r="M44" i="18"/>
  <c r="BM133" i="12"/>
  <c r="L36" i="18"/>
  <c r="L17" i="18"/>
  <c r="BL97" i="12"/>
  <c r="BL77" i="12"/>
  <c r="BL96" i="12"/>
  <c r="R51" i="12"/>
  <c r="R56" i="12"/>
  <c r="R102" i="12"/>
  <c r="R106" i="12"/>
  <c r="R123" i="12"/>
  <c r="R125" i="12"/>
  <c r="Q51" i="12"/>
  <c r="Q56" i="12"/>
  <c r="Q102" i="12"/>
  <c r="Q106" i="12"/>
  <c r="Q123" i="12"/>
  <c r="Q125" i="12"/>
  <c r="K42" i="18"/>
  <c r="P19" i="19"/>
  <c r="P4" i="19"/>
  <c r="P40" i="19"/>
  <c r="P49" i="19"/>
  <c r="P51" i="19"/>
  <c r="BL34" i="2"/>
  <c r="BL36" i="2"/>
  <c r="BL41" i="2"/>
  <c r="BL4" i="2"/>
  <c r="T5" i="3"/>
  <c r="T5" i="4"/>
  <c r="BD96" i="12"/>
  <c r="D17" i="18"/>
  <c r="BD77" i="12"/>
  <c r="BD97" i="12"/>
  <c r="Q44" i="4"/>
  <c r="BI34" i="2"/>
  <c r="BI36" i="2"/>
  <c r="Q9" i="4"/>
  <c r="Q23" i="4"/>
  <c r="Q40" i="4"/>
  <c r="Q43" i="4"/>
  <c r="R42" i="4"/>
  <c r="G5" i="5"/>
  <c r="BR5" i="6"/>
  <c r="C3" i="18"/>
  <c r="BC60" i="12"/>
  <c r="BC63" i="12"/>
  <c r="BP139" i="12"/>
  <c r="P49" i="18"/>
  <c r="W37" i="19"/>
  <c r="W31" i="19"/>
  <c r="R87" i="12"/>
  <c r="BH51" i="12"/>
  <c r="C36" i="18"/>
  <c r="H42" i="18"/>
  <c r="BJ141" i="12"/>
  <c r="J51" i="18"/>
  <c r="Q32" i="3"/>
  <c r="R32" i="3"/>
  <c r="S32" i="3"/>
  <c r="T32" i="3"/>
  <c r="U32" i="3"/>
  <c r="V32" i="3"/>
  <c r="W32" i="3"/>
  <c r="X32" i="3"/>
  <c r="Y32" i="3"/>
  <c r="Z32" i="3"/>
  <c r="Z34" i="3"/>
  <c r="Z36" i="3"/>
  <c r="AO77" i="2"/>
  <c r="AO69" i="2"/>
  <c r="AO72" i="2"/>
  <c r="AO76" i="2"/>
  <c r="I8" i="18"/>
  <c r="R97" i="12"/>
  <c r="R77" i="12"/>
  <c r="R96" i="12"/>
  <c r="N30" i="18"/>
  <c r="AQ110" i="2"/>
  <c r="AQ107" i="2"/>
  <c r="H36" i="18"/>
  <c r="BB47" i="12"/>
  <c r="BF36" i="2"/>
  <c r="N9" i="4"/>
  <c r="N32" i="3"/>
  <c r="O32" i="3"/>
  <c r="P32" i="3"/>
  <c r="P34" i="3"/>
  <c r="P37" i="3"/>
  <c r="P38" i="3"/>
  <c r="M40" i="18"/>
  <c r="BI125" i="12"/>
  <c r="I37" i="18"/>
  <c r="D49" i="18"/>
  <c r="BO130" i="12"/>
  <c r="O41" i="18"/>
  <c r="BF85" i="12"/>
  <c r="BG85" i="12"/>
  <c r="BH85" i="12"/>
  <c r="BI85" i="12"/>
  <c r="BJ85" i="12"/>
  <c r="BK85" i="12"/>
  <c r="BL85" i="12"/>
  <c r="L24" i="18"/>
  <c r="M30" i="18"/>
  <c r="J97" i="12"/>
  <c r="J77" i="12"/>
  <c r="J96" i="12"/>
  <c r="D42" i="18"/>
  <c r="K8" i="18"/>
  <c r="BM96" i="12"/>
  <c r="M17" i="18"/>
  <c r="BM68" i="12"/>
  <c r="BM77" i="12"/>
  <c r="BM97" i="12"/>
  <c r="BC87" i="12"/>
  <c r="C26" i="18"/>
  <c r="B30" i="18"/>
  <c r="G97" i="12"/>
  <c r="G77" i="12"/>
  <c r="G96" i="12"/>
  <c r="F129" i="12"/>
  <c r="F131" i="12"/>
  <c r="G129" i="12"/>
  <c r="G131" i="12"/>
  <c r="H129" i="12"/>
  <c r="H131" i="12"/>
  <c r="I129" i="12"/>
  <c r="I131" i="12"/>
  <c r="J129" i="12"/>
  <c r="J131" i="12"/>
  <c r="K129" i="12"/>
  <c r="K131" i="12"/>
  <c r="L129" i="12"/>
  <c r="L131" i="12"/>
  <c r="M129" i="12"/>
  <c r="M131" i="12"/>
  <c r="N129" i="12"/>
  <c r="N131" i="12"/>
  <c r="O129" i="12"/>
  <c r="O131" i="12"/>
  <c r="O133" i="12"/>
  <c r="M49" i="18"/>
  <c r="W27" i="19"/>
  <c r="X27" i="19"/>
  <c r="W25" i="19"/>
  <c r="W35" i="19"/>
  <c r="BI129" i="12"/>
  <c r="BI131" i="12"/>
  <c r="BJ129" i="12"/>
  <c r="BJ131" i="12"/>
  <c r="BK129" i="12"/>
  <c r="BK131" i="12"/>
  <c r="BL129" i="12"/>
  <c r="BL131" i="12"/>
  <c r="BM129" i="12"/>
  <c r="BM131" i="12"/>
  <c r="M42" i="18"/>
  <c r="Q5" i="5"/>
  <c r="BR34" i="2"/>
  <c r="BR36" i="2"/>
  <c r="BR41" i="2"/>
  <c r="BR4" i="2"/>
  <c r="CB5" i="6"/>
  <c r="BH68" i="12"/>
  <c r="BI68" i="12"/>
  <c r="BJ68" i="12"/>
  <c r="BK68" i="12"/>
  <c r="BL68" i="12"/>
  <c r="L8" i="18"/>
  <c r="BI47" i="12"/>
  <c r="BI49" i="12"/>
  <c r="BI56" i="12"/>
  <c r="BI102" i="12"/>
  <c r="BI106" i="12"/>
  <c r="BI123" i="12"/>
  <c r="BI130" i="12"/>
  <c r="I41" i="18"/>
  <c r="S97" i="12"/>
  <c r="R68" i="12"/>
  <c r="S68" i="12"/>
  <c r="S77" i="12"/>
  <c r="S96" i="12"/>
  <c r="AB42" i="4"/>
  <c r="BI53" i="2"/>
  <c r="BJ53" i="2"/>
  <c r="BK53" i="2"/>
  <c r="BL53" i="2"/>
  <c r="BM53" i="2"/>
  <c r="BN53" i="2"/>
  <c r="BO53" i="2"/>
  <c r="BP53" i="2"/>
  <c r="BQ53" i="2"/>
  <c r="BR53" i="2"/>
  <c r="BS53" i="2"/>
  <c r="BS34" i="2"/>
  <c r="BS36" i="2"/>
  <c r="AA9" i="4"/>
  <c r="AA23" i="4"/>
  <c r="AA40" i="4"/>
  <c r="AA43" i="4"/>
  <c r="AA44" i="4"/>
  <c r="D8" i="18"/>
  <c r="X9" i="19"/>
  <c r="W8" i="19"/>
  <c r="W7" i="19"/>
  <c r="W9" i="19"/>
  <c r="BH41" i="2"/>
  <c r="BH4" i="2"/>
  <c r="P5" i="3"/>
  <c r="P5" i="4"/>
  <c r="BB85" i="12"/>
  <c r="BC85" i="12"/>
  <c r="BD85" i="12"/>
  <c r="BE85" i="12"/>
  <c r="E24" i="18"/>
  <c r="BC138" i="12"/>
  <c r="BC139" i="12"/>
  <c r="BD137" i="12"/>
  <c r="BD139" i="12"/>
  <c r="BE137" i="12"/>
  <c r="BE139" i="12"/>
  <c r="BF137" i="12"/>
  <c r="BF139" i="12"/>
  <c r="BG137" i="12"/>
  <c r="BG139" i="12"/>
  <c r="BH137" i="12"/>
  <c r="BH139" i="12"/>
  <c r="BI137" i="12"/>
  <c r="BI139" i="12"/>
  <c r="BJ137" i="12"/>
  <c r="BJ139" i="12"/>
  <c r="BK137" i="12"/>
  <c r="BK139" i="12"/>
  <c r="BL137" i="12"/>
  <c r="BL139" i="12"/>
  <c r="BM137" i="12"/>
  <c r="BM139" i="12"/>
  <c r="BN137" i="12"/>
  <c r="BN139" i="12"/>
  <c r="BO137" i="12"/>
  <c r="BO139" i="12"/>
  <c r="BP137" i="12"/>
  <c r="P47" i="18"/>
  <c r="O68" i="12"/>
  <c r="P68" i="12"/>
  <c r="Q68" i="12"/>
  <c r="BO47" i="12"/>
  <c r="BO49" i="12"/>
  <c r="BO56" i="12"/>
  <c r="BO102" i="12"/>
  <c r="BO106" i="12"/>
  <c r="BO123" i="12"/>
  <c r="O36" i="18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S87" i="12"/>
  <c r="BG53" i="2"/>
  <c r="BH53" i="2"/>
  <c r="BH34" i="2"/>
  <c r="BH36" i="2"/>
  <c r="P9" i="4"/>
  <c r="P23" i="4"/>
  <c r="P40" i="4"/>
  <c r="P43" i="4"/>
  <c r="P9" i="3"/>
  <c r="P14" i="3"/>
  <c r="P19" i="3"/>
  <c r="BC47" i="12"/>
  <c r="BC49" i="12"/>
  <c r="BC56" i="12"/>
  <c r="BC102" i="12"/>
  <c r="BC106" i="12"/>
  <c r="BC123" i="12"/>
  <c r="BC125" i="12"/>
  <c r="C37" i="18"/>
  <c r="BB68" i="12"/>
  <c r="BC68" i="12"/>
  <c r="BD68" i="12"/>
  <c r="BE68" i="12"/>
  <c r="BF68" i="12"/>
  <c r="BG68" i="12"/>
  <c r="G8" i="18"/>
  <c r="G30" i="18"/>
  <c r="BB131" i="12"/>
  <c r="BC129" i="12"/>
  <c r="BC131" i="12"/>
  <c r="BD129" i="12"/>
  <c r="BD131" i="12"/>
  <c r="BE129" i="12"/>
  <c r="BE131" i="12"/>
  <c r="BF129" i="12"/>
  <c r="BF131" i="12"/>
  <c r="BG129" i="12"/>
  <c r="BG131" i="12"/>
  <c r="BH129" i="12"/>
  <c r="BH131" i="12"/>
  <c r="BH133" i="12"/>
  <c r="H44" i="18"/>
  <c r="AO107" i="2"/>
  <c r="AO110" i="2"/>
  <c r="H96" i="12"/>
  <c r="H77" i="12"/>
  <c r="H97" i="12"/>
  <c r="K68" i="12"/>
  <c r="L68" i="12"/>
  <c r="M68" i="12"/>
  <c r="N68" i="12"/>
  <c r="BL47" i="12"/>
  <c r="BL49" i="12"/>
  <c r="BL56" i="12"/>
  <c r="BL102" i="12"/>
  <c r="BL106" i="12"/>
  <c r="BL123" i="12"/>
  <c r="BL130" i="12"/>
  <c r="L41" i="18"/>
  <c r="F30" i="18"/>
  <c r="E131" i="12"/>
  <c r="E133" i="12"/>
  <c r="E92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N94" i="12"/>
  <c r="N32" i="18"/>
  <c r="AO68" i="2"/>
  <c r="AO32" i="2"/>
  <c r="AQ32" i="2"/>
  <c r="AQ33" i="2"/>
  <c r="AQ53" i="2"/>
  <c r="BF53" i="2"/>
  <c r="BF34" i="2"/>
  <c r="E51" i="12"/>
  <c r="E56" i="12"/>
  <c r="E102" i="12"/>
  <c r="E106" i="12"/>
  <c r="E123" i="12"/>
  <c r="E130" i="12"/>
  <c r="E115" i="12"/>
  <c r="E116" i="12"/>
  <c r="E118" i="12"/>
  <c r="E68" i="12"/>
  <c r="F68" i="12"/>
  <c r="G68" i="12"/>
  <c r="H68" i="12"/>
  <c r="I68" i="12"/>
  <c r="J68" i="12"/>
  <c r="BH47" i="12"/>
  <c r="BH49" i="12"/>
  <c r="BH56" i="12"/>
  <c r="BH102" i="12"/>
  <c r="BH106" i="12"/>
  <c r="BH123" i="12"/>
  <c r="BH130" i="12"/>
  <c r="H41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</authors>
  <commentList>
    <comment ref="C25" authorId="0" shapeId="0" xr:uid="{159CCA8E-E1B6-483F-BE1E-D8B7EF91B128}">
      <text>
        <r>
          <rPr>
            <sz val="9"/>
            <color indexed="81"/>
            <rFont val="Tahoma"/>
            <family val="2"/>
          </rPr>
          <t>Acquired In-Process Research and Development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86150</author>
    <author>tc={31BB4EDB-11E7-854A-B7B7-5D387E50FC2F}</author>
    <author>tc={4CBE979A-7C5C-8649-8882-ED04D2E19793}</author>
  </authors>
  <commentList>
    <comment ref="E7" authorId="0" shapeId="0" xr:uid="{DB004A7A-CCB7-4E52-BC20-694E2056A9F4}">
      <text>
        <r>
          <rPr>
            <sz val="9"/>
            <color indexed="81"/>
            <rFont val="Tahoma"/>
            <family val="2"/>
          </rPr>
          <t>As of Feb 1, 2021</t>
        </r>
      </text>
    </comment>
    <comment ref="AH7" authorId="0" shapeId="0" xr:uid="{A1F41907-FDDA-49BB-BD50-8890F5B346F2}">
      <text>
        <r>
          <rPr>
            <sz val="9"/>
            <color rgb="FF000000"/>
            <rFont val="Tahoma"/>
            <family val="2"/>
          </rPr>
          <t>As of Feb 1, 2021</t>
        </r>
      </text>
    </comment>
    <comment ref="G18" authorId="1" shapeId="0" xr:uid="{31BB4EDB-11E7-854A-B7B7-5D387E50FC2F}">
      <text>
        <t>[Threaded comment]
Your version of Excel allows you to read this threaded comment; however, any edits to it will get removed if the file is opened in a newer version of Excel. Learn more: https://go.microsoft.com/fwlink/?linkid=870924
Comment:
    Based on the official deck, JAZZ was expected to use $0.7 billion shares of $7.2 billon acquisition, it would need about 10% equity raise and the cash used should not be more than the amount of existing cash.</t>
      </text>
    </comment>
    <comment ref="K23" authorId="2" shapeId="0" xr:uid="{4CBE979A-7C5C-8649-8882-ED04D2E19793}">
      <text>
        <t>[Threaded comment]
Your version of Excel allows you to read this threaded comment; however, any edits to it will get removed if the file is opened in a newer version of Excel. Learn more: https://go.microsoft.com/fwlink/?linkid=870924
Comment:
    Even though LIBOR is not effective any more nowadays, we use LIBOR here as it was still available at 2020/12/31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tc={3EA02D27-661D-2343-AD7A-D61A8A32D37E}</author>
  </authors>
  <commentList>
    <comment ref="C11" authorId="0" shapeId="0" xr:uid="{3EA02D27-661D-2343-AD7A-D61A8A32D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tc={B6ECBED6-01AD-FF44-9709-2044F3001AFB}</author>
  </authors>
  <commentList>
    <comment ref="A1" authorId="0" shapeId="0" xr:uid="{B6ECBED6-01AD-FF44-9709-2044F3001AFB}">
      <text>
        <t>[Threaded comment]
Your version of Excel allows you to read this threaded comment; however, any edits to it will get removed if the file is opened in a newer version of Excel. Learn more: https://go.microsoft.com/fwlink/?linkid=870924
Comment:
    If you want to change the scenario, please move to Sheet “Merger Model” Cell “P15”</t>
      </text>
    </comment>
  </commentList>
</comments>
</file>

<file path=xl/sharedStrings.xml><?xml version="1.0" encoding="utf-8"?>
<sst xmlns="http://schemas.openxmlformats.org/spreadsheetml/2006/main" count="780" uniqueCount="429">
  <si>
    <t>Gross Profit</t>
  </si>
  <si>
    <t>(in millions, except per share amounts)</t>
  </si>
  <si>
    <t>Q111</t>
  </si>
  <si>
    <t>Q211</t>
  </si>
  <si>
    <t>Q311</t>
  </si>
  <si>
    <t>Q411</t>
  </si>
  <si>
    <t>Q112</t>
  </si>
  <si>
    <t>Q212</t>
  </si>
  <si>
    <t>Q312</t>
  </si>
  <si>
    <t>Q412</t>
  </si>
  <si>
    <t>Q113</t>
  </si>
  <si>
    <t>Q213</t>
  </si>
  <si>
    <t>Q313</t>
  </si>
  <si>
    <t>Q413</t>
  </si>
  <si>
    <t>Q114</t>
  </si>
  <si>
    <t>Q214</t>
  </si>
  <si>
    <t>Q314</t>
  </si>
  <si>
    <t>Q414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</si>
  <si>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</si>
  <si>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</si>
  <si>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</si>
  <si>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</si>
  <si>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</si>
  <si>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</si>
  <si>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</si>
  <si>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</si>
  <si>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</si>
  <si>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</si>
  <si>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</si>
  <si>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</si>
  <si>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</si>
  <si>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</si>
  <si>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</si>
  <si>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</si>
  <si>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</si>
  <si>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</si>
  <si>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</si>
  <si>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</si>
  <si>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</si>
  <si>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</si>
  <si>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</si>
  <si>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</si>
  <si>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Non GAAP Total Revenues</t>
  </si>
  <si>
    <t>Non GAAP Diluted EPS</t>
  </si>
  <si>
    <t>Non-GAAP PNL (historicals from company filings)</t>
  </si>
  <si>
    <t xml:space="preserve">Product Revenue </t>
  </si>
  <si>
    <t>Royalties + Other Revs</t>
  </si>
  <si>
    <t>Total revenues</t>
  </si>
  <si>
    <t>COGS</t>
  </si>
  <si>
    <t>SG&amp;A</t>
  </si>
  <si>
    <t>R&amp;D</t>
  </si>
  <si>
    <t>Other</t>
  </si>
  <si>
    <t>Operating Profit</t>
  </si>
  <si>
    <t>Interest Income</t>
  </si>
  <si>
    <t>Fx</t>
  </si>
  <si>
    <t>Other Income Net</t>
  </si>
  <si>
    <t>Pre-Tax Income</t>
  </si>
  <si>
    <t>Income Tax</t>
  </si>
  <si>
    <t>Net Income</t>
  </si>
  <si>
    <t>NON-GAAP EPS</t>
  </si>
  <si>
    <t>Diluted shares</t>
  </si>
  <si>
    <t>PNL Assumptions</t>
  </si>
  <si>
    <t>Revenue growth YoY/QoQ</t>
  </si>
  <si>
    <t>n/a</t>
  </si>
  <si>
    <t>Gross Margin</t>
  </si>
  <si>
    <t>Operating Margin</t>
  </si>
  <si>
    <t>SG&amp;A % of Revenue</t>
  </si>
  <si>
    <t>R&amp;D % of Revenue</t>
  </si>
  <si>
    <t>Tax Rate</t>
  </si>
  <si>
    <t>GAAP PNL (historicals from Company filings)</t>
  </si>
  <si>
    <t>Interest (Expense) / Income</t>
  </si>
  <si>
    <t>Other (Expense) / Income Net</t>
  </si>
  <si>
    <t>Loss from Discont Ops</t>
  </si>
  <si>
    <t>GAAP EPS</t>
  </si>
  <si>
    <t>Basic</t>
  </si>
  <si>
    <t>Diluted</t>
  </si>
  <si>
    <t>Share Count</t>
  </si>
  <si>
    <t>NON-GAAP Reconciliation (Historicals from Company filings)</t>
  </si>
  <si>
    <t>GAAP COGS</t>
  </si>
  <si>
    <t>Adjustments</t>
  </si>
  <si>
    <t>Non-GAAP COGS</t>
  </si>
  <si>
    <t>GAAP R&amp;D</t>
  </si>
  <si>
    <t>Non-GAAP R&amp;D</t>
  </si>
  <si>
    <t>GAAP SG&amp;A</t>
  </si>
  <si>
    <t>Non-GAAP SG&amp;A</t>
  </si>
  <si>
    <t>GAAP Other</t>
  </si>
  <si>
    <t>Intangible asset amortization</t>
  </si>
  <si>
    <t>Impairment charges</t>
  </si>
  <si>
    <t>IPR&amp;D</t>
  </si>
  <si>
    <t>Non-GAAP Other</t>
  </si>
  <si>
    <t>GAAP Interest Expense</t>
  </si>
  <si>
    <t>Non-GAAP Interest Expense</t>
  </si>
  <si>
    <t>Fx + Other</t>
  </si>
  <si>
    <t>Loss of Ext. of Debt</t>
  </si>
  <si>
    <t>Non-GAAP Fx + Other</t>
  </si>
  <si>
    <t>GAAP Tax Provision</t>
  </si>
  <si>
    <t>Non-GAAP Tax Provision</t>
  </si>
  <si>
    <t>(In millions, except per share amounts)</t>
  </si>
  <si>
    <t>Balance Sheet (Historicals from Company filings)</t>
  </si>
  <si>
    <t>Cash and cash equivalents</t>
  </si>
  <si>
    <t>Marketable Securities</t>
  </si>
  <si>
    <t>Accounts receivable</t>
  </si>
  <si>
    <t>Inventories</t>
  </si>
  <si>
    <t>Total current assets</t>
  </si>
  <si>
    <t>PP&amp;E</t>
  </si>
  <si>
    <t>Intangible assets</t>
  </si>
  <si>
    <t>Goodwill</t>
  </si>
  <si>
    <t>Total assets</t>
  </si>
  <si>
    <t>Accounts payable</t>
  </si>
  <si>
    <t>Accrued liabilities</t>
  </si>
  <si>
    <t>Revolver</t>
  </si>
  <si>
    <t>Current portion of LTD</t>
  </si>
  <si>
    <t>Total current liabilities</t>
  </si>
  <si>
    <t>LTD Less Current Portion</t>
  </si>
  <si>
    <t>Total Liabilities</t>
  </si>
  <si>
    <t>Paid in capital</t>
  </si>
  <si>
    <t>Retained earnings</t>
  </si>
  <si>
    <t>Other equity</t>
  </si>
  <si>
    <t>NCI</t>
  </si>
  <si>
    <t>Total Equity</t>
  </si>
  <si>
    <t>Total liabilities + equity</t>
  </si>
  <si>
    <t>Check</t>
  </si>
  <si>
    <t>Statement of Cash Flows</t>
  </si>
  <si>
    <t>Statement of Cash Flows (Historicals from Company Filings)</t>
  </si>
  <si>
    <t>Net Income (Loss)</t>
  </si>
  <si>
    <t>Depreciation</t>
  </si>
  <si>
    <t>Amortization</t>
  </si>
  <si>
    <t>SBC</t>
  </si>
  <si>
    <t>Non-cash interest expense</t>
  </si>
  <si>
    <t>Other assets &amp; liabilities (LT)</t>
  </si>
  <si>
    <t xml:space="preserve">Changes in WC: </t>
  </si>
  <si>
    <t>Other (current assets)</t>
  </si>
  <si>
    <t>Other (current liabilities)</t>
  </si>
  <si>
    <t>Net Cash From Operations</t>
  </si>
  <si>
    <t>Acquired IPR&amp;D</t>
  </si>
  <si>
    <t>CAPEX</t>
  </si>
  <si>
    <t>M&amp;A Activity</t>
  </si>
  <si>
    <t>Net Cash From Investments</t>
  </si>
  <si>
    <t>Issuance of Debt</t>
  </si>
  <si>
    <t>Issuance of equity</t>
  </si>
  <si>
    <t>Share Repo</t>
  </si>
  <si>
    <t>Repayments of debt</t>
  </si>
  <si>
    <t>Net Cash from Financing</t>
  </si>
  <si>
    <t>FX</t>
  </si>
  <si>
    <t>Net Increase In Cash</t>
  </si>
  <si>
    <t>Cash @ start of Period</t>
  </si>
  <si>
    <t>Cash @ end of Period</t>
  </si>
  <si>
    <t>Q109</t>
  </si>
  <si>
    <t>Q209</t>
  </si>
  <si>
    <t>Q309</t>
  </si>
  <si>
    <t>Q409</t>
  </si>
  <si>
    <t>Q110</t>
  </si>
  <si>
    <t>Q210</t>
  </si>
  <si>
    <t>Q310</t>
  </si>
  <si>
    <t>Q410</t>
  </si>
  <si>
    <t>Products</t>
  </si>
  <si>
    <t>Marketed Products</t>
  </si>
  <si>
    <t>Xyrem</t>
  </si>
  <si>
    <t>Sunosi (Solriamfetol; JZP-110)</t>
  </si>
  <si>
    <t>Erwinaze</t>
  </si>
  <si>
    <t>Defitelio</t>
  </si>
  <si>
    <t>Vyxeos</t>
  </si>
  <si>
    <t>Prialt</t>
  </si>
  <si>
    <t>Psychiatry</t>
  </si>
  <si>
    <t>Lurbinectedin</t>
  </si>
  <si>
    <t>Total Marketed Product Sales</t>
  </si>
  <si>
    <t>Pipeline Products</t>
  </si>
  <si>
    <t>JZP-458</t>
  </si>
  <si>
    <t>CX-8998</t>
  </si>
  <si>
    <t>IMGN779 (CD33 Antibody)</t>
  </si>
  <si>
    <t>IMGN632 (CD123 Antibody)</t>
  </si>
  <si>
    <t>Total Pipeline Product Sales</t>
  </si>
  <si>
    <t>Royalties and contract revenues - Other</t>
  </si>
  <si>
    <t>Q121</t>
  </si>
  <si>
    <t>Q221</t>
  </si>
  <si>
    <t>Q321</t>
  </si>
  <si>
    <t>Q421</t>
  </si>
  <si>
    <t>Other revenues</t>
  </si>
  <si>
    <t>Interest Expense</t>
  </si>
  <si>
    <t xml:space="preserve"> -</t>
  </si>
  <si>
    <t>Fx (loss) gain</t>
  </si>
  <si>
    <t>R&amp;D % Revenue</t>
  </si>
  <si>
    <t>R&amp;D YoY growth</t>
  </si>
  <si>
    <t>SG&amp;A % Revenue</t>
  </si>
  <si>
    <t>SG&amp;A YoY growth</t>
  </si>
  <si>
    <t>Effective Tax Rate</t>
  </si>
  <si>
    <t>Profitabiltiy</t>
  </si>
  <si>
    <t>Gross Margin %</t>
  </si>
  <si>
    <t>Operating Margin %</t>
  </si>
  <si>
    <t>Net Margin %</t>
  </si>
  <si>
    <t>Valuation Date</t>
  </si>
  <si>
    <t>Xywav</t>
  </si>
  <si>
    <t>Interest (Expense) / Income</t>
    <phoneticPr fontId="43" type="noConversion"/>
  </si>
  <si>
    <t xml:space="preserve">Interest Rate </t>
    <phoneticPr fontId="43" type="noConversion"/>
  </si>
  <si>
    <t>Total Debt</t>
    <phoneticPr fontId="43" type="noConversion"/>
  </si>
  <si>
    <t xml:space="preserve">Working Capital </t>
    <phoneticPr fontId="43" type="noConversion"/>
  </si>
  <si>
    <t>A/C Days</t>
    <phoneticPr fontId="43" type="noConversion"/>
  </si>
  <si>
    <t>Inventory Days</t>
    <phoneticPr fontId="43" type="noConversion"/>
  </si>
  <si>
    <t>A/P Days</t>
    <phoneticPr fontId="43" type="noConversion"/>
  </si>
  <si>
    <t>As % of Rev</t>
    <phoneticPr fontId="43" type="noConversion"/>
  </si>
  <si>
    <t>Depreciation as % of Rev</t>
    <phoneticPr fontId="43" type="noConversion"/>
  </si>
  <si>
    <t>Amortization as % of Rev</t>
    <phoneticPr fontId="43" type="noConversion"/>
  </si>
  <si>
    <t>Capex as % of Rev</t>
    <phoneticPr fontId="43" type="noConversion"/>
  </si>
  <si>
    <t>Acquired IPR&amp;D as % of Rev</t>
    <phoneticPr fontId="43" type="noConversion"/>
  </si>
  <si>
    <t>Assumptions</t>
  </si>
  <si>
    <t>Others</t>
  </si>
  <si>
    <t>Enterprise Value (100%)</t>
  </si>
  <si>
    <t>US$m</t>
  </si>
  <si>
    <t>Transaction Date</t>
  </si>
  <si>
    <t>Less: debt</t>
  </si>
  <si>
    <t>Bid Premium %</t>
  </si>
  <si>
    <t>%</t>
  </si>
  <si>
    <t>Add: cash</t>
  </si>
  <si>
    <t>Acquisition stake %</t>
  </si>
  <si>
    <t>Less: Minority interest</t>
  </si>
  <si>
    <t>Goodwill created</t>
  </si>
  <si>
    <t>Equity Value (100%)</t>
  </si>
  <si>
    <t>Yield (%)</t>
  </si>
  <si>
    <t>Minority interest created</t>
  </si>
  <si>
    <t>Implied P/E (2022E)</t>
    <phoneticPr fontId="43" type="noConversion"/>
  </si>
  <si>
    <t>x</t>
  </si>
  <si>
    <t>Sources</t>
  </si>
  <si>
    <t>Uses</t>
  </si>
  <si>
    <t>Merger loan</t>
  </si>
  <si>
    <t>Equity purchase price</t>
  </si>
  <si>
    <t>Equity raise</t>
  </si>
  <si>
    <t>Debt refinance</t>
  </si>
  <si>
    <t>Existing cash</t>
  </si>
  <si>
    <t>Transaction costs</t>
  </si>
  <si>
    <t>Total Sources</t>
  </si>
  <si>
    <t>Total Uses</t>
  </si>
  <si>
    <t>% of Target revenue</t>
  </si>
  <si>
    <t>Equity Raise Assumptions</t>
  </si>
  <si>
    <t>Debt Raise Assumptions</t>
  </si>
  <si>
    <t>% of Target costs</t>
  </si>
  <si>
    <t>Existing debt</t>
  </si>
  <si>
    <t>LIBOR</t>
  </si>
  <si>
    <t>Margin</t>
  </si>
  <si>
    <t>Interest rate</t>
  </si>
  <si>
    <t>Issuance price</t>
  </si>
  <si>
    <t>Cash sweep %</t>
  </si>
  <si>
    <t>% Phasing</t>
  </si>
  <si>
    <t>% of current shares outstanding</t>
  </si>
  <si>
    <t>Interst rate</t>
  </si>
  <si>
    <t>Financials (US$m unless specified)</t>
  </si>
  <si>
    <t>P&amp;L</t>
  </si>
  <si>
    <t>Adjustment</t>
  </si>
  <si>
    <t>Pro-forma</t>
  </si>
  <si>
    <t>Revenue</t>
  </si>
  <si>
    <t>Growth %</t>
  </si>
  <si>
    <t>EBITDA</t>
  </si>
  <si>
    <t>EBITDA Margin %</t>
  </si>
  <si>
    <t>Less: D&amp;A</t>
    <phoneticPr fontId="43" type="noConversion"/>
  </si>
  <si>
    <t>As a % of revenue</t>
  </si>
  <si>
    <t>EBIT</t>
  </si>
  <si>
    <t>Net interest expense</t>
  </si>
  <si>
    <t>PBT</t>
  </si>
  <si>
    <t>Tax</t>
  </si>
  <si>
    <t>Tax rate %</t>
  </si>
  <si>
    <t>One-off financial gain</t>
  </si>
  <si>
    <t>EPS</t>
  </si>
  <si>
    <t>EPS Accretion/(Dilution)</t>
  </si>
  <si>
    <t>Balance Sheet</t>
  </si>
  <si>
    <t>Asset</t>
  </si>
  <si>
    <t>Cash</t>
  </si>
  <si>
    <t>Other current assets</t>
  </si>
  <si>
    <t>Total Assets</t>
  </si>
  <si>
    <t>Liabilities</t>
  </si>
  <si>
    <t>Payables</t>
  </si>
  <si>
    <t>LT debt</t>
  </si>
  <si>
    <t>Other non-current liabilities</t>
  </si>
  <si>
    <t>Equities</t>
  </si>
  <si>
    <t>Common equity</t>
  </si>
  <si>
    <t>Minority interest</t>
  </si>
  <si>
    <t>Total shareholders' equity</t>
  </si>
  <si>
    <t>Balance check</t>
  </si>
  <si>
    <t>Cashflow Statement</t>
  </si>
  <si>
    <t>Net income</t>
  </si>
  <si>
    <t>Add: D&amp;A</t>
  </si>
  <si>
    <t>Less: Change in net WC</t>
  </si>
  <si>
    <t>Total CFO</t>
  </si>
  <si>
    <t>Capex</t>
  </si>
  <si>
    <t>Total CFI</t>
  </si>
  <si>
    <t>Issuance of new shares</t>
  </si>
  <si>
    <t>Repayment of debt</t>
  </si>
  <si>
    <t>Total CFF</t>
  </si>
  <si>
    <t>Total Cash flow</t>
  </si>
  <si>
    <t>Debt Schedule</t>
  </si>
  <si>
    <t>Cash flow available for debt repayment</t>
  </si>
  <si>
    <t>Cash flow available for debt sweep</t>
  </si>
  <si>
    <t>Debt Schedule - Existing Debt</t>
  </si>
  <si>
    <t>BoP</t>
  </si>
  <si>
    <t>EoP</t>
  </si>
  <si>
    <t>Interest expenses</t>
  </si>
  <si>
    <t>Debt Schedule - Merger Loan</t>
  </si>
  <si>
    <t>Valuation</t>
    <phoneticPr fontId="43" type="noConversion"/>
  </si>
  <si>
    <t>JAZZ</t>
    <phoneticPr fontId="43" type="noConversion"/>
  </si>
  <si>
    <t>GWPH</t>
    <phoneticPr fontId="43" type="noConversion"/>
  </si>
  <si>
    <t xml:space="preserve">Goodwill </t>
    <phoneticPr fontId="43" type="noConversion"/>
  </si>
  <si>
    <t>EBITDA</t>
    <phoneticPr fontId="43" type="noConversion"/>
  </si>
  <si>
    <t>D&amp;A</t>
    <phoneticPr fontId="43" type="noConversion"/>
  </si>
  <si>
    <t>Implied EV/Sales multiple (2020A)</t>
    <phoneticPr fontId="43" type="noConversion"/>
  </si>
  <si>
    <t>No. of shares outstanding (mm)</t>
    <phoneticPr fontId="43" type="noConversion"/>
  </si>
  <si>
    <t>Revenues</t>
    <phoneticPr fontId="43" type="noConversion"/>
  </si>
  <si>
    <t>EBIT</t>
    <phoneticPr fontId="43" type="noConversion"/>
  </si>
  <si>
    <t>EBIT * (1-t)</t>
    <phoneticPr fontId="43" type="noConversion"/>
  </si>
  <si>
    <t>Tax rate</t>
    <phoneticPr fontId="43" type="noConversion"/>
  </si>
  <si>
    <t>Other Items</t>
    <phoneticPr fontId="43" type="noConversion"/>
  </si>
  <si>
    <t>Sources and Uses</t>
    <phoneticPr fontId="43" type="noConversion"/>
  </si>
  <si>
    <t>Other current liabilities</t>
    <phoneticPr fontId="43" type="noConversion"/>
  </si>
  <si>
    <t xml:space="preserve">Cash Flow from Operation </t>
    <phoneticPr fontId="43" type="noConversion"/>
  </si>
  <si>
    <t xml:space="preserve">Cash Flow from Investments </t>
    <phoneticPr fontId="43" type="noConversion"/>
  </si>
  <si>
    <t xml:space="preserve">Cash Flow from Financing </t>
    <phoneticPr fontId="43" type="noConversion"/>
  </si>
  <si>
    <t>Add: Other Adj.</t>
    <phoneticPr fontId="43" type="noConversion"/>
  </si>
  <si>
    <t>Working Capital</t>
    <phoneticPr fontId="43" type="noConversion"/>
  </si>
  <si>
    <t>Acquiror Share Price</t>
    <phoneticPr fontId="43" type="noConversion"/>
  </si>
  <si>
    <t xml:space="preserve">Issuance premium/(discount) </t>
    <phoneticPr fontId="43" type="noConversion"/>
  </si>
  <si>
    <t>No. of shares issued (mm)</t>
    <phoneticPr fontId="43" type="noConversion"/>
  </si>
  <si>
    <t>Pro forma shares outstanding (mm)</t>
    <phoneticPr fontId="43" type="noConversion"/>
  </si>
  <si>
    <t xml:space="preserve">Target current share price </t>
    <phoneticPr fontId="43" type="noConversion"/>
  </si>
  <si>
    <t xml:space="preserve">Target bid share price </t>
    <phoneticPr fontId="43" type="noConversion"/>
  </si>
  <si>
    <t xml:space="preserve">Synergies </t>
    <phoneticPr fontId="43" type="noConversion"/>
  </si>
  <si>
    <t xml:space="preserve">Revenue synergies </t>
    <phoneticPr fontId="43" type="noConversion"/>
  </si>
  <si>
    <t xml:space="preserve">Cost synergies </t>
    <phoneticPr fontId="43" type="noConversion"/>
  </si>
  <si>
    <t xml:space="preserve">Total synergies </t>
    <phoneticPr fontId="43" type="noConversion"/>
  </si>
  <si>
    <t xml:space="preserve">Cash interest </t>
    <phoneticPr fontId="43" type="noConversion"/>
  </si>
  <si>
    <t>Capex</t>
    <phoneticPr fontId="43" type="noConversion"/>
  </si>
  <si>
    <t>Net Working Capital</t>
    <phoneticPr fontId="43" type="noConversion"/>
  </si>
  <si>
    <t>Change in NWC</t>
    <phoneticPr fontId="43" type="noConversion"/>
  </si>
  <si>
    <t>WACC</t>
    <phoneticPr fontId="43" type="noConversion"/>
  </si>
  <si>
    <t>Discount year</t>
    <phoneticPr fontId="43" type="noConversion"/>
  </si>
  <si>
    <t>Discount factor</t>
    <phoneticPr fontId="43" type="noConversion"/>
  </si>
  <si>
    <t>PV of FCFF</t>
    <phoneticPr fontId="43" type="noConversion"/>
  </si>
  <si>
    <t>Terminal Value</t>
    <phoneticPr fontId="43" type="noConversion"/>
  </si>
  <si>
    <t>PV of Terminal Value</t>
    <phoneticPr fontId="43" type="noConversion"/>
  </si>
  <si>
    <t>Enterprise Value</t>
    <phoneticPr fontId="43" type="noConversion"/>
  </si>
  <si>
    <t>Sensitivity Analysis - Enterprise Value</t>
    <phoneticPr fontId="65" type="noConversion"/>
  </si>
  <si>
    <t>+D&amp;A</t>
  </si>
  <si>
    <t>-Capex</t>
  </si>
  <si>
    <t>-Change in NWC</t>
  </si>
  <si>
    <t>FCFF</t>
  </si>
  <si>
    <t>2021E</t>
  </si>
  <si>
    <t>2022E</t>
  </si>
  <si>
    <t>2023E</t>
  </si>
  <si>
    <t>2024E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</si>
  <si>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</si>
  <si>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</si>
  <si>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</si>
  <si>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</si>
  <si>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</si>
  <si>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</si>
  <si>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</si>
  <si>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</si>
  <si>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</si>
  <si>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</si>
  <si>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>2035E</t>
  </si>
  <si>
    <t>2018A</t>
  </si>
  <si>
    <t>2019A</t>
  </si>
  <si>
    <t>2020A</t>
  </si>
  <si>
    <t>2016A</t>
  </si>
  <si>
    <t>2017A</t>
  </si>
  <si>
    <t>FV of acquired tech, Est</t>
  </si>
  <si>
    <t>Other non-current assets</t>
  </si>
  <si>
    <t xml:space="preserve">Buyer revenue </t>
  </si>
  <si>
    <t xml:space="preserve">Buyer costs </t>
  </si>
  <si>
    <t>Non-GAAP Net Income</t>
  </si>
  <si>
    <t>DCF Valuation</t>
  </si>
  <si>
    <t>WACC</t>
  </si>
  <si>
    <t>Terminal Growth</t>
  </si>
  <si>
    <t>NPV Of Cash Flows</t>
  </si>
  <si>
    <t>Terminal Value</t>
  </si>
  <si>
    <t>Enterprise value</t>
  </si>
  <si>
    <t>Equity value</t>
  </si>
  <si>
    <t>Equity value per diluted share</t>
  </si>
  <si>
    <t>Current share price (12/31/2020)</t>
  </si>
  <si>
    <t>Upside/(downside)</t>
  </si>
  <si>
    <t>Share count</t>
  </si>
  <si>
    <t>Less: Pro forma debt</t>
  </si>
  <si>
    <t>Add: Pro forma cash</t>
  </si>
  <si>
    <t>Pro Forma at Closing</t>
  </si>
  <si>
    <t>2011A</t>
  </si>
  <si>
    <t>2012A</t>
  </si>
  <si>
    <t>2013A</t>
  </si>
  <si>
    <t>2014A</t>
  </si>
  <si>
    <t>2015A</t>
  </si>
  <si>
    <t>Terminal Growth Rate</t>
  </si>
  <si>
    <t>Source: 202102 Acquisition of GW Pharmaceuticals slides</t>
  </si>
  <si>
    <t>Scenario Analysis</t>
  </si>
  <si>
    <t>Bear</t>
  </si>
  <si>
    <t>Base</t>
  </si>
  <si>
    <t>Bull</t>
  </si>
  <si>
    <t xml:space="preserve">Revenue synergies </t>
  </si>
  <si>
    <t xml:space="preserve">Cost synergies </t>
  </si>
  <si>
    <t>Case Choose</t>
  </si>
  <si>
    <t>Sensitivity Analysis - PT</t>
  </si>
  <si>
    <t>Growth%</t>
  </si>
  <si>
    <t>Accretion/Dilution analysis</t>
  </si>
  <si>
    <t>Conclusion &amp; Comments</t>
  </si>
  <si>
    <t xml:space="preserve">1. In my base case scenario, this M&amp;A deal would give rise to a dilution as to JAZZ, with an EPS dilution of 24.4% in expected year 2022 </t>
  </si>
  <si>
    <t>Total D&amp;A</t>
  </si>
  <si>
    <t>D&amp;A Cap</t>
  </si>
  <si>
    <t>2. In my base case scenario, JAZZ would be likely to achieve a target price of $181 per share after this M&amp;A deal, which would be 10% upside of the current stock price (Dec 31st, 2020)</t>
  </si>
  <si>
    <t>Created Date: Dec 30th, 2022</t>
  </si>
  <si>
    <t>Last Updated Date: Jan 2nd, 2023</t>
  </si>
  <si>
    <t>Topic: Cintas Acquires Vestis Corporation proposal</t>
  </si>
  <si>
    <t>Uniform Rental &amp; Facility Services</t>
  </si>
  <si>
    <t>% (of revenue)</t>
  </si>
  <si>
    <t>δ</t>
  </si>
  <si>
    <t>First Aid and Safety Services</t>
  </si>
  <si>
    <t>All Other</t>
  </si>
  <si>
    <t>Fire Protection Services</t>
  </si>
  <si>
    <t>Uniform Direct Sales</t>
  </si>
  <si>
    <t>CTAS</t>
  </si>
  <si>
    <t>VSTS</t>
  </si>
  <si>
    <t>Cintas</t>
  </si>
  <si>
    <t xml:space="preserve">bbn </t>
  </si>
  <si>
    <t>Revenue:</t>
  </si>
  <si>
    <t>Total Revenue</t>
  </si>
  <si>
    <t>COGS:</t>
  </si>
  <si>
    <t>% (of Revenue)</t>
  </si>
  <si>
    <t>First Aid &amp; Safety Services</t>
  </si>
  <si>
    <t>Total COGS</t>
  </si>
  <si>
    <t>Gross Margin:</t>
  </si>
  <si>
    <t>Total Gross Margin</t>
  </si>
  <si>
    <t>S&amp;A Expense</t>
  </si>
  <si>
    <t>Total S&amp;A</t>
  </si>
  <si>
    <t>Operating Income</t>
  </si>
  <si>
    <t>Interest Expense, Net</t>
  </si>
  <si>
    <t>Income from Continuing Operations Before Income Taxes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</si>
</sst>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&quot;$&quot;\ #,##0_);_(* &quot;$&quot;\ \(#,##0\);_(* &quot;&quot;&quot;$&quot;\ \ \-&quot;&quot;?_);_(@_)"/>
    <numFmt numFmtId="165" formatCode="_(* &quot;$&quot;\ #,##0.00_);_(* &quot;$&quot;\ \(#,##0.00\);_(* &quot;&quot;&quot;$&quot;\ \ \-&quot;&quot;?_);_(@_)"/>
    <numFmt numFmtId="166" formatCode="_(* #,##0_);_(* \(#,##0\);_(* &quot;   -&quot;?_);_(@_)"/>
    <numFmt numFmtId="167" formatCode="_(* #,##0.0%;_(* \(#,##0.0\)%;_(* &quot;   -&quot;?_)"/>
    <numFmt numFmtId="168" formatCode="#,##0.0%;\(#,##0.0%\)"/>
    <numFmt numFmtId="169" formatCode="_(* #,##0%;_(* \(#,##0\)%;_(* &quot;   -&quot;?_)"/>
    <numFmt numFmtId="170" formatCode="0.0%"/>
    <numFmt numFmtId="171" formatCode="_(* #,##0_);_(* \(#,##0\);_(* &quot;-&quot;??_);_(@_)"/>
    <numFmt numFmtId="172" formatCode="_(* #,##0.000_);_(* \(#,##0.000\);_(* &quot;   -&quot;?_);_(@_)"/>
    <numFmt numFmtId="173" formatCode="m/d/yy;@"/>
    <numFmt numFmtId="174" formatCode="0.0\ \x"/>
    <numFmt numFmtId="175" formatCode="0000\E"/>
    <numFmt numFmtId="176" formatCode="_(&quot;$&quot;* #,##0.0_);_(&quot;$&quot;* \(#,##0.0\);_(&quot;$&quot;* &quot;-&quot;?_);_(@_)"/>
    <numFmt numFmtId="177" formatCode="0000\A"/>
    <numFmt numFmtId="178" formatCode="_(* #,##0.0_);_(* \(#,##0.0\);_(* &quot;-&quot;?_);_(@_)"/>
    <numFmt numFmtId="179" formatCode="_(* #,##0_);_(* \(#,##0\);_(* &quot;-&quot;?_);_(@_)"/>
    <numFmt numFmtId="180" formatCode="_(* #,##0.0_);_(* \(#,##0.0\);_(* &quot;-&quot;??_);_(@_)"/>
    <numFmt numFmtId="181" formatCode="_(* #,##0.00_);_(* \(#,##0.00\);_(* &quot;   -&quot;?_);_(@_)"/>
    <numFmt numFmtId="182" formatCode="_ * #,##0_ ;_ * \-#,##0_ ;_ * &quot;-&quot;??_ ;_ @_ "/>
    <numFmt numFmtId="183" formatCode="&quot;$&quot;#,##0"/>
    <numFmt numFmtId="184" formatCode="_(&quot;$&quot;* #,##0_);_(&quot;$&quot;* \(#,##0\);_(&quot;$&quot;* &quot;-&quot;??_);_(@_)"/>
    <numFmt numFmtId="185" formatCode="0.00_);[Red]\(0.00\)"/>
  </numFmts>
  <fonts count="8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7"/>
      <name val="Helvetica"/>
      <family val="2"/>
    </font>
    <font>
      <sz val="11"/>
      <name val="Helvetica"/>
      <family val="2"/>
    </font>
    <font>
      <sz val="11"/>
      <color indexed="12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2"/>
      <name val="Helvetica"/>
      <family val="2"/>
    </font>
    <font>
      <sz val="11"/>
      <color rgb="FF008000"/>
      <name val="Helvetica"/>
      <family val="2"/>
    </font>
    <font>
      <u val="singleAccounting"/>
      <sz val="11"/>
      <color rgb="FF008000"/>
      <name val="Helvetica"/>
      <family val="2"/>
    </font>
    <font>
      <b/>
      <sz val="11"/>
      <color indexed="12"/>
      <name val="Helvetica"/>
      <family val="2"/>
    </font>
    <font>
      <u/>
      <sz val="11"/>
      <color indexed="12"/>
      <name val="Helvetica"/>
      <family val="2"/>
    </font>
    <font>
      <u/>
      <sz val="11"/>
      <name val="Helvetica"/>
      <family val="2"/>
    </font>
    <font>
      <sz val="11"/>
      <color theme="0"/>
      <name val="Helvetica"/>
      <family val="2"/>
    </font>
    <font>
      <i/>
      <sz val="11"/>
      <color theme="1"/>
      <name val="Helvetica"/>
      <family val="2"/>
    </font>
    <font>
      <sz val="8"/>
      <color theme="1"/>
      <name val="Arial Narrow"/>
      <family val="2"/>
    </font>
    <font>
      <b/>
      <u val="singleAccounting"/>
      <sz val="11"/>
      <color theme="1"/>
      <name val="Helvetica"/>
      <family val="2"/>
    </font>
    <font>
      <b/>
      <u val="singleAccounting"/>
      <sz val="11"/>
      <color indexed="12"/>
      <name val="Helvetica"/>
      <family val="2"/>
    </font>
    <font>
      <b/>
      <u val="singleAccounting"/>
      <sz val="11"/>
      <name val="Helvetica"/>
      <family val="2"/>
    </font>
    <font>
      <sz val="11"/>
      <color theme="1"/>
      <name val="Helvetica"/>
      <family val="2"/>
    </font>
    <font>
      <b/>
      <sz val="11"/>
      <color theme="0"/>
      <name val="Helvetica"/>
      <family val="2"/>
    </font>
    <font>
      <b/>
      <i/>
      <sz val="11"/>
      <color theme="0"/>
      <name val="Helvetica"/>
      <family val="2"/>
    </font>
    <font>
      <b/>
      <sz val="11"/>
      <color theme="1"/>
      <name val="Helvetica"/>
      <family val="2"/>
    </font>
    <font>
      <b/>
      <sz val="11"/>
      <name val="Helvetica"/>
      <family val="2"/>
    </font>
    <font>
      <b/>
      <i/>
      <sz val="11"/>
      <name val="Helvetica"/>
      <family val="2"/>
    </font>
    <font>
      <sz val="11"/>
      <color indexed="12"/>
      <name val="Helvetica"/>
      <family val="2"/>
    </font>
    <font>
      <sz val="11"/>
      <color indexed="17"/>
      <name val="Helvetica"/>
      <family val="2"/>
    </font>
    <font>
      <u val="singleAccounting"/>
      <sz val="11"/>
      <color indexed="12"/>
      <name val="Helvetica"/>
      <family val="2"/>
    </font>
    <font>
      <u val="singleAccounting"/>
      <sz val="11"/>
      <color theme="1"/>
      <name val="Helvetica"/>
      <family val="2"/>
    </font>
    <font>
      <u val="singleAccounting"/>
      <sz val="11"/>
      <color indexed="17"/>
      <name val="Helvetica"/>
      <family val="2"/>
    </font>
    <font>
      <u val="singleAccounting"/>
      <sz val="11"/>
      <name val="Helvetica"/>
      <family val="2"/>
    </font>
    <font>
      <sz val="11"/>
      <name val="Helvetica"/>
      <family val="2"/>
    </font>
    <font>
      <sz val="11"/>
      <color rgb="FF008000"/>
      <name val="Helvetica"/>
      <family val="2"/>
    </font>
    <font>
      <sz val="11"/>
      <color rgb="FF0000FF"/>
      <name val="Helvetica"/>
      <family val="2"/>
    </font>
    <font>
      <u val="singleAccounting"/>
      <sz val="11"/>
      <color rgb="FF0000FF"/>
      <name val="Helvetica"/>
      <family val="2"/>
    </font>
    <font>
      <sz val="11"/>
      <color rgb="FF0000FF"/>
      <name val="Helvetica"/>
      <family val="2"/>
    </font>
    <font>
      <sz val="9"/>
      <name val="Calibri"/>
      <family val="3"/>
      <charset val="134"/>
      <scheme val="minor"/>
    </font>
    <font>
      <i/>
      <sz val="11"/>
      <color rgb="FF008000"/>
      <name val="Helvetica"/>
      <family val="2"/>
    </font>
    <font>
      <sz val="9"/>
      <color indexed="81"/>
      <name val="Tahoma"/>
      <family val="2"/>
    </font>
    <font>
      <sz val="9"/>
      <color theme="1"/>
      <name val="Helvetica"/>
      <family val="2"/>
    </font>
    <font>
      <b/>
      <sz val="9"/>
      <color theme="0"/>
      <name val="Helvetica"/>
      <family val="2"/>
    </font>
    <font>
      <b/>
      <sz val="9"/>
      <color theme="1"/>
      <name val="Helvetica"/>
      <family val="2"/>
    </font>
    <font>
      <i/>
      <sz val="9"/>
      <name val="Helvetica"/>
      <family val="2"/>
    </font>
    <font>
      <sz val="9"/>
      <color theme="1"/>
      <name val="Helvetica"/>
      <family val="2"/>
    </font>
    <font>
      <i/>
      <sz val="9"/>
      <color rgb="FF0000FF"/>
      <name val="Helvetica"/>
      <family val="2"/>
    </font>
    <font>
      <i/>
      <sz val="9"/>
      <color theme="1"/>
      <name val="Helvetica"/>
      <family val="2"/>
    </font>
    <font>
      <sz val="9"/>
      <name val="Helvetica"/>
      <family val="2"/>
    </font>
    <font>
      <b/>
      <sz val="9"/>
      <name val="Helvetica"/>
      <family val="2"/>
    </font>
    <font>
      <b/>
      <i/>
      <sz val="9"/>
      <color theme="1"/>
      <name val="Helvetica"/>
      <family val="2"/>
    </font>
    <font>
      <b/>
      <u/>
      <sz val="9"/>
      <color theme="1"/>
      <name val="Helvetica"/>
      <family val="2"/>
    </font>
    <font>
      <sz val="9"/>
      <color rgb="FF0000FF"/>
      <name val="Helvetica"/>
      <family val="2"/>
    </font>
    <font>
      <sz val="9"/>
      <color rgb="FFFF0000"/>
      <name val="Helvetica"/>
      <family val="2"/>
    </font>
    <font>
      <i/>
      <sz val="9"/>
      <color rgb="FFFF0000"/>
      <name val="Helvetica"/>
      <family val="2"/>
    </font>
    <font>
      <b/>
      <sz val="9"/>
      <color theme="0"/>
      <name val="Helvetica"/>
      <family val="2"/>
    </font>
    <font>
      <sz val="9"/>
      <name val="Helvetica"/>
      <family val="2"/>
    </font>
    <font>
      <i/>
      <sz val="9"/>
      <name val="Helvetica"/>
      <family val="2"/>
    </font>
    <font>
      <b/>
      <sz val="9"/>
      <color rgb="FF0000FF"/>
      <name val="Helvetica"/>
      <family val="2"/>
    </font>
    <font>
      <i/>
      <sz val="11"/>
      <name val="Helvetica"/>
      <family val="2"/>
    </font>
    <font>
      <sz val="9"/>
      <name val="宋体"/>
      <family val="3"/>
      <charset val="134"/>
    </font>
    <font>
      <b/>
      <sz val="10"/>
      <color theme="0"/>
      <name val="Helvetica"/>
      <family val="2"/>
    </font>
    <font>
      <sz val="10"/>
      <name val="Helvetica"/>
      <family val="2"/>
    </font>
    <font>
      <sz val="10"/>
      <color indexed="9"/>
      <name val="Helvetica"/>
      <family val="2"/>
    </font>
    <font>
      <b/>
      <sz val="10"/>
      <name val="Helvetica"/>
      <family val="2"/>
    </font>
    <font>
      <sz val="9"/>
      <color rgb="FF000000"/>
      <name val="Tahoma"/>
      <family val="2"/>
    </font>
    <font>
      <b/>
      <i/>
      <sz val="18"/>
      <color rgb="FFFF0000"/>
      <name val="Calibri"/>
      <family val="2"/>
      <scheme val="minor"/>
    </font>
    <font>
      <b/>
      <sz val="9"/>
      <color rgb="FF000000"/>
      <name val="Helvetica"/>
      <family val="2"/>
    </font>
    <font>
      <sz val="9"/>
      <color rgb="FF000000"/>
      <name val="Helvetica"/>
      <family val="2"/>
    </font>
    <font>
      <i/>
      <sz val="9"/>
      <color rgb="FF000000"/>
      <name val="Helvetica"/>
      <family val="2"/>
    </font>
    <font>
      <i/>
      <u/>
      <sz val="9"/>
      <color theme="1"/>
      <name val="Helvetica"/>
      <family val="2"/>
    </font>
    <font>
      <b/>
      <sz val="16"/>
      <color theme="1"/>
      <name val="Heiti TC Medium"/>
    </font>
    <font>
      <sz val="10"/>
      <color theme="1"/>
      <name val="Calibri"/>
      <family val="2"/>
      <scheme val="minor"/>
    </font>
    <font>
      <sz val="13"/>
      <color theme="1"/>
      <name val="Heiti TC Medium"/>
    </font>
    <font>
      <b/>
      <sz val="13"/>
      <color theme="1"/>
      <name val="Heiti TC Medium"/>
    </font>
    <font>
      <sz val="12"/>
      <color rgb="FF222222"/>
      <name val="Arial"/>
      <family val="2"/>
    </font>
    <font>
      <b/>
      <sz val="26"/>
      <color rgb="FFFF0000"/>
      <name val="Heiti TC Medium"/>
    </font>
    <font>
      <b/>
      <sz val="10"/>
      <color theme="1"/>
      <name val="Helvetica"/>
      <family val="2"/>
    </font>
    <font>
      <b/>
      <i/>
      <sz val="10"/>
      <color theme="0"/>
      <name val="Helvetica"/>
      <family val="2"/>
    </font>
    <font>
      <b/>
      <sz val="11"/>
      <color theme="1"/>
      <name val="Calibri"/>
      <family val="2"/>
      <scheme val="minor"/>
    </font>
    <font>
      <sz val="11"/>
      <color theme="0"/>
      <name val="Helvetica"/>
    </font>
    <font>
      <sz val="11"/>
      <color theme="9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4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/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thin">
        <color indexed="64"/>
      </bottom>
      <diagonal/>
    </border>
    <border>
      <left/>
      <right style="dotted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  <xf numFmtId="44" fontId="1" fillId="0" borderId="0" applyFont="0" applyFill="0" applyBorder="0" applyAlignment="0" applyProtection="0"/>
  </cellStyleXfs>
  <cellXfs count="547">
    <xf numFmtId="0" fontId="0" fillId="0" borderId="0" xfId="0"/>
    <xf numFmtId="0" fontId="2" fillId="0" borderId="0" xfId="0" applyFont="1"/>
    <xf numFmtId="0" fontId="2" fillId="2" borderId="0" xfId="0" applyFont="1" applyFill="1"/>
    <xf numFmtId="0" fontId="6" fillId="4" borderId="0" xfId="0" applyFont="1" applyFill="1" applyAlignment="1">
      <alignment horizontal="right"/>
    </xf>
    <xf numFmtId="0" fontId="7" fillId="4" borderId="0" xfId="0" applyFont="1" applyFill="1" applyAlignment="1">
      <alignment horizontal="right" indent="2"/>
    </xf>
    <xf numFmtId="164" fontId="6" fillId="4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0" fontId="6" fillId="4" borderId="2" xfId="0" applyFont="1" applyFill="1" applyBorder="1" applyAlignment="1">
      <alignment horizontal="right"/>
    </xf>
    <xf numFmtId="0" fontId="7" fillId="4" borderId="2" xfId="0" applyFont="1" applyFill="1" applyBorder="1" applyAlignment="1">
      <alignment horizontal="right" indent="2"/>
    </xf>
    <xf numFmtId="165" fontId="6" fillId="4" borderId="2" xfId="0" applyNumberFormat="1" applyFont="1" applyFill="1" applyBorder="1" applyAlignment="1">
      <alignment horizontal="center"/>
    </xf>
    <xf numFmtId="165" fontId="6" fillId="2" borderId="2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left"/>
    </xf>
    <xf numFmtId="0" fontId="3" fillId="4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0" borderId="0" xfId="0" applyFont="1" applyAlignment="1">
      <alignment horizontal="left" indent="1"/>
    </xf>
    <xf numFmtId="166" fontId="8" fillId="4" borderId="0" xfId="0" applyNumberFormat="1" applyFont="1" applyFill="1"/>
    <xf numFmtId="166" fontId="9" fillId="0" borderId="0" xfId="0" applyNumberFormat="1" applyFont="1"/>
    <xf numFmtId="166" fontId="2" fillId="5" borderId="0" xfId="0" applyNumberFormat="1" applyFont="1" applyFill="1"/>
    <xf numFmtId="166" fontId="10" fillId="4" borderId="0" xfId="0" applyNumberFormat="1" applyFont="1" applyFill="1"/>
    <xf numFmtId="166" fontId="10" fillId="2" borderId="0" xfId="0" applyNumberFormat="1" applyFont="1" applyFill="1"/>
    <xf numFmtId="0" fontId="2" fillId="5" borderId="0" xfId="0" applyFont="1" applyFill="1"/>
    <xf numFmtId="166" fontId="11" fillId="4" borderId="0" xfId="0" applyNumberFormat="1" applyFont="1" applyFill="1"/>
    <xf numFmtId="166" fontId="12" fillId="0" borderId="0" xfId="0" applyNumberFormat="1" applyFont="1"/>
    <xf numFmtId="166" fontId="13" fillId="5" borderId="0" xfId="0" applyNumberFormat="1" applyFont="1" applyFill="1"/>
    <xf numFmtId="166" fontId="12" fillId="4" borderId="0" xfId="0" applyNumberFormat="1" applyFont="1" applyFill="1"/>
    <xf numFmtId="166" fontId="14" fillId="4" borderId="0" xfId="0" applyNumberFormat="1" applyFont="1" applyFill="1"/>
    <xf numFmtId="166" fontId="14" fillId="2" borderId="0" xfId="0" applyNumberFormat="1" applyFont="1" applyFill="1"/>
    <xf numFmtId="166" fontId="2" fillId="4" borderId="0" xfId="0" applyNumberFormat="1" applyFont="1" applyFill="1"/>
    <xf numFmtId="166" fontId="9" fillId="5" borderId="0" xfId="0" applyNumberFormat="1" applyFont="1" applyFill="1"/>
    <xf numFmtId="166" fontId="12" fillId="5" borderId="0" xfId="0" applyNumberFormat="1" applyFont="1" applyFill="1"/>
    <xf numFmtId="166" fontId="9" fillId="4" borderId="0" xfId="0" applyNumberFormat="1" applyFont="1" applyFill="1"/>
    <xf numFmtId="166" fontId="2" fillId="5" borderId="0" xfId="1" applyNumberFormat="1" applyFont="1" applyFill="1"/>
    <xf numFmtId="166" fontId="9" fillId="2" borderId="0" xfId="0" applyNumberFormat="1" applyFont="1" applyFill="1"/>
    <xf numFmtId="166" fontId="8" fillId="2" borderId="0" xfId="0" applyNumberFormat="1" applyFont="1" applyFill="1"/>
    <xf numFmtId="166" fontId="15" fillId="5" borderId="0" xfId="0" applyNumberFormat="1" applyFont="1" applyFill="1"/>
    <xf numFmtId="166" fontId="16" fillId="5" borderId="0" xfId="0" applyNumberFormat="1" applyFont="1" applyFill="1"/>
    <xf numFmtId="0" fontId="2" fillId="0" borderId="0" xfId="0" applyFont="1" applyAlignment="1">
      <alignment horizontal="left"/>
    </xf>
    <xf numFmtId="0" fontId="9" fillId="5" borderId="0" xfId="0" applyFont="1" applyFill="1"/>
    <xf numFmtId="166" fontId="14" fillId="5" borderId="0" xfId="0" applyNumberFormat="1" applyFont="1" applyFill="1"/>
    <xf numFmtId="0" fontId="5" fillId="0" borderId="0" xfId="0" applyFont="1" applyAlignment="1">
      <alignment horizontal="left"/>
    </xf>
    <xf numFmtId="166" fontId="5" fillId="4" borderId="0" xfId="0" applyNumberFormat="1" applyFont="1" applyFill="1"/>
    <xf numFmtId="166" fontId="6" fillId="0" borderId="0" xfId="0" applyNumberFormat="1" applyFont="1"/>
    <xf numFmtId="166" fontId="5" fillId="5" borderId="0" xfId="1" applyNumberFormat="1" applyFont="1" applyFill="1"/>
    <xf numFmtId="166" fontId="5" fillId="5" borderId="0" xfId="0" applyNumberFormat="1" applyFont="1" applyFill="1"/>
    <xf numFmtId="0" fontId="2" fillId="4" borderId="0" xfId="0" applyFont="1" applyFill="1"/>
    <xf numFmtId="0" fontId="5" fillId="2" borderId="0" xfId="0" applyFont="1" applyFill="1" applyAlignment="1">
      <alignment horizontal="left"/>
    </xf>
    <xf numFmtId="165" fontId="5" fillId="4" borderId="0" xfId="0" applyNumberFormat="1" applyFont="1" applyFill="1"/>
    <xf numFmtId="165" fontId="6" fillId="2" borderId="0" xfId="0" applyNumberFormat="1" applyFont="1" applyFill="1"/>
    <xf numFmtId="165" fontId="5" fillId="2" borderId="0" xfId="0" applyNumberFormat="1" applyFont="1" applyFill="1"/>
    <xf numFmtId="164" fontId="5" fillId="2" borderId="0" xfId="0" applyNumberFormat="1" applyFont="1" applyFill="1"/>
    <xf numFmtId="166" fontId="8" fillId="4" borderId="0" xfId="1" applyNumberFormat="1" applyFont="1" applyFill="1"/>
    <xf numFmtId="165" fontId="2" fillId="4" borderId="0" xfId="0" applyNumberFormat="1" applyFont="1" applyFill="1"/>
    <xf numFmtId="165" fontId="2" fillId="2" borderId="0" xfId="0" applyNumberFormat="1" applyFont="1" applyFill="1"/>
    <xf numFmtId="165" fontId="2" fillId="2" borderId="0" xfId="1" applyNumberFormat="1" applyFont="1" applyFill="1"/>
    <xf numFmtId="165" fontId="2" fillId="4" borderId="0" xfId="1" applyNumberFormat="1" applyFont="1" applyFill="1"/>
    <xf numFmtId="167" fontId="2" fillId="2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left" indent="1"/>
    </xf>
    <xf numFmtId="0" fontId="2" fillId="4" borderId="0" xfId="0" applyFont="1" applyFill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9" fillId="2" borderId="0" xfId="0" applyNumberFormat="1" applyFont="1" applyFill="1" applyAlignment="1">
      <alignment horizontal="right"/>
    </xf>
    <xf numFmtId="167" fontId="9" fillId="4" borderId="0" xfId="0" applyNumberFormat="1" applyFont="1" applyFill="1" applyAlignment="1">
      <alignment horizontal="right"/>
    </xf>
    <xf numFmtId="168" fontId="2" fillId="4" borderId="0" xfId="0" applyNumberFormat="1" applyFont="1" applyFill="1"/>
    <xf numFmtId="168" fontId="2" fillId="0" borderId="0" xfId="0" applyNumberFormat="1" applyFont="1"/>
    <xf numFmtId="167" fontId="9" fillId="2" borderId="0" xfId="0" applyNumberFormat="1" applyFont="1" applyFill="1"/>
    <xf numFmtId="168" fontId="8" fillId="2" borderId="0" xfId="0" applyNumberFormat="1" applyFont="1" applyFill="1"/>
    <xf numFmtId="168" fontId="2" fillId="2" borderId="0" xfId="0" applyNumberFormat="1" applyFont="1" applyFill="1"/>
    <xf numFmtId="168" fontId="9" fillId="2" borderId="0" xfId="0" applyNumberFormat="1" applyFont="1" applyFill="1"/>
    <xf numFmtId="166" fontId="2" fillId="0" borderId="0" xfId="0" applyNumberFormat="1" applyFont="1"/>
    <xf numFmtId="0" fontId="2" fillId="2" borderId="0" xfId="0" applyFont="1" applyFill="1" applyAlignment="1">
      <alignment horizontal="left" indent="1"/>
    </xf>
    <xf numFmtId="43" fontId="2" fillId="2" borderId="0" xfId="0" applyNumberFormat="1" applyFont="1" applyFill="1"/>
    <xf numFmtId="43" fontId="2" fillId="4" borderId="0" xfId="0" applyNumberFormat="1" applyFont="1" applyFill="1"/>
    <xf numFmtId="166" fontId="5" fillId="2" borderId="0" xfId="0" applyNumberFormat="1" applyFont="1" applyFill="1" applyAlignment="1">
      <alignment horizontal="right"/>
    </xf>
    <xf numFmtId="166" fontId="5" fillId="4" borderId="0" xfId="0" applyNumberFormat="1" applyFont="1" applyFill="1" applyAlignment="1">
      <alignment horizontal="right"/>
    </xf>
    <xf numFmtId="166" fontId="11" fillId="2" borderId="0" xfId="0" applyNumberFormat="1" applyFont="1" applyFill="1"/>
    <xf numFmtId="166" fontId="16" fillId="4" borderId="0" xfId="0" applyNumberFormat="1" applyFont="1" applyFill="1"/>
    <xf numFmtId="166" fontId="15" fillId="4" borderId="0" xfId="0" applyNumberFormat="1" applyFont="1" applyFill="1"/>
    <xf numFmtId="166" fontId="15" fillId="2" borderId="0" xfId="0" applyNumberFormat="1" applyFont="1" applyFill="1"/>
    <xf numFmtId="166" fontId="16" fillId="0" borderId="0" xfId="0" applyNumberFormat="1" applyFont="1"/>
    <xf numFmtId="166" fontId="5" fillId="0" borderId="0" xfId="0" applyNumberFormat="1" applyFont="1"/>
    <xf numFmtId="166" fontId="17" fillId="0" borderId="0" xfId="0" applyNumberFormat="1" applyFont="1"/>
    <xf numFmtId="167" fontId="2" fillId="4" borderId="0" xfId="0" applyNumberFormat="1" applyFont="1" applyFill="1"/>
    <xf numFmtId="167" fontId="2" fillId="2" borderId="0" xfId="0" applyNumberFormat="1" applyFont="1" applyFill="1"/>
    <xf numFmtId="0" fontId="5" fillId="0" borderId="0" xfId="0" applyFont="1" applyAlignment="1">
      <alignment horizontal="left" indent="1"/>
    </xf>
    <xf numFmtId="165" fontId="5" fillId="0" borderId="0" xfId="0" applyNumberFormat="1" applyFont="1"/>
    <xf numFmtId="165" fontId="2" fillId="0" borderId="0" xfId="0" applyNumberFormat="1" applyFont="1"/>
    <xf numFmtId="166" fontId="10" fillId="0" borderId="0" xfId="0" applyNumberFormat="1" applyFont="1"/>
    <xf numFmtId="166" fontId="10" fillId="4" borderId="0" xfId="1" applyNumberFormat="1" applyFont="1" applyFill="1"/>
    <xf numFmtId="166" fontId="9" fillId="2" borderId="0" xfId="1" applyNumberFormat="1" applyFont="1" applyFill="1"/>
    <xf numFmtId="166" fontId="9" fillId="0" borderId="0" xfId="1" applyNumberFormat="1" applyFont="1"/>
    <xf numFmtId="166" fontId="15" fillId="0" borderId="0" xfId="1" applyNumberFormat="1" applyFont="1"/>
    <xf numFmtId="166" fontId="2" fillId="2" borderId="0" xfId="0" applyNumberFormat="1" applyFont="1" applyFill="1"/>
    <xf numFmtId="166" fontId="8" fillId="0" borderId="0" xfId="0" applyNumberFormat="1" applyFont="1"/>
    <xf numFmtId="166" fontId="18" fillId="4" borderId="0" xfId="0" applyNumberFormat="1" applyFont="1" applyFill="1"/>
    <xf numFmtId="166" fontId="19" fillId="0" borderId="0" xfId="0" applyNumberFormat="1" applyFont="1"/>
    <xf numFmtId="166" fontId="13" fillId="5" borderId="0" xfId="2" applyNumberFormat="1" applyFont="1" applyFill="1"/>
    <xf numFmtId="166" fontId="14" fillId="4" borderId="0" xfId="2" applyNumberFormat="1" applyFont="1" applyFill="1"/>
    <xf numFmtId="166" fontId="11" fillId="5" borderId="0" xfId="0" applyNumberFormat="1" applyFont="1" applyFill="1"/>
    <xf numFmtId="166" fontId="15" fillId="5" borderId="0" xfId="1" applyNumberFormat="1" applyFont="1" applyFill="1"/>
    <xf numFmtId="166" fontId="15" fillId="0" borderId="0" xfId="0" applyNumberFormat="1" applyFont="1"/>
    <xf numFmtId="166" fontId="14" fillId="0" borderId="0" xfId="0" applyNumberFormat="1" applyFont="1"/>
    <xf numFmtId="166" fontId="2" fillId="0" borderId="0" xfId="1" applyNumberFormat="1" applyFont="1"/>
    <xf numFmtId="166" fontId="9" fillId="0" borderId="0" xfId="0" applyNumberFormat="1" applyFont="1" applyAlignment="1">
      <alignment horizontal="left" indent="1"/>
    </xf>
    <xf numFmtId="166" fontId="13" fillId="0" borderId="0" xfId="0" applyNumberFormat="1" applyFont="1"/>
    <xf numFmtId="0" fontId="2" fillId="0" borderId="0" xfId="0" applyFont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4" xfId="0" applyFont="1" applyFill="1" applyBorder="1"/>
    <xf numFmtId="14" fontId="20" fillId="3" borderId="4" xfId="0" applyNumberFormat="1" applyFont="1" applyFill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6" fillId="4" borderId="0" xfId="0" applyNumberFormat="1" applyFont="1" applyFill="1"/>
    <xf numFmtId="0" fontId="6" fillId="4" borderId="2" xfId="0" applyFont="1" applyFill="1" applyBorder="1" applyAlignment="1">
      <alignment horizontal="center"/>
    </xf>
    <xf numFmtId="0" fontId="4" fillId="2" borderId="0" xfId="0" applyFont="1" applyFill="1" applyAlignment="1">
      <alignment horizontal="left" indent="1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2" borderId="0" xfId="0" applyFont="1" applyFill="1"/>
    <xf numFmtId="166" fontId="6" fillId="2" borderId="0" xfId="0" applyNumberFormat="1" applyFont="1" applyFill="1"/>
    <xf numFmtId="0" fontId="5" fillId="0" borderId="0" xfId="0" applyFont="1"/>
    <xf numFmtId="166" fontId="12" fillId="2" borderId="0" xfId="0" applyNumberFormat="1" applyFont="1" applyFill="1"/>
    <xf numFmtId="0" fontId="5" fillId="2" borderId="0" xfId="0" applyFont="1" applyFill="1" applyAlignment="1">
      <alignment horizontal="left" indent="1"/>
    </xf>
    <xf numFmtId="0" fontId="9" fillId="2" borderId="0" xfId="0" applyFont="1" applyFill="1" applyAlignment="1">
      <alignment horizontal="left" indent="1"/>
    </xf>
    <xf numFmtId="166" fontId="11" fillId="0" borderId="0" xfId="0" applyNumberFormat="1" applyFont="1"/>
    <xf numFmtId="0" fontId="6" fillId="2" borderId="0" xfId="0" applyFont="1" applyFill="1" applyAlignment="1">
      <alignment horizontal="left" indent="1"/>
    </xf>
    <xf numFmtId="0" fontId="3" fillId="3" borderId="0" xfId="0" applyFont="1" applyFill="1"/>
    <xf numFmtId="14" fontId="20" fillId="3" borderId="0" xfId="0" applyNumberFormat="1" applyFont="1" applyFill="1" applyAlignment="1">
      <alignment horizontal="center"/>
    </xf>
    <xf numFmtId="0" fontId="6" fillId="4" borderId="0" xfId="0" applyFont="1" applyFill="1"/>
    <xf numFmtId="0" fontId="6" fillId="4" borderId="2" xfId="0" applyFont="1" applyFill="1" applyBorder="1"/>
    <xf numFmtId="166" fontId="10" fillId="2" borderId="0" xfId="1" applyNumberFormat="1" applyFont="1" applyFill="1"/>
    <xf numFmtId="0" fontId="10" fillId="2" borderId="0" xfId="0" applyFont="1" applyFill="1"/>
    <xf numFmtId="166" fontId="13" fillId="2" borderId="0" xfId="0" applyNumberFormat="1" applyFont="1" applyFill="1"/>
    <xf numFmtId="166" fontId="2" fillId="2" borderId="0" xfId="1" applyNumberFormat="1" applyFont="1" applyFill="1"/>
    <xf numFmtId="164" fontId="5" fillId="0" borderId="0" xfId="0" applyNumberFormat="1" applyFont="1"/>
    <xf numFmtId="0" fontId="21" fillId="0" borderId="0" xfId="0" applyFont="1" applyAlignment="1">
      <alignment horizontal="left" indent="1"/>
    </xf>
    <xf numFmtId="0" fontId="20" fillId="3" borderId="0" xfId="0" applyFont="1" applyFill="1"/>
    <xf numFmtId="164" fontId="8" fillId="0" borderId="0" xfId="0" applyNumberFormat="1" applyFont="1"/>
    <xf numFmtId="0" fontId="2" fillId="0" borderId="0" xfId="0" quotePrefix="1" applyFont="1"/>
    <xf numFmtId="0" fontId="21" fillId="0" borderId="0" xfId="0" applyFont="1"/>
    <xf numFmtId="166" fontId="21" fillId="0" borderId="0" xfId="0" applyNumberFormat="1" applyFont="1"/>
    <xf numFmtId="0" fontId="9" fillId="0" borderId="0" xfId="3" applyFont="1" applyAlignment="1" applyProtection="1">
      <alignment horizontal="left" indent="1"/>
      <protection locked="0"/>
    </xf>
    <xf numFmtId="167" fontId="2" fillId="0" borderId="0" xfId="0" applyNumberFormat="1" applyFont="1"/>
    <xf numFmtId="166" fontId="6" fillId="4" borderId="0" xfId="0" applyNumberFormat="1" applyFont="1" applyFill="1" applyAlignment="1">
      <alignment horizontal="center"/>
    </xf>
    <xf numFmtId="0" fontId="3" fillId="2" borderId="0" xfId="0" applyFont="1" applyFill="1"/>
    <xf numFmtId="0" fontId="6" fillId="2" borderId="0" xfId="0" applyFont="1" applyFill="1"/>
    <xf numFmtId="167" fontId="5" fillId="2" borderId="0" xfId="0" applyNumberFormat="1" applyFont="1" applyFill="1"/>
    <xf numFmtId="166" fontId="10" fillId="5" borderId="0" xfId="0" applyNumberFormat="1" applyFont="1" applyFill="1"/>
    <xf numFmtId="166" fontId="9" fillId="2" borderId="0" xfId="0" applyNumberFormat="1" applyFont="1" applyFill="1" applyAlignment="1">
      <alignment horizontal="right"/>
    </xf>
    <xf numFmtId="166" fontId="10" fillId="2" borderId="0" xfId="0" applyNumberFormat="1" applyFont="1" applyFill="1" applyAlignment="1">
      <alignment horizontal="right"/>
    </xf>
    <xf numFmtId="166" fontId="10" fillId="0" borderId="0" xfId="0" applyNumberFormat="1" applyFont="1" applyAlignment="1">
      <alignment horizontal="right"/>
    </xf>
    <xf numFmtId="166" fontId="10" fillId="5" borderId="0" xfId="0" applyNumberFormat="1" applyFont="1" applyFill="1" applyAlignment="1">
      <alignment horizontal="right"/>
    </xf>
    <xf numFmtId="166" fontId="8" fillId="2" borderId="0" xfId="0" applyNumberFormat="1" applyFont="1" applyFill="1" applyAlignment="1">
      <alignment horizontal="right"/>
    </xf>
    <xf numFmtId="0" fontId="5" fillId="0" borderId="0" xfId="0" applyFont="1" applyAlignment="1">
      <alignment horizontal="left" indent="2"/>
    </xf>
    <xf numFmtId="166" fontId="23" fillId="0" borderId="0" xfId="0" applyNumberFormat="1" applyFont="1"/>
    <xf numFmtId="166" fontId="23" fillId="2" borderId="0" xfId="0" applyNumberFormat="1" applyFont="1" applyFill="1"/>
    <xf numFmtId="166" fontId="2" fillId="4" borderId="0" xfId="0" applyNumberFormat="1" applyFont="1" applyFill="1" applyAlignment="1">
      <alignment horizontal="right"/>
    </xf>
    <xf numFmtId="166" fontId="2" fillId="5" borderId="0" xfId="0" applyNumberFormat="1" applyFont="1" applyFill="1" applyAlignment="1">
      <alignment horizontal="right"/>
    </xf>
    <xf numFmtId="166" fontId="17" fillId="2" borderId="0" xfId="0" applyNumberFormat="1" applyFont="1" applyFill="1"/>
    <xf numFmtId="166" fontId="9" fillId="0" borderId="0" xfId="0" applyNumberFormat="1" applyFont="1" applyAlignment="1">
      <alignment horizontal="right"/>
    </xf>
    <xf numFmtId="0" fontId="13" fillId="0" borderId="0" xfId="0" applyFont="1"/>
    <xf numFmtId="164" fontId="13" fillId="0" borderId="0" xfId="0" applyNumberFormat="1" applyFont="1"/>
    <xf numFmtId="166" fontId="5" fillId="2" borderId="0" xfId="0" applyNumberFormat="1" applyFont="1" applyFill="1"/>
    <xf numFmtId="166" fontId="24" fillId="0" borderId="0" xfId="0" applyNumberFormat="1" applyFont="1"/>
    <xf numFmtId="166" fontId="25" fillId="0" borderId="0" xfId="0" applyNumberFormat="1" applyFont="1"/>
    <xf numFmtId="0" fontId="10" fillId="0" borderId="0" xfId="0" applyFont="1"/>
    <xf numFmtId="167" fontId="9" fillId="0" borderId="0" xfId="0" applyNumberFormat="1" applyFont="1"/>
    <xf numFmtId="167" fontId="10" fillId="0" borderId="0" xfId="0" applyNumberFormat="1" applyFont="1"/>
    <xf numFmtId="171" fontId="23" fillId="0" borderId="0" xfId="1" applyNumberFormat="1" applyFont="1"/>
    <xf numFmtId="164" fontId="23" fillId="0" borderId="0" xfId="1" applyNumberFormat="1" applyFont="1"/>
    <xf numFmtId="164" fontId="2" fillId="0" borderId="0" xfId="0" applyNumberFormat="1" applyFont="1"/>
    <xf numFmtId="0" fontId="3" fillId="6" borderId="1" xfId="0" applyFont="1" applyFill="1" applyBorder="1" applyAlignment="1">
      <alignment horizontal="right"/>
    </xf>
    <xf numFmtId="0" fontId="4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>
      <alignment horizontal="left"/>
    </xf>
    <xf numFmtId="0" fontId="5" fillId="6" borderId="0" xfId="0" applyFont="1" applyFill="1" applyAlignment="1">
      <alignment horizontal="right"/>
    </xf>
    <xf numFmtId="0" fontId="5" fillId="7" borderId="3" xfId="0" applyFont="1" applyFill="1" applyBorder="1" applyAlignment="1">
      <alignment horizontal="left"/>
    </xf>
    <xf numFmtId="165" fontId="5" fillId="7" borderId="3" xfId="0" applyNumberFormat="1" applyFont="1" applyFill="1" applyBorder="1"/>
    <xf numFmtId="0" fontId="5" fillId="8" borderId="1" xfId="0" applyFont="1" applyFill="1" applyBorder="1" applyAlignment="1">
      <alignment horizontal="right"/>
    </xf>
    <xf numFmtId="0" fontId="2" fillId="6" borderId="1" xfId="0" applyFont="1" applyFill="1" applyBorder="1"/>
    <xf numFmtId="0" fontId="4" fillId="6" borderId="1" xfId="0" applyFont="1" applyFill="1" applyBorder="1" applyAlignment="1">
      <alignment horizontal="right" indent="1"/>
    </xf>
    <xf numFmtId="0" fontId="3" fillId="6" borderId="1" xfId="0" applyFont="1" applyFill="1" applyBorder="1"/>
    <xf numFmtId="0" fontId="3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4" fontId="6" fillId="5" borderId="0" xfId="0" applyNumberFormat="1" applyFont="1" applyFill="1"/>
    <xf numFmtId="164" fontId="6" fillId="5" borderId="0" xfId="0" applyNumberFormat="1" applyFont="1" applyFill="1" applyAlignment="1">
      <alignment horizontal="center"/>
    </xf>
    <xf numFmtId="0" fontId="7" fillId="9" borderId="0" xfId="0" applyFont="1" applyFill="1" applyAlignment="1">
      <alignment horizontal="right" indent="2"/>
    </xf>
    <xf numFmtId="0" fontId="7" fillId="9" borderId="2" xfId="0" applyFont="1" applyFill="1" applyBorder="1" applyAlignment="1">
      <alignment horizontal="right" indent="2"/>
    </xf>
    <xf numFmtId="0" fontId="6" fillId="9" borderId="0" xfId="0" applyFont="1" applyFill="1"/>
    <xf numFmtId="0" fontId="6" fillId="9" borderId="2" xfId="0" applyFont="1" applyFill="1" applyBorder="1"/>
    <xf numFmtId="166" fontId="13" fillId="4" borderId="0" xfId="0" applyNumberFormat="1" applyFont="1" applyFill="1"/>
    <xf numFmtId="164" fontId="5" fillId="4" borderId="0" xfId="0" applyNumberFormat="1" applyFont="1" applyFill="1"/>
    <xf numFmtId="167" fontId="9" fillId="4" borderId="0" xfId="0" applyNumberFormat="1" applyFont="1" applyFill="1"/>
    <xf numFmtId="168" fontId="9" fillId="4" borderId="0" xfId="0" applyNumberFormat="1" applyFont="1" applyFill="1"/>
    <xf numFmtId="166" fontId="6" fillId="4" borderId="0" xfId="0" applyNumberFormat="1" applyFont="1" applyFill="1"/>
    <xf numFmtId="166" fontId="17" fillId="4" borderId="0" xfId="0" applyNumberFormat="1" applyFont="1" applyFill="1"/>
    <xf numFmtId="166" fontId="9" fillId="4" borderId="0" xfId="1" applyNumberFormat="1" applyFont="1" applyFill="1"/>
    <xf numFmtId="172" fontId="9" fillId="0" borderId="0" xfId="1" applyNumberFormat="1" applyFont="1"/>
    <xf numFmtId="0" fontId="30" fillId="4" borderId="0" xfId="0" applyFont="1" applyFill="1" applyAlignment="1">
      <alignment horizontal="right"/>
    </xf>
    <xf numFmtId="0" fontId="31" fillId="4" borderId="0" xfId="0" applyFont="1" applyFill="1" applyAlignment="1">
      <alignment horizontal="right"/>
    </xf>
    <xf numFmtId="164" fontId="30" fillId="4" borderId="0" xfId="0" applyNumberFormat="1" applyFont="1" applyFill="1" applyAlignment="1">
      <alignment horizontal="center"/>
    </xf>
    <xf numFmtId="164" fontId="30" fillId="2" borderId="0" xfId="0" applyNumberFormat="1" applyFont="1" applyFill="1" applyAlignment="1">
      <alignment horizontal="center"/>
    </xf>
    <xf numFmtId="0" fontId="30" fillId="4" borderId="2" xfId="0" applyFont="1" applyFill="1" applyBorder="1" applyAlignment="1">
      <alignment horizontal="right"/>
    </xf>
    <xf numFmtId="0" fontId="31" fillId="4" borderId="2" xfId="0" applyFont="1" applyFill="1" applyBorder="1" applyAlignment="1">
      <alignment horizontal="right"/>
    </xf>
    <xf numFmtId="165" fontId="30" fillId="4" borderId="2" xfId="0" applyNumberFormat="1" applyFont="1" applyFill="1" applyBorder="1" applyAlignment="1">
      <alignment horizontal="center"/>
    </xf>
    <xf numFmtId="165" fontId="30" fillId="2" borderId="2" xfId="0" applyNumberFormat="1" applyFont="1" applyFill="1" applyBorder="1" applyAlignment="1">
      <alignment horizontal="center"/>
    </xf>
    <xf numFmtId="0" fontId="26" fillId="0" borderId="0" xfId="0" applyFont="1"/>
    <xf numFmtId="0" fontId="27" fillId="2" borderId="0" xfId="0" applyFont="1" applyFill="1" applyAlignment="1">
      <alignment horizontal="right"/>
    </xf>
    <xf numFmtId="0" fontId="27" fillId="2" borderId="0" xfId="0" applyFont="1" applyFill="1" applyAlignment="1">
      <alignment horizontal="left"/>
    </xf>
    <xf numFmtId="0" fontId="27" fillId="4" borderId="0" xfId="0" applyFont="1" applyFill="1" applyAlignment="1">
      <alignment horizontal="right"/>
    </xf>
    <xf numFmtId="0" fontId="29" fillId="2" borderId="0" xfId="0" applyFont="1" applyFill="1" applyAlignment="1">
      <alignment horizontal="right"/>
    </xf>
    <xf numFmtId="0" fontId="29" fillId="4" borderId="0" xfId="0" applyFont="1" applyFill="1" applyAlignment="1">
      <alignment horizontal="right"/>
    </xf>
    <xf numFmtId="0" fontId="26" fillId="0" borderId="0" xfId="0" applyFont="1" applyAlignment="1">
      <alignment horizontal="left" indent="1"/>
    </xf>
    <xf numFmtId="166" fontId="32" fillId="4" borderId="0" xfId="0" applyNumberFormat="1" applyFont="1" applyFill="1"/>
    <xf numFmtId="166" fontId="26" fillId="5" borderId="0" xfId="0" applyNumberFormat="1" applyFont="1" applyFill="1"/>
    <xf numFmtId="166" fontId="33" fillId="4" borderId="0" xfId="0" applyNumberFormat="1" applyFont="1" applyFill="1"/>
    <xf numFmtId="166" fontId="34" fillId="4" borderId="0" xfId="0" applyNumberFormat="1" applyFont="1" applyFill="1"/>
    <xf numFmtId="166" fontId="35" fillId="5" borderId="0" xfId="0" applyNumberFormat="1" applyFont="1" applyFill="1"/>
    <xf numFmtId="166" fontId="36" fillId="4" borderId="0" xfId="0" applyNumberFormat="1" applyFont="1" applyFill="1"/>
    <xf numFmtId="166" fontId="26" fillId="4" borderId="0" xfId="0" applyNumberFormat="1" applyFont="1" applyFill="1"/>
    <xf numFmtId="166" fontId="26" fillId="2" borderId="0" xfId="0" applyNumberFormat="1" applyFont="1" applyFill="1"/>
    <xf numFmtId="166" fontId="37" fillId="4" borderId="0" xfId="0" applyNumberFormat="1" applyFont="1" applyFill="1"/>
    <xf numFmtId="166" fontId="38" fillId="4" borderId="0" xfId="0" applyNumberFormat="1" applyFont="1" applyFill="1"/>
    <xf numFmtId="166" fontId="38" fillId="2" borderId="0" xfId="0" applyNumberFormat="1" applyFont="1" applyFill="1"/>
    <xf numFmtId="166" fontId="26" fillId="4" borderId="0" xfId="1" applyNumberFormat="1" applyFont="1" applyFill="1"/>
    <xf numFmtId="166" fontId="34" fillId="4" borderId="0" xfId="2" applyNumberFormat="1" applyFont="1" applyFill="1"/>
    <xf numFmtId="166" fontId="32" fillId="2" borderId="0" xfId="0" applyNumberFormat="1" applyFont="1" applyFill="1"/>
    <xf numFmtId="166" fontId="33" fillId="2" borderId="0" xfId="0" applyNumberFormat="1" applyFont="1" applyFill="1"/>
    <xf numFmtId="0" fontId="26" fillId="0" borderId="0" xfId="0" applyFont="1" applyAlignment="1">
      <alignment horizontal="left"/>
    </xf>
    <xf numFmtId="0" fontId="29" fillId="0" borderId="0" xfId="0" applyFont="1" applyAlignment="1">
      <alignment horizontal="left"/>
    </xf>
    <xf numFmtId="166" fontId="29" fillId="4" borderId="0" xfId="0" applyNumberFormat="1" applyFont="1" applyFill="1"/>
    <xf numFmtId="166" fontId="29" fillId="2" borderId="0" xfId="0" applyNumberFormat="1" applyFont="1" applyFill="1"/>
    <xf numFmtId="0" fontId="26" fillId="4" borderId="0" xfId="0" applyFont="1" applyFill="1"/>
    <xf numFmtId="0" fontId="29" fillId="10" borderId="3" xfId="0" applyFont="1" applyFill="1" applyBorder="1" applyAlignment="1">
      <alignment horizontal="left"/>
    </xf>
    <xf numFmtId="165" fontId="29" fillId="10" borderId="3" xfId="0" applyNumberFormat="1" applyFont="1" applyFill="1" applyBorder="1"/>
    <xf numFmtId="0" fontId="29" fillId="2" borderId="0" xfId="0" applyFont="1" applyFill="1" applyAlignment="1">
      <alignment horizontal="left"/>
    </xf>
    <xf numFmtId="165" fontId="29" fillId="4" borderId="0" xfId="0" applyNumberFormat="1" applyFont="1" applyFill="1"/>
    <xf numFmtId="165" fontId="29" fillId="2" borderId="0" xfId="0" applyNumberFormat="1" applyFont="1" applyFill="1"/>
    <xf numFmtId="164" fontId="29" fillId="2" borderId="0" xfId="0" applyNumberFormat="1" applyFont="1" applyFill="1"/>
    <xf numFmtId="0" fontId="26" fillId="2" borderId="0" xfId="0" applyFont="1" applyFill="1" applyAlignment="1">
      <alignment horizontal="left" indent="1"/>
    </xf>
    <xf numFmtId="0" fontId="26" fillId="2" borderId="0" xfId="0" applyFont="1" applyFill="1"/>
    <xf numFmtId="165" fontId="26" fillId="4" borderId="0" xfId="0" applyNumberFormat="1" applyFont="1" applyFill="1"/>
    <xf numFmtId="165" fontId="26" fillId="2" borderId="0" xfId="0" applyNumberFormat="1" applyFont="1" applyFill="1"/>
    <xf numFmtId="165" fontId="26" fillId="2" borderId="0" xfId="1" applyNumberFormat="1" applyFont="1" applyFill="1"/>
    <xf numFmtId="165" fontId="26" fillId="4" borderId="0" xfId="1" applyNumberFormat="1" applyFont="1" applyFill="1"/>
    <xf numFmtId="0" fontId="26" fillId="5" borderId="0" xfId="0" applyFont="1" applyFill="1" applyAlignment="1">
      <alignment horizontal="left" indent="1"/>
    </xf>
    <xf numFmtId="167" fontId="38" fillId="4" borderId="0" xfId="0" applyNumberFormat="1" applyFont="1" applyFill="1" applyAlignment="1">
      <alignment horizontal="right"/>
    </xf>
    <xf numFmtId="167" fontId="38" fillId="2" borderId="0" xfId="0" applyNumberFormat="1" applyFont="1" applyFill="1" applyAlignment="1">
      <alignment horizontal="right"/>
    </xf>
    <xf numFmtId="167" fontId="32" fillId="4" borderId="0" xfId="0" applyNumberFormat="1" applyFont="1" applyFill="1" applyAlignment="1">
      <alignment horizontal="right"/>
    </xf>
    <xf numFmtId="0" fontId="26" fillId="5" borderId="0" xfId="0" applyFont="1" applyFill="1" applyAlignment="1">
      <alignment horizontal="left" indent="2"/>
    </xf>
    <xf numFmtId="0" fontId="30" fillId="2" borderId="0" xfId="0" applyFont="1" applyFill="1" applyAlignment="1">
      <alignment horizontal="left"/>
    </xf>
    <xf numFmtId="167" fontId="26" fillId="4" borderId="0" xfId="0" applyNumberFormat="1" applyFont="1" applyFill="1" applyAlignment="1">
      <alignment horizontal="right"/>
    </xf>
    <xf numFmtId="167" fontId="26" fillId="2" borderId="0" xfId="0" applyNumberFormat="1" applyFont="1" applyFill="1" applyAlignment="1">
      <alignment horizontal="right"/>
    </xf>
    <xf numFmtId="167" fontId="39" fillId="4" borderId="0" xfId="0" applyNumberFormat="1" applyFont="1" applyFill="1" applyAlignment="1">
      <alignment horizontal="right"/>
    </xf>
    <xf numFmtId="0" fontId="27" fillId="6" borderId="1" xfId="0" applyFont="1" applyFill="1" applyBorder="1" applyAlignment="1">
      <alignment horizontal="right"/>
    </xf>
    <xf numFmtId="0" fontId="30" fillId="8" borderId="1" xfId="0" applyFont="1" applyFill="1" applyBorder="1" applyAlignment="1">
      <alignment horizontal="right"/>
    </xf>
    <xf numFmtId="0" fontId="27" fillId="6" borderId="0" xfId="0" applyFont="1" applyFill="1" applyAlignment="1">
      <alignment horizontal="right"/>
    </xf>
    <xf numFmtId="0" fontId="27" fillId="6" borderId="0" xfId="0" applyFont="1" applyFill="1" applyAlignment="1">
      <alignment horizontal="left"/>
    </xf>
    <xf numFmtId="0" fontId="29" fillId="6" borderId="0" xfId="0" applyFont="1" applyFill="1" applyAlignment="1">
      <alignment horizontal="right"/>
    </xf>
    <xf numFmtId="0" fontId="0" fillId="6" borderId="0" xfId="0" applyFill="1"/>
    <xf numFmtId="0" fontId="27" fillId="6" borderId="1" xfId="0" applyFont="1" applyFill="1" applyBorder="1" applyAlignment="1">
      <alignment horizontal="left"/>
    </xf>
    <xf numFmtId="0" fontId="29" fillId="6" borderId="1" xfId="0" applyFont="1" applyFill="1" applyBorder="1" applyAlignment="1">
      <alignment horizontal="right"/>
    </xf>
    <xf numFmtId="0" fontId="28" fillId="6" borderId="1" xfId="0" applyFont="1" applyFill="1" applyBorder="1" applyAlignment="1">
      <alignment horizontal="right"/>
    </xf>
    <xf numFmtId="166" fontId="40" fillId="5" borderId="0" xfId="0" applyNumberFormat="1" applyFont="1" applyFill="1"/>
    <xf numFmtId="166" fontId="40" fillId="0" borderId="0" xfId="0" applyNumberFormat="1" applyFont="1"/>
    <xf numFmtId="166" fontId="41" fillId="5" borderId="0" xfId="0" applyNumberFormat="1" applyFont="1" applyFill="1"/>
    <xf numFmtId="166" fontId="41" fillId="0" borderId="0" xfId="0" applyNumberFormat="1" applyFont="1"/>
    <xf numFmtId="14" fontId="42" fillId="0" borderId="0" xfId="0" applyNumberFormat="1" applyFont="1"/>
    <xf numFmtId="0" fontId="21" fillId="2" borderId="0" xfId="0" applyFont="1" applyFill="1" applyAlignment="1">
      <alignment horizontal="left" indent="2"/>
    </xf>
    <xf numFmtId="166" fontId="21" fillId="0" borderId="0" xfId="0" applyNumberFormat="1" applyFont="1" applyAlignment="1">
      <alignment horizontal="left" indent="1"/>
    </xf>
    <xf numFmtId="166" fontId="44" fillId="0" borderId="0" xfId="0" applyNumberFormat="1" applyFont="1"/>
    <xf numFmtId="166" fontId="16" fillId="2" borderId="0" xfId="0" applyNumberFormat="1" applyFont="1" applyFill="1"/>
    <xf numFmtId="170" fontId="2" fillId="0" borderId="0" xfId="0" applyNumberFormat="1" applyFont="1"/>
    <xf numFmtId="170" fontId="21" fillId="0" borderId="0" xfId="0" applyNumberFormat="1" applyFont="1"/>
    <xf numFmtId="170" fontId="44" fillId="0" borderId="0" xfId="0" applyNumberFormat="1" applyFont="1"/>
    <xf numFmtId="170" fontId="15" fillId="0" borderId="0" xfId="0" applyNumberFormat="1" applyFont="1"/>
    <xf numFmtId="0" fontId="46" fillId="0" borderId="0" xfId="0" applyFont="1"/>
    <xf numFmtId="0" fontId="47" fillId="12" borderId="0" xfId="0" applyFont="1" applyFill="1"/>
    <xf numFmtId="0" fontId="48" fillId="0" borderId="0" xfId="0" applyFont="1"/>
    <xf numFmtId="0" fontId="48" fillId="0" borderId="2" xfId="0" applyFont="1" applyBorder="1"/>
    <xf numFmtId="0" fontId="48" fillId="0" borderId="0" xfId="0" applyFont="1" applyAlignment="1">
      <alignment horizontal="center" vertical="center"/>
    </xf>
    <xf numFmtId="0" fontId="49" fillId="0" borderId="0" xfId="0" applyFont="1" applyAlignment="1">
      <alignment horizontal="center" vertical="center"/>
    </xf>
    <xf numFmtId="41" fontId="48" fillId="0" borderId="0" xfId="0" applyNumberFormat="1" applyFont="1"/>
    <xf numFmtId="44" fontId="50" fillId="0" borderId="0" xfId="0" applyNumberFormat="1" applyFont="1"/>
    <xf numFmtId="173" fontId="51" fillId="13" borderId="5" xfId="0" applyNumberFormat="1" applyFont="1" applyFill="1" applyBorder="1"/>
    <xf numFmtId="0" fontId="50" fillId="0" borderId="0" xfId="0" applyFont="1" applyAlignment="1">
      <alignment horizontal="left" indent="1"/>
    </xf>
    <xf numFmtId="0" fontId="52" fillId="0" borderId="0" xfId="0" applyFont="1" applyAlignment="1">
      <alignment horizontal="center"/>
    </xf>
    <xf numFmtId="41" fontId="50" fillId="0" borderId="0" xfId="0" applyNumberFormat="1" applyFont="1"/>
    <xf numFmtId="170" fontId="51" fillId="13" borderId="5" xfId="0" applyNumberFormat="1" applyFont="1" applyFill="1" applyBorder="1"/>
    <xf numFmtId="0" fontId="53" fillId="0" borderId="0" xfId="0" applyFont="1"/>
    <xf numFmtId="0" fontId="54" fillId="0" borderId="0" xfId="0" applyFont="1"/>
    <xf numFmtId="41" fontId="53" fillId="0" borderId="0" xfId="0" applyNumberFormat="1" applyFont="1"/>
    <xf numFmtId="174" fontId="50" fillId="0" borderId="0" xfId="0" applyNumberFormat="1" applyFont="1"/>
    <xf numFmtId="170" fontId="50" fillId="0" borderId="5" xfId="2" applyNumberFormat="1" applyFont="1" applyFill="1" applyBorder="1" applyAlignment="1">
      <alignment vertical="center"/>
    </xf>
    <xf numFmtId="0" fontId="55" fillId="0" borderId="2" xfId="0" applyFont="1" applyBorder="1" applyAlignment="1">
      <alignment horizontal="center"/>
    </xf>
    <xf numFmtId="175" fontId="48" fillId="0" borderId="0" xfId="0" applyNumberFormat="1" applyFont="1" applyAlignment="1">
      <alignment horizontal="center"/>
    </xf>
    <xf numFmtId="0" fontId="56" fillId="0" borderId="0" xfId="0" applyFont="1" applyAlignment="1">
      <alignment horizontal="left" indent="1"/>
    </xf>
    <xf numFmtId="0" fontId="50" fillId="0" borderId="0" xfId="0" applyFont="1" applyAlignment="1">
      <alignment horizontal="left" indent="2"/>
    </xf>
    <xf numFmtId="41" fontId="50" fillId="0" borderId="0" xfId="0" applyNumberFormat="1" applyFont="1" applyAlignment="1">
      <alignment horizontal="left" indent="1"/>
    </xf>
    <xf numFmtId="41" fontId="50" fillId="0" borderId="6" xfId="0" applyNumberFormat="1" applyFont="1" applyBorder="1" applyAlignment="1">
      <alignment horizontal="left" indent="1"/>
    </xf>
    <xf numFmtId="41" fontId="50" fillId="0" borderId="6" xfId="0" applyNumberFormat="1" applyFont="1" applyBorder="1"/>
    <xf numFmtId="0" fontId="48" fillId="0" borderId="0" xfId="0" applyFont="1" applyAlignment="1">
      <alignment horizontal="left" indent="1"/>
    </xf>
    <xf numFmtId="41" fontId="48" fillId="0" borderId="0" xfId="0" applyNumberFormat="1" applyFont="1" applyAlignment="1">
      <alignment horizontal="left" indent="1"/>
    </xf>
    <xf numFmtId="0" fontId="52" fillId="0" borderId="0" xfId="0" applyFont="1" applyAlignment="1">
      <alignment horizontal="left" indent="1"/>
    </xf>
    <xf numFmtId="0" fontId="52" fillId="0" borderId="0" xfId="0" applyFont="1"/>
    <xf numFmtId="0" fontId="48" fillId="0" borderId="2" xfId="0" applyFont="1" applyBorder="1" applyAlignment="1">
      <alignment horizontal="left"/>
    </xf>
    <xf numFmtId="0" fontId="50" fillId="0" borderId="2" xfId="0" applyFont="1" applyBorder="1"/>
    <xf numFmtId="176" fontId="50" fillId="0" borderId="0" xfId="0" applyNumberFormat="1" applyFont="1"/>
    <xf numFmtId="0" fontId="50" fillId="0" borderId="0" xfId="0" applyFont="1" applyAlignment="1">
      <alignment horizontal="center"/>
    </xf>
    <xf numFmtId="170" fontId="51" fillId="13" borderId="5" xfId="0" applyNumberFormat="1" applyFont="1" applyFill="1" applyBorder="1" applyAlignment="1">
      <alignment vertical="center"/>
    </xf>
    <xf numFmtId="170" fontId="50" fillId="11" borderId="5" xfId="2" applyNumberFormat="1" applyFont="1" applyFill="1" applyBorder="1" applyAlignment="1">
      <alignment vertical="center"/>
    </xf>
    <xf numFmtId="0" fontId="50" fillId="0" borderId="0" xfId="0" applyFont="1" applyAlignment="1">
      <alignment vertical="center"/>
    </xf>
    <xf numFmtId="170" fontId="51" fillId="13" borderId="7" xfId="0" applyNumberFormat="1" applyFont="1" applyFill="1" applyBorder="1" applyAlignment="1">
      <alignment vertical="center"/>
    </xf>
    <xf numFmtId="0" fontId="55" fillId="0" borderId="0" xfId="0" applyFont="1"/>
    <xf numFmtId="170" fontId="50" fillId="0" borderId="0" xfId="2" applyNumberFormat="1" applyFont="1"/>
    <xf numFmtId="0" fontId="48" fillId="0" borderId="2" xfId="0" applyFont="1" applyBorder="1" applyAlignment="1">
      <alignment horizontal="centerContinuous"/>
    </xf>
    <xf numFmtId="177" fontId="48" fillId="0" borderId="0" xfId="0" applyNumberFormat="1" applyFont="1" applyAlignment="1">
      <alignment horizontal="center"/>
    </xf>
    <xf numFmtId="175" fontId="50" fillId="0" borderId="0" xfId="0" applyNumberFormat="1" applyFont="1"/>
    <xf numFmtId="0" fontId="48" fillId="0" borderId="1" xfId="0" applyFont="1" applyBorder="1"/>
    <xf numFmtId="41" fontId="57" fillId="0" borderId="1" xfId="0" applyNumberFormat="1" applyFont="1" applyBorder="1"/>
    <xf numFmtId="41" fontId="50" fillId="0" borderId="1" xfId="0" applyNumberFormat="1" applyFont="1" applyBorder="1"/>
    <xf numFmtId="41" fontId="50" fillId="11" borderId="5" xfId="0" applyNumberFormat="1" applyFont="1" applyFill="1" applyBorder="1"/>
    <xf numFmtId="170" fontId="52" fillId="0" borderId="0" xfId="2" applyNumberFormat="1" applyFont="1"/>
    <xf numFmtId="0" fontId="52" fillId="0" borderId="0" xfId="0" applyFont="1" applyAlignment="1">
      <alignment horizontal="left" indent="2"/>
    </xf>
    <xf numFmtId="41" fontId="50" fillId="11" borderId="5" xfId="0" applyNumberFormat="1" applyFont="1" applyFill="1" applyBorder="1" applyAlignment="1">
      <alignment vertical="center"/>
    </xf>
    <xf numFmtId="178" fontId="50" fillId="0" borderId="0" xfId="0" applyNumberFormat="1" applyFont="1"/>
    <xf numFmtId="179" fontId="50" fillId="0" borderId="0" xfId="0" applyNumberFormat="1" applyFont="1"/>
    <xf numFmtId="41" fontId="48" fillId="0" borderId="1" xfId="0" applyNumberFormat="1" applyFont="1" applyBorder="1"/>
    <xf numFmtId="41" fontId="51" fillId="13" borderId="5" xfId="0" applyNumberFormat="1" applyFont="1" applyFill="1" applyBorder="1"/>
    <xf numFmtId="41" fontId="57" fillId="0" borderId="0" xfId="0" applyNumberFormat="1" applyFont="1"/>
    <xf numFmtId="41" fontId="50" fillId="0" borderId="0" xfId="0" applyNumberFormat="1" applyFont="1" applyAlignment="1">
      <alignment vertical="center"/>
    </xf>
    <xf numFmtId="41" fontId="48" fillId="0" borderId="1" xfId="0" applyNumberFormat="1" applyFont="1" applyBorder="1" applyAlignment="1">
      <alignment vertical="center"/>
    </xf>
    <xf numFmtId="171" fontId="50" fillId="11" borderId="5" xfId="0" applyNumberFormat="1" applyFont="1" applyFill="1" applyBorder="1"/>
    <xf numFmtId="41" fontId="50" fillId="0" borderId="1" xfId="0" applyNumberFormat="1" applyFont="1" applyBorder="1" applyAlignment="1">
      <alignment vertical="center"/>
    </xf>
    <xf numFmtId="0" fontId="50" fillId="0" borderId="2" xfId="0" applyFont="1" applyBorder="1" applyAlignment="1">
      <alignment horizontal="left" indent="1"/>
    </xf>
    <xf numFmtId="41" fontId="57" fillId="0" borderId="2" xfId="0" applyNumberFormat="1" applyFont="1" applyBorder="1"/>
    <xf numFmtId="41" fontId="50" fillId="0" borderId="2" xfId="0" applyNumberFormat="1" applyFont="1" applyBorder="1"/>
    <xf numFmtId="41" fontId="50" fillId="0" borderId="2" xfId="0" applyNumberFormat="1" applyFont="1" applyBorder="1" applyAlignment="1">
      <alignment vertical="center"/>
    </xf>
    <xf numFmtId="41" fontId="48" fillId="0" borderId="2" xfId="0" applyNumberFormat="1" applyFont="1" applyBorder="1"/>
    <xf numFmtId="0" fontId="58" fillId="0" borderId="0" xfId="0" applyFont="1"/>
    <xf numFmtId="178" fontId="58" fillId="0" borderId="0" xfId="0" applyNumberFormat="1" applyFont="1"/>
    <xf numFmtId="0" fontId="59" fillId="4" borderId="0" xfId="0" applyFont="1" applyFill="1"/>
    <xf numFmtId="178" fontId="59" fillId="4" borderId="0" xfId="1" applyNumberFormat="1" applyFont="1" applyFill="1" applyAlignment="1">
      <alignment horizontal="right" vertical="center"/>
    </xf>
    <xf numFmtId="178" fontId="59" fillId="4" borderId="0" xfId="0" applyNumberFormat="1" applyFont="1" applyFill="1" applyAlignment="1">
      <alignment horizontal="right"/>
    </xf>
    <xf numFmtId="180" fontId="59" fillId="4" borderId="0" xfId="1" applyNumberFormat="1" applyFont="1" applyFill="1"/>
    <xf numFmtId="178" fontId="59" fillId="4" borderId="0" xfId="0" applyNumberFormat="1" applyFont="1" applyFill="1"/>
    <xf numFmtId="180" fontId="50" fillId="0" borderId="0" xfId="1" applyNumberFormat="1" applyFont="1"/>
    <xf numFmtId="41" fontId="50" fillId="11" borderId="9" xfId="0" applyNumberFormat="1" applyFont="1" applyFill="1" applyBorder="1"/>
    <xf numFmtId="0" fontId="50" fillId="0" borderId="1" xfId="0" applyFont="1" applyBorder="1"/>
    <xf numFmtId="178" fontId="50" fillId="0" borderId="1" xfId="0" applyNumberFormat="1" applyFont="1" applyBorder="1"/>
    <xf numFmtId="178" fontId="50" fillId="0" borderId="0" xfId="0" applyNumberFormat="1" applyFont="1" applyAlignment="1">
      <alignment vertical="center"/>
    </xf>
    <xf numFmtId="41" fontId="50" fillId="11" borderId="10" xfId="0" applyNumberFormat="1" applyFont="1" applyFill="1" applyBorder="1" applyAlignment="1">
      <alignment vertical="center"/>
    </xf>
    <xf numFmtId="178" fontId="48" fillId="0" borderId="1" xfId="0" applyNumberFormat="1" applyFont="1" applyBorder="1" applyAlignment="1">
      <alignment vertical="center"/>
    </xf>
    <xf numFmtId="178" fontId="48" fillId="0" borderId="1" xfId="0" applyNumberFormat="1" applyFont="1" applyBorder="1"/>
    <xf numFmtId="178" fontId="50" fillId="0" borderId="1" xfId="0" applyNumberFormat="1" applyFont="1" applyBorder="1" applyAlignment="1">
      <alignment vertical="center"/>
    </xf>
    <xf numFmtId="0" fontId="60" fillId="12" borderId="0" xfId="0" applyFont="1" applyFill="1" applyAlignment="1">
      <alignment vertical="center"/>
    </xf>
    <xf numFmtId="0" fontId="48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0" fillId="0" borderId="0" xfId="0" applyFont="1" applyAlignment="1">
      <alignment horizontal="left" vertical="center" indent="1"/>
    </xf>
    <xf numFmtId="41" fontId="51" fillId="7" borderId="5" xfId="0" applyNumberFormat="1" applyFont="1" applyFill="1" applyBorder="1" applyAlignment="1">
      <alignment vertical="center"/>
    </xf>
    <xf numFmtId="0" fontId="50" fillId="0" borderId="0" xfId="0" applyFont="1" applyAlignment="1">
      <alignment horizontal="left" vertical="center" indent="2"/>
    </xf>
    <xf numFmtId="166" fontId="29" fillId="2" borderId="0" xfId="0" applyNumberFormat="1" applyFont="1" applyFill="1" applyAlignment="1">
      <alignment wrapText="1"/>
    </xf>
    <xf numFmtId="170" fontId="2" fillId="2" borderId="0" xfId="0" applyNumberFormat="1" applyFont="1" applyFill="1"/>
    <xf numFmtId="41" fontId="61" fillId="0" borderId="1" xfId="0" applyNumberFormat="1" applyFont="1" applyBorder="1"/>
    <xf numFmtId="0" fontId="61" fillId="0" borderId="0" xfId="0" applyFont="1"/>
    <xf numFmtId="170" fontId="62" fillId="13" borderId="5" xfId="0" applyNumberFormat="1" applyFont="1" applyFill="1" applyBorder="1"/>
    <xf numFmtId="170" fontId="49" fillId="13" borderId="5" xfId="0" applyNumberFormat="1" applyFont="1" applyFill="1" applyBorder="1"/>
    <xf numFmtId="0" fontId="5" fillId="0" borderId="0" xfId="0" quotePrefix="1" applyFont="1"/>
    <xf numFmtId="170" fontId="0" fillId="0" borderId="0" xfId="0" applyNumberFormat="1"/>
    <xf numFmtId="174" fontId="49" fillId="13" borderId="5" xfId="0" applyNumberFormat="1" applyFont="1" applyFill="1" applyBorder="1"/>
    <xf numFmtId="41" fontId="63" fillId="0" borderId="0" xfId="0" applyNumberFormat="1" applyFont="1"/>
    <xf numFmtId="41" fontId="61" fillId="13" borderId="5" xfId="0" applyNumberFormat="1" applyFont="1" applyFill="1" applyBorder="1"/>
    <xf numFmtId="170" fontId="38" fillId="2" borderId="0" xfId="0" applyNumberFormat="1" applyFont="1" applyFill="1"/>
    <xf numFmtId="174" fontId="50" fillId="0" borderId="0" xfId="0" applyNumberFormat="1" applyFont="1" applyAlignment="1">
      <alignment horizontal="right"/>
    </xf>
    <xf numFmtId="44" fontId="57" fillId="0" borderId="0" xfId="0" applyNumberFormat="1" applyFont="1"/>
    <xf numFmtId="170" fontId="9" fillId="0" borderId="0" xfId="0" applyNumberFormat="1" applyFont="1"/>
    <xf numFmtId="37" fontId="6" fillId="0" borderId="0" xfId="0" applyNumberFormat="1" applyFont="1"/>
    <xf numFmtId="166" fontId="64" fillId="0" borderId="0" xfId="0" applyNumberFormat="1" applyFont="1"/>
    <xf numFmtId="169" fontId="6" fillId="0" borderId="0" xfId="2" applyNumberFormat="1" applyFont="1" applyFill="1" applyBorder="1"/>
    <xf numFmtId="0" fontId="9" fillId="0" borderId="0" xfId="0" applyFont="1" applyProtection="1">
      <protection locked="0"/>
    </xf>
    <xf numFmtId="14" fontId="9" fillId="0" borderId="0" xfId="2" applyNumberFormat="1" applyFont="1" applyFill="1" applyBorder="1"/>
    <xf numFmtId="166" fontId="9" fillId="0" borderId="0" xfId="0" applyNumberFormat="1" applyFont="1" applyProtection="1">
      <protection locked="0"/>
    </xf>
    <xf numFmtId="9" fontId="9" fillId="0" borderId="0" xfId="2" applyFont="1" applyFill="1" applyBorder="1"/>
    <xf numFmtId="0" fontId="9" fillId="0" borderId="0" xfId="0" applyFont="1"/>
    <xf numFmtId="44" fontId="9" fillId="0" borderId="0" xfId="0" applyNumberFormat="1" applyFont="1" applyProtection="1">
      <protection locked="0"/>
    </xf>
    <xf numFmtId="167" fontId="9" fillId="0" borderId="0" xfId="0" applyNumberFormat="1" applyFont="1" applyProtection="1"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9" fillId="0" borderId="0" xfId="0" applyFont="1" applyAlignment="1" applyProtection="1">
      <alignment horizontal="left" indent="1"/>
      <protection locked="0"/>
    </xf>
    <xf numFmtId="166" fontId="6" fillId="0" borderId="11" xfId="0" applyNumberFormat="1" applyFont="1" applyBorder="1"/>
    <xf numFmtId="166" fontId="9" fillId="0" borderId="11" xfId="0" applyNumberFormat="1" applyFont="1" applyBorder="1"/>
    <xf numFmtId="170" fontId="9" fillId="0" borderId="11" xfId="0" applyNumberFormat="1" applyFont="1" applyBorder="1"/>
    <xf numFmtId="9" fontId="42" fillId="0" borderId="0" xfId="0" applyNumberFormat="1" applyFont="1"/>
    <xf numFmtId="181" fontId="9" fillId="0" borderId="0" xfId="0" applyNumberFormat="1" applyFont="1"/>
    <xf numFmtId="0" fontId="38" fillId="0" borderId="0" xfId="0" applyFont="1"/>
    <xf numFmtId="169" fontId="38" fillId="0" borderId="0" xfId="2" applyNumberFormat="1" applyFont="1" applyFill="1" applyBorder="1"/>
    <xf numFmtId="37" fontId="30" fillId="0" borderId="0" xfId="0" applyNumberFormat="1" applyFont="1"/>
    <xf numFmtId="9" fontId="38" fillId="0" borderId="0" xfId="2" applyFont="1" applyFill="1" applyBorder="1"/>
    <xf numFmtId="37" fontId="38" fillId="0" borderId="0" xfId="0" applyNumberFormat="1" applyFont="1"/>
    <xf numFmtId="7" fontId="38" fillId="0" borderId="0" xfId="2" applyNumberFormat="1" applyFont="1" applyFill="1" applyBorder="1"/>
    <xf numFmtId="167" fontId="38" fillId="0" borderId="0" xfId="2" applyNumberFormat="1" applyFont="1" applyFill="1" applyBorder="1"/>
    <xf numFmtId="170" fontId="66" fillId="12" borderId="12" xfId="2" applyNumberFormat="1" applyFont="1" applyFill="1" applyBorder="1" applyAlignment="1">
      <alignment horizontal="left" vertical="center"/>
    </xf>
    <xf numFmtId="170" fontId="67" fillId="12" borderId="4" xfId="2" applyNumberFormat="1" applyFont="1" applyFill="1" applyBorder="1" applyAlignment="1">
      <alignment horizontal="right" vertical="center"/>
    </xf>
    <xf numFmtId="170" fontId="67" fillId="12" borderId="13" xfId="2" applyNumberFormat="1" applyFont="1" applyFill="1" applyBorder="1" applyAlignment="1">
      <alignment horizontal="right" vertical="center"/>
    </xf>
    <xf numFmtId="170" fontId="38" fillId="0" borderId="0" xfId="2" applyNumberFormat="1" applyFont="1" applyFill="1" applyBorder="1"/>
    <xf numFmtId="182" fontId="67" fillId="0" borderId="14" xfId="1" applyNumberFormat="1" applyFont="1" applyFill="1" applyBorder="1" applyAlignment="1">
      <alignment horizontal="right" vertical="center"/>
    </xf>
    <xf numFmtId="170" fontId="67" fillId="0" borderId="15" xfId="2" applyNumberFormat="1" applyFont="1" applyFill="1" applyBorder="1" applyAlignment="1">
      <alignment horizontal="right" vertical="center"/>
    </xf>
    <xf numFmtId="1" fontId="38" fillId="0" borderId="0" xfId="0" applyNumberFormat="1" applyFont="1"/>
    <xf numFmtId="182" fontId="67" fillId="0" borderId="16" xfId="1" applyNumberFormat="1" applyFont="1" applyFill="1" applyBorder="1" applyAlignment="1">
      <alignment horizontal="right" vertical="center"/>
    </xf>
    <xf numFmtId="170" fontId="67" fillId="0" borderId="17" xfId="2" applyNumberFormat="1" applyFont="1" applyFill="1" applyBorder="1" applyAlignment="1">
      <alignment horizontal="right" vertical="center"/>
    </xf>
    <xf numFmtId="37" fontId="67" fillId="0" borderId="0" xfId="1" applyNumberFormat="1" applyFont="1" applyFill="1" applyBorder="1" applyAlignment="1">
      <alignment horizontal="right" vertical="center"/>
    </xf>
    <xf numFmtId="170" fontId="67" fillId="5" borderId="12" xfId="2" applyNumberFormat="1" applyFont="1" applyFill="1" applyBorder="1" applyAlignment="1">
      <alignment horizontal="right" vertical="center"/>
    </xf>
    <xf numFmtId="170" fontId="67" fillId="5" borderId="13" xfId="2" applyNumberFormat="1" applyFont="1" applyFill="1" applyBorder="1" applyAlignment="1">
      <alignment horizontal="right" vertical="center"/>
    </xf>
    <xf numFmtId="170" fontId="67" fillId="5" borderId="4" xfId="2" applyNumberFormat="1" applyFont="1" applyFill="1" applyBorder="1" applyAlignment="1">
      <alignment horizontal="centerContinuous" vertical="center"/>
    </xf>
    <xf numFmtId="170" fontId="67" fillId="5" borderId="13" xfId="2" applyNumberFormat="1" applyFont="1" applyFill="1" applyBorder="1" applyAlignment="1">
      <alignment horizontal="centerContinuous" vertical="center"/>
    </xf>
    <xf numFmtId="182" fontId="67" fillId="5" borderId="14" xfId="1" applyNumberFormat="1" applyFont="1" applyFill="1" applyBorder="1" applyAlignment="1">
      <alignment horizontal="right" vertical="center"/>
    </xf>
    <xf numFmtId="182" fontId="68" fillId="5" borderId="15" xfId="1" applyNumberFormat="1" applyFont="1" applyFill="1" applyBorder="1" applyAlignment="1">
      <alignment horizontal="right" vertical="center"/>
    </xf>
    <xf numFmtId="170" fontId="69" fillId="5" borderId="4" xfId="2" applyNumberFormat="1" applyFont="1" applyFill="1" applyBorder="1" applyAlignment="1">
      <alignment horizontal="centerContinuous" vertical="center"/>
    </xf>
    <xf numFmtId="182" fontId="69" fillId="0" borderId="16" xfId="1" applyNumberFormat="1" applyFont="1" applyFill="1" applyBorder="1" applyAlignment="1">
      <alignment horizontal="right" vertical="center"/>
    </xf>
    <xf numFmtId="0" fontId="46" fillId="0" borderId="0" xfId="0" applyFont="1" applyAlignment="1">
      <alignment horizontal="center"/>
    </xf>
    <xf numFmtId="0" fontId="46" fillId="0" borderId="0" xfId="0" applyFont="1" applyAlignment="1">
      <alignment horizontal="left" indent="1"/>
    </xf>
    <xf numFmtId="0" fontId="2" fillId="0" borderId="16" xfId="0" applyFont="1" applyBorder="1"/>
    <xf numFmtId="9" fontId="40" fillId="0" borderId="17" xfId="0" applyNumberFormat="1" applyFont="1" applyBorder="1"/>
    <xf numFmtId="164" fontId="2" fillId="0" borderId="17" xfId="0" applyNumberFormat="1" applyFont="1" applyBorder="1"/>
    <xf numFmtId="0" fontId="2" fillId="0" borderId="16" xfId="0" applyFont="1" applyBorder="1" applyAlignment="1">
      <alignment horizontal="left" indent="1"/>
    </xf>
    <xf numFmtId="0" fontId="2" fillId="17" borderId="18" xfId="0" applyFont="1" applyFill="1" applyBorder="1"/>
    <xf numFmtId="183" fontId="5" fillId="17" borderId="19" xfId="4" applyNumberFormat="1" applyFont="1" applyFill="1" applyBorder="1"/>
    <xf numFmtId="8" fontId="40" fillId="0" borderId="17" xfId="0" applyNumberFormat="1" applyFont="1" applyBorder="1"/>
    <xf numFmtId="9" fontId="5" fillId="17" borderId="19" xfId="2" applyFont="1" applyFill="1" applyBorder="1"/>
    <xf numFmtId="0" fontId="2" fillId="0" borderId="14" xfId="0" applyFont="1" applyBorder="1"/>
    <xf numFmtId="180" fontId="2" fillId="0" borderId="15" xfId="1" applyNumberFormat="1" applyFont="1" applyFill="1" applyBorder="1"/>
    <xf numFmtId="170" fontId="69" fillId="5" borderId="4" xfId="2" applyNumberFormat="1" applyFont="1" applyFill="1" applyBorder="1" applyAlignment="1">
      <alignment horizontal="center" vertical="center"/>
    </xf>
    <xf numFmtId="0" fontId="71" fillId="0" borderId="0" xfId="0" applyFont="1"/>
    <xf numFmtId="0" fontId="0" fillId="18" borderId="0" xfId="0" applyFill="1"/>
    <xf numFmtId="175" fontId="48" fillId="0" borderId="0" xfId="0" applyNumberFormat="1" applyFont="1"/>
    <xf numFmtId="170" fontId="46" fillId="0" borderId="0" xfId="0" applyNumberFormat="1" applyFont="1"/>
    <xf numFmtId="0" fontId="72" fillId="0" borderId="0" xfId="0" applyFont="1"/>
    <xf numFmtId="175" fontId="72" fillId="0" borderId="0" xfId="0" applyNumberFormat="1" applyFont="1"/>
    <xf numFmtId="0" fontId="73" fillId="0" borderId="0" xfId="0" applyFont="1"/>
    <xf numFmtId="0" fontId="74" fillId="0" borderId="0" xfId="0" applyFont="1" applyAlignment="1">
      <alignment horizontal="left" indent="1"/>
    </xf>
    <xf numFmtId="0" fontId="75" fillId="0" borderId="0" xfId="0" applyFont="1"/>
    <xf numFmtId="0" fontId="47" fillId="0" borderId="0" xfId="0" applyFont="1"/>
    <xf numFmtId="0" fontId="47" fillId="19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47" fillId="20" borderId="8" xfId="0" applyFont="1" applyFill="1" applyBorder="1" applyAlignment="1">
      <alignment horizontal="center"/>
    </xf>
    <xf numFmtId="182" fontId="67" fillId="0" borderId="0" xfId="1" applyNumberFormat="1" applyFont="1" applyFill="1" applyBorder="1" applyAlignment="1">
      <alignment horizontal="right" vertical="center"/>
    </xf>
    <xf numFmtId="170" fontId="67" fillId="0" borderId="0" xfId="2" applyNumberFormat="1" applyFont="1" applyFill="1" applyBorder="1" applyAlignment="1">
      <alignment horizontal="right" vertical="center"/>
    </xf>
    <xf numFmtId="0" fontId="2" fillId="0" borderId="0" xfId="0" quotePrefix="1" applyFont="1" applyAlignment="1">
      <alignment horizontal="left" indent="1"/>
    </xf>
    <xf numFmtId="170" fontId="9" fillId="0" borderId="0" xfId="2" applyNumberFormat="1" applyFont="1"/>
    <xf numFmtId="170" fontId="9" fillId="0" borderId="0" xfId="0" applyNumberFormat="1" applyFont="1" applyAlignment="1">
      <alignment horizontal="center"/>
    </xf>
    <xf numFmtId="170" fontId="9" fillId="0" borderId="17" xfId="0" applyNumberFormat="1" applyFont="1" applyBorder="1" applyAlignment="1">
      <alignment horizontal="center"/>
    </xf>
    <xf numFmtId="37" fontId="67" fillId="5" borderId="12" xfId="1" applyNumberFormat="1" applyFont="1" applyFill="1" applyBorder="1" applyAlignment="1">
      <alignment horizontal="center" vertical="center"/>
    </xf>
    <xf numFmtId="37" fontId="67" fillId="5" borderId="4" xfId="1" applyNumberFormat="1" applyFont="1" applyFill="1" applyBorder="1" applyAlignment="1">
      <alignment horizontal="center" vertical="center"/>
    </xf>
    <xf numFmtId="37" fontId="67" fillId="5" borderId="13" xfId="1" applyNumberFormat="1" applyFont="1" applyFill="1" applyBorder="1" applyAlignment="1">
      <alignment horizontal="center" vertical="center"/>
    </xf>
    <xf numFmtId="37" fontId="67" fillId="5" borderId="0" xfId="1" applyNumberFormat="1" applyFont="1" applyFill="1" applyBorder="1" applyAlignment="1">
      <alignment horizontal="center" vertical="center"/>
    </xf>
    <xf numFmtId="37" fontId="67" fillId="15" borderId="0" xfId="1" applyNumberFormat="1" applyFont="1" applyFill="1" applyBorder="1" applyAlignment="1">
      <alignment horizontal="center" vertical="center"/>
    </xf>
    <xf numFmtId="37" fontId="67" fillId="5" borderId="17" xfId="1" applyNumberFormat="1" applyFont="1" applyFill="1" applyBorder="1" applyAlignment="1">
      <alignment horizontal="center" vertical="center"/>
    </xf>
    <xf numFmtId="37" fontId="67" fillId="0" borderId="16" xfId="1" applyNumberFormat="1" applyFont="1" applyFill="1" applyBorder="1" applyAlignment="1">
      <alignment horizontal="center" vertical="center"/>
    </xf>
    <xf numFmtId="37" fontId="67" fillId="16" borderId="0" xfId="1" applyNumberFormat="1" applyFont="1" applyFill="1" applyBorder="1" applyAlignment="1">
      <alignment horizontal="center" vertical="center"/>
    </xf>
    <xf numFmtId="37" fontId="67" fillId="0" borderId="17" xfId="1" applyNumberFormat="1" applyFont="1" applyFill="1" applyBorder="1" applyAlignment="1">
      <alignment horizontal="center" vertical="center"/>
    </xf>
    <xf numFmtId="37" fontId="67" fillId="0" borderId="0" xfId="1" applyNumberFormat="1" applyFont="1" applyFill="1" applyBorder="1" applyAlignment="1">
      <alignment horizontal="center" vertical="center"/>
    </xf>
    <xf numFmtId="37" fontId="67" fillId="0" borderId="2" xfId="1" applyNumberFormat="1" applyFont="1" applyFill="1" applyBorder="1" applyAlignment="1">
      <alignment horizontal="center" vertical="center"/>
    </xf>
    <xf numFmtId="37" fontId="67" fillId="0" borderId="15" xfId="1" applyNumberFormat="1" applyFont="1" applyFill="1" applyBorder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76" fillId="0" borderId="0" xfId="0" applyFont="1"/>
    <xf numFmtId="0" fontId="80" fillId="0" borderId="0" xfId="0" applyFont="1"/>
    <xf numFmtId="0" fontId="66" fillId="20" borderId="20" xfId="0" applyFont="1" applyFill="1" applyBorder="1" applyAlignment="1">
      <alignment horizontal="center" vertical="center"/>
    </xf>
    <xf numFmtId="0" fontId="46" fillId="0" borderId="21" xfId="0" applyFont="1" applyBorder="1"/>
    <xf numFmtId="0" fontId="46" fillId="0" borderId="22" xfId="0" applyFont="1" applyBorder="1"/>
    <xf numFmtId="0" fontId="48" fillId="0" borderId="23" xfId="0" applyFont="1" applyBorder="1"/>
    <xf numFmtId="0" fontId="46" fillId="0" borderId="24" xfId="0" applyFont="1" applyBorder="1"/>
    <xf numFmtId="0" fontId="50" fillId="14" borderId="25" xfId="0" applyFont="1" applyFill="1" applyBorder="1"/>
    <xf numFmtId="170" fontId="66" fillId="19" borderId="26" xfId="2" applyNumberFormat="1" applyFont="1" applyFill="1" applyBorder="1" applyAlignment="1">
      <alignment vertical="center"/>
    </xf>
    <xf numFmtId="170" fontId="66" fillId="19" borderId="27" xfId="2" applyNumberFormat="1" applyFont="1" applyFill="1" applyBorder="1" applyAlignment="1">
      <alignment vertical="center"/>
    </xf>
    <xf numFmtId="0" fontId="81" fillId="0" borderId="0" xfId="0" applyFont="1"/>
    <xf numFmtId="41" fontId="46" fillId="0" borderId="0" xfId="0" applyNumberFormat="1" applyFont="1"/>
    <xf numFmtId="178" fontId="48" fillId="0" borderId="0" xfId="0" applyNumberFormat="1" applyFont="1"/>
    <xf numFmtId="179" fontId="50" fillId="0" borderId="0" xfId="0" applyNumberFormat="1" applyFont="1" applyAlignment="1">
      <alignment vertical="center"/>
    </xf>
    <xf numFmtId="184" fontId="48" fillId="0" borderId="1" xfId="4" applyNumberFormat="1" applyFont="1" applyBorder="1" applyAlignment="1">
      <alignment vertical="center"/>
    </xf>
    <xf numFmtId="184" fontId="48" fillId="0" borderId="1" xfId="4" applyNumberFormat="1" applyFont="1" applyBorder="1"/>
    <xf numFmtId="0" fontId="46" fillId="0" borderId="31" xfId="0" applyFont="1" applyBorder="1"/>
    <xf numFmtId="0" fontId="46" fillId="0" borderId="32" xfId="0" applyFont="1" applyBorder="1"/>
    <xf numFmtId="41" fontId="50" fillId="0" borderId="32" xfId="0" applyNumberFormat="1" applyFont="1" applyBorder="1"/>
    <xf numFmtId="0" fontId="48" fillId="0" borderId="31" xfId="0" applyFont="1" applyBorder="1"/>
    <xf numFmtId="0" fontId="50" fillId="0" borderId="31" xfId="0" applyFont="1" applyBorder="1" applyAlignment="1">
      <alignment horizontal="left" indent="1"/>
    </xf>
    <xf numFmtId="0" fontId="46" fillId="0" borderId="31" xfId="0" applyFont="1" applyBorder="1" applyAlignment="1">
      <alignment horizontal="left" indent="1"/>
    </xf>
    <xf numFmtId="0" fontId="48" fillId="0" borderId="35" xfId="0" applyFont="1" applyBorder="1"/>
    <xf numFmtId="0" fontId="50" fillId="0" borderId="28" xfId="0" applyFont="1" applyBorder="1" applyAlignment="1">
      <alignment horizontal="left" indent="1"/>
    </xf>
    <xf numFmtId="0" fontId="48" fillId="0" borderId="28" xfId="0" applyFont="1" applyBorder="1"/>
    <xf numFmtId="0" fontId="0" fillId="0" borderId="31" xfId="0" applyBorder="1"/>
    <xf numFmtId="0" fontId="48" fillId="0" borderId="30" xfId="0" applyFont="1" applyBorder="1" applyAlignment="1">
      <alignment horizontal="centerContinuous"/>
    </xf>
    <xf numFmtId="0" fontId="60" fillId="12" borderId="28" xfId="0" applyFont="1" applyFill="1" applyBorder="1" applyAlignment="1">
      <alignment vertical="center"/>
    </xf>
    <xf numFmtId="0" fontId="50" fillId="0" borderId="31" xfId="0" applyFont="1" applyBorder="1" applyAlignment="1">
      <alignment vertical="center"/>
    </xf>
    <xf numFmtId="0" fontId="50" fillId="0" borderId="32" xfId="0" applyFont="1" applyBorder="1" applyAlignment="1">
      <alignment vertical="center"/>
    </xf>
    <xf numFmtId="179" fontId="50" fillId="0" borderId="32" xfId="0" applyNumberFormat="1" applyFont="1" applyBorder="1" applyAlignment="1">
      <alignment vertical="center"/>
    </xf>
    <xf numFmtId="41" fontId="50" fillId="0" borderId="32" xfId="0" applyNumberFormat="1" applyFont="1" applyBorder="1" applyAlignment="1">
      <alignment vertical="center"/>
    </xf>
    <xf numFmtId="0" fontId="56" fillId="0" borderId="31" xfId="0" applyFont="1" applyBorder="1" applyAlignment="1">
      <alignment vertical="center"/>
    </xf>
    <xf numFmtId="0" fontId="50" fillId="0" borderId="31" xfId="0" applyFont="1" applyBorder="1" applyAlignment="1">
      <alignment horizontal="left" vertical="center" indent="1"/>
    </xf>
    <xf numFmtId="0" fontId="50" fillId="0" borderId="31" xfId="0" applyFont="1" applyBorder="1" applyAlignment="1">
      <alignment horizontal="left" vertical="center" indent="2"/>
    </xf>
    <xf numFmtId="184" fontId="48" fillId="0" borderId="34" xfId="4" applyNumberFormat="1" applyFont="1" applyBorder="1" applyAlignment="1">
      <alignment vertical="center"/>
    </xf>
    <xf numFmtId="184" fontId="48" fillId="0" borderId="34" xfId="4" applyNumberFormat="1" applyFont="1" applyBorder="1"/>
    <xf numFmtId="0" fontId="50" fillId="0" borderId="16" xfId="0" applyFont="1" applyBorder="1" applyAlignment="1">
      <alignment vertical="center"/>
    </xf>
    <xf numFmtId="0" fontId="46" fillId="0" borderId="16" xfId="0" applyFont="1" applyBorder="1"/>
    <xf numFmtId="0" fontId="66" fillId="20" borderId="36" xfId="0" applyFont="1" applyFill="1" applyBorder="1" applyAlignment="1">
      <alignment horizontal="center" vertical="center"/>
    </xf>
    <xf numFmtId="0" fontId="48" fillId="0" borderId="37" xfId="0" applyFont="1" applyBorder="1"/>
    <xf numFmtId="0" fontId="46" fillId="0" borderId="38" xfId="0" applyFont="1" applyBorder="1"/>
    <xf numFmtId="170" fontId="83" fillId="19" borderId="38" xfId="2" applyNumberFormat="1" applyFont="1" applyFill="1" applyBorder="1" applyAlignment="1">
      <alignment vertical="center"/>
    </xf>
    <xf numFmtId="170" fontId="83" fillId="22" borderId="38" xfId="2" applyNumberFormat="1" applyFont="1" applyFill="1" applyBorder="1" applyAlignment="1">
      <alignment vertical="center"/>
    </xf>
    <xf numFmtId="170" fontId="83" fillId="22" borderId="39" xfId="2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47" fillId="20" borderId="33" xfId="0" applyFont="1" applyFill="1" applyBorder="1" applyAlignment="1">
      <alignment horizontal="center" vertical="center"/>
    </xf>
    <xf numFmtId="175" fontId="82" fillId="21" borderId="0" xfId="0" applyNumberFormat="1" applyFont="1" applyFill="1" applyAlignment="1">
      <alignment vertical="center"/>
    </xf>
    <xf numFmtId="175" fontId="82" fillId="21" borderId="32" xfId="0" applyNumberFormat="1" applyFont="1" applyFill="1" applyBorder="1" applyAlignment="1">
      <alignment vertical="center"/>
    </xf>
    <xf numFmtId="175" fontId="82" fillId="21" borderId="18" xfId="0" applyNumberFormat="1" applyFont="1" applyFill="1" applyBorder="1" applyAlignment="1">
      <alignment vertical="center"/>
    </xf>
    <xf numFmtId="175" fontId="82" fillId="21" borderId="1" xfId="0" applyNumberFormat="1" applyFont="1" applyFill="1" applyBorder="1" applyAlignment="1">
      <alignment vertical="center"/>
    </xf>
    <xf numFmtId="175" fontId="82" fillId="21" borderId="34" xfId="0" applyNumberFormat="1" applyFont="1" applyFill="1" applyBorder="1" applyAlignment="1">
      <alignment vertical="center"/>
    </xf>
    <xf numFmtId="175" fontId="82" fillId="21" borderId="2" xfId="0" applyNumberFormat="1" applyFont="1" applyFill="1" applyBorder="1" applyAlignment="1">
      <alignment vertical="center"/>
    </xf>
    <xf numFmtId="175" fontId="82" fillId="21" borderId="30" xfId="0" applyNumberFormat="1" applyFont="1" applyFill="1" applyBorder="1" applyAlignment="1">
      <alignment vertical="center"/>
    </xf>
    <xf numFmtId="175" fontId="82" fillId="21" borderId="16" xfId="0" applyNumberFormat="1" applyFont="1" applyFill="1" applyBorder="1" applyAlignment="1">
      <alignment vertical="center"/>
    </xf>
    <xf numFmtId="170" fontId="83" fillId="22" borderId="40" xfId="2" applyNumberFormat="1" applyFont="1" applyFill="1" applyBorder="1" applyAlignment="1">
      <alignment vertical="center"/>
    </xf>
    <xf numFmtId="41" fontId="50" fillId="0" borderId="16" xfId="0" applyNumberFormat="1" applyFont="1" applyBorder="1"/>
    <xf numFmtId="184" fontId="48" fillId="0" borderId="18" xfId="4" applyNumberFormat="1" applyFont="1" applyBorder="1" applyAlignment="1">
      <alignment vertical="center"/>
    </xf>
    <xf numFmtId="184" fontId="48" fillId="0" borderId="18" xfId="4" applyNumberFormat="1" applyFont="1" applyBorder="1"/>
    <xf numFmtId="0" fontId="48" fillId="0" borderId="14" xfId="0" applyFont="1" applyBorder="1" applyAlignment="1">
      <alignment horizontal="centerContinuous"/>
    </xf>
    <xf numFmtId="175" fontId="82" fillId="21" borderId="14" xfId="0" applyNumberFormat="1" applyFont="1" applyFill="1" applyBorder="1" applyAlignment="1">
      <alignment vertical="center"/>
    </xf>
    <xf numFmtId="179" fontId="50" fillId="0" borderId="16" xfId="0" applyNumberFormat="1" applyFont="1" applyBorder="1" applyAlignment="1">
      <alignment vertical="center"/>
    </xf>
    <xf numFmtId="41" fontId="50" fillId="0" borderId="16" xfId="0" applyNumberFormat="1" applyFont="1" applyBorder="1" applyAlignment="1">
      <alignment vertical="center"/>
    </xf>
    <xf numFmtId="0" fontId="48" fillId="0" borderId="28" xfId="0" applyFont="1" applyBorder="1" applyAlignment="1">
      <alignment vertical="center"/>
    </xf>
    <xf numFmtId="0" fontId="52" fillId="0" borderId="31" xfId="0" applyFont="1" applyBorder="1" applyAlignment="1">
      <alignment vertical="center"/>
    </xf>
    <xf numFmtId="0" fontId="48" fillId="0" borderId="23" xfId="0" applyFont="1" applyBorder="1" applyAlignment="1">
      <alignment vertical="center"/>
    </xf>
    <xf numFmtId="184" fontId="48" fillId="0" borderId="41" xfId="4" applyNumberFormat="1" applyFont="1" applyBorder="1" applyAlignment="1">
      <alignment vertical="center"/>
    </xf>
    <xf numFmtId="184" fontId="48" fillId="0" borderId="42" xfId="4" applyNumberFormat="1" applyFont="1" applyBorder="1" applyAlignment="1">
      <alignment vertical="center"/>
    </xf>
    <xf numFmtId="184" fontId="48" fillId="0" borderId="43" xfId="4" applyNumberFormat="1" applyFont="1" applyBorder="1" applyAlignment="1">
      <alignment vertical="center"/>
    </xf>
    <xf numFmtId="184" fontId="30" fillId="0" borderId="0" xfId="4" applyNumberFormat="1" applyFont="1" applyFill="1" applyBorder="1"/>
    <xf numFmtId="1" fontId="84" fillId="0" borderId="0" xfId="0" applyNumberFormat="1" applyFont="1"/>
    <xf numFmtId="185" fontId="0" fillId="0" borderId="0" xfId="0" applyNumberFormat="1"/>
    <xf numFmtId="1" fontId="0" fillId="0" borderId="0" xfId="0" applyNumberFormat="1"/>
    <xf numFmtId="0" fontId="85" fillId="2" borderId="0" xfId="0" applyFont="1" applyFill="1" applyAlignment="1">
      <alignment horizontal="left"/>
    </xf>
    <xf numFmtId="1" fontId="86" fillId="0" borderId="0" xfId="0" applyNumberFormat="1" applyFont="1"/>
    <xf numFmtId="185" fontId="86" fillId="0" borderId="0" xfId="0" applyNumberFormat="1" applyFont="1"/>
    <xf numFmtId="2" fontId="0" fillId="0" borderId="0" xfId="0" applyNumberFormat="1"/>
    <xf numFmtId="0" fontId="30" fillId="0" borderId="0" xfId="0" applyFont="1" applyAlignment="1">
      <alignment horizontal="center"/>
    </xf>
    <xf numFmtId="0" fontId="3" fillId="3" borderId="29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</cellXfs>
  <cellStyles count="5">
    <cellStyle name="Comma" xfId="1" builtinId="3"/>
    <cellStyle name="Currency" xfId="4" builtinId="4"/>
    <cellStyle name="Normal" xfId="0" builtinId="0"/>
    <cellStyle name="Normal 2 4" xfId="3" xr:uid="{089FEF27-90AE-45F0-A6D6-4036A2119059}"/>
    <cellStyle name="Percent" xfId="2" builtinId="5"/>
  </cellStyles>
  <dxfs count="1">
    <dxf>
      <font>
        <color rgb="FF69A12B"/>
      </font>
    </dxf>
  </dxfs>
  <tableStyles count="0" defaultTableStyle="TableStyleMedium2" defaultPivotStyle="PivotStyleLight16"/>
  <colors>
    <mruColors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575732</xdr:colOff>
      <xdr:row>3</xdr:row>
      <xdr:rowOff>42807</xdr:rowOff>
    </xdr:from>
    <xdr:to>
      <xdr:col>17</xdr:col>
      <xdr:colOff>118532</xdr:colOff>
      <xdr:row>40</xdr:row>
      <xdr:rowOff>33866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3A89E8-2B92-1A4B-8966-AC1121B14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732" y="728607"/>
          <a:ext cx="13576300" cy="7039559"/>
        </a:xfrm>
        <a:prstGeom prst="rect">
          <a:avLst/>
        </a:prstGeom>
      </xdr:spPr>
    </xdr:pic>
    <xdr:clientData/>
  </xdr:twoCellAnchor>
  <xdr:twoCellAnchor editAs="oneCell">
    <xdr:from>
      <xdr:col>0</xdr:col>
      <xdr:colOff>605366</xdr:colOff>
      <xdr:row>43</xdr:row>
      <xdr:rowOff>136300</xdr:rowOff>
    </xdr:from>
    <xdr:to>
      <xdr:col>17</xdr:col>
      <xdr:colOff>118533</xdr:colOff>
      <xdr:row>80</xdr:row>
      <xdr:rowOff>183388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BF8F5-C448-1A4A-99E0-821A12DA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366" y="8442100"/>
          <a:ext cx="13546667" cy="709558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kash%20Tewari\Coverage\BMRN\Model\WLF%20-%20BMRN%20v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vin%20H\docs\Study\M&amp;A\Jazz%20Model_AaronWei_20221230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v2.xlsx</v>
          </cell>
          <cell r="Y2" t="str">
            <v>Outperform</v>
          </cell>
        </row>
        <row r="3">
          <cell r="G3">
            <v>43390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43390</v>
          </cell>
          <cell r="K30">
            <v>106.07</v>
          </cell>
          <cell r="O30" t="e">
            <v>#NAME?</v>
          </cell>
          <cell r="P30">
            <v>78.569999999999993</v>
          </cell>
        </row>
        <row r="31">
          <cell r="J31">
            <v>43389</v>
          </cell>
          <cell r="K31">
            <v>106.01</v>
          </cell>
          <cell r="O31">
            <v>43143</v>
          </cell>
          <cell r="P31">
            <v>77.92</v>
          </cell>
        </row>
        <row r="32">
          <cell r="J32">
            <v>43388</v>
          </cell>
          <cell r="K32">
            <v>99.45</v>
          </cell>
          <cell r="O32">
            <v>43140</v>
          </cell>
          <cell r="P32">
            <v>77.94</v>
          </cell>
        </row>
        <row r="33">
          <cell r="J33">
            <v>43387</v>
          </cell>
          <cell r="K33">
            <v>99.51</v>
          </cell>
          <cell r="O33">
            <v>43139</v>
          </cell>
          <cell r="P33">
            <v>76.06</v>
          </cell>
        </row>
        <row r="34">
          <cell r="J34">
            <v>43386</v>
          </cell>
          <cell r="K34">
            <v>99.51</v>
          </cell>
          <cell r="O34">
            <v>43138</v>
          </cell>
          <cell r="P34">
            <v>77.959999999999994</v>
          </cell>
        </row>
        <row r="35">
          <cell r="J35">
            <v>43385</v>
          </cell>
          <cell r="K35">
            <v>99.51</v>
          </cell>
          <cell r="O35">
            <v>43137</v>
          </cell>
          <cell r="P35">
            <v>78.959999999999994</v>
          </cell>
        </row>
        <row r="36">
          <cell r="J36">
            <v>43384</v>
          </cell>
          <cell r="K36">
            <v>97.3</v>
          </cell>
          <cell r="O36">
            <v>43136</v>
          </cell>
          <cell r="P36">
            <v>78.819999999999993</v>
          </cell>
        </row>
        <row r="37">
          <cell r="J37">
            <v>43383</v>
          </cell>
          <cell r="K37">
            <v>98.44</v>
          </cell>
          <cell r="O37">
            <v>43133</v>
          </cell>
          <cell r="P37">
            <v>81.22</v>
          </cell>
        </row>
        <row r="38">
          <cell r="J38">
            <v>43382</v>
          </cell>
          <cell r="K38">
            <v>104.27</v>
          </cell>
          <cell r="O38">
            <v>43132</v>
          </cell>
          <cell r="P38">
            <v>81.84</v>
          </cell>
        </row>
        <row r="39">
          <cell r="J39">
            <v>43381</v>
          </cell>
          <cell r="K39">
            <v>101.33</v>
          </cell>
          <cell r="O39">
            <v>43131</v>
          </cell>
          <cell r="P39">
            <v>83.17</v>
          </cell>
        </row>
        <row r="40">
          <cell r="J40">
            <v>43380</v>
          </cell>
          <cell r="K40">
            <v>101.09</v>
          </cell>
          <cell r="O40">
            <v>43130</v>
          </cell>
          <cell r="P40">
            <v>83.11</v>
          </cell>
        </row>
        <row r="41">
          <cell r="J41">
            <v>43379</v>
          </cell>
          <cell r="K41">
            <v>101.09</v>
          </cell>
          <cell r="O41">
            <v>43129</v>
          </cell>
          <cell r="P41">
            <v>83.74</v>
          </cell>
        </row>
        <row r="42">
          <cell r="J42">
            <v>43378</v>
          </cell>
          <cell r="K42">
            <v>101.09</v>
          </cell>
          <cell r="O42">
            <v>43126</v>
          </cell>
          <cell r="P42">
            <v>84.94</v>
          </cell>
        </row>
        <row r="43">
          <cell r="J43">
            <v>43377</v>
          </cell>
          <cell r="K43">
            <v>98.75</v>
          </cell>
          <cell r="O43">
            <v>43125</v>
          </cell>
          <cell r="P43">
            <v>84.53</v>
          </cell>
        </row>
        <row r="44">
          <cell r="J44">
            <v>43376</v>
          </cell>
          <cell r="K44">
            <v>99.68</v>
          </cell>
          <cell r="O44">
            <v>43124</v>
          </cell>
          <cell r="P44">
            <v>83.75</v>
          </cell>
        </row>
        <row r="45">
          <cell r="J45">
            <v>43375</v>
          </cell>
          <cell r="K45">
            <v>99</v>
          </cell>
          <cell r="O45">
            <v>43123</v>
          </cell>
          <cell r="P45">
            <v>84.2</v>
          </cell>
        </row>
        <row r="46">
          <cell r="J46">
            <v>43374</v>
          </cell>
          <cell r="K46">
            <v>98.62</v>
          </cell>
          <cell r="O46">
            <v>43122</v>
          </cell>
          <cell r="P46">
            <v>82.96</v>
          </cell>
        </row>
        <row r="47">
          <cell r="J47">
            <v>43373</v>
          </cell>
          <cell r="K47">
            <v>96.97</v>
          </cell>
          <cell r="O47">
            <v>43119</v>
          </cell>
          <cell r="P47">
            <v>83.01</v>
          </cell>
        </row>
        <row r="48">
          <cell r="J48">
            <v>43372</v>
          </cell>
          <cell r="K48">
            <v>96.97</v>
          </cell>
          <cell r="O48">
            <v>43118</v>
          </cell>
          <cell r="P48">
            <v>82.41</v>
          </cell>
        </row>
        <row r="49">
          <cell r="J49">
            <v>43371</v>
          </cell>
          <cell r="K49">
            <v>96.97</v>
          </cell>
          <cell r="O49">
            <v>43117</v>
          </cell>
          <cell r="P49">
            <v>82.51</v>
          </cell>
        </row>
        <row r="50">
          <cell r="J50">
            <v>43370</v>
          </cell>
          <cell r="K50">
            <v>97.97</v>
          </cell>
          <cell r="O50">
            <v>43116</v>
          </cell>
          <cell r="P50">
            <v>82.22</v>
          </cell>
        </row>
        <row r="51">
          <cell r="J51">
            <v>43369</v>
          </cell>
          <cell r="K51">
            <v>98.08</v>
          </cell>
          <cell r="O51">
            <v>43112</v>
          </cell>
          <cell r="P51">
            <v>80.83</v>
          </cell>
        </row>
        <row r="52">
          <cell r="J52">
            <v>43368</v>
          </cell>
          <cell r="K52">
            <v>96.28</v>
          </cell>
          <cell r="O52">
            <v>43111</v>
          </cell>
          <cell r="P52">
            <v>84.74</v>
          </cell>
        </row>
        <row r="53">
          <cell r="J53">
            <v>43367</v>
          </cell>
          <cell r="K53">
            <v>97.63</v>
          </cell>
          <cell r="O53">
            <v>43110</v>
          </cell>
          <cell r="P53">
            <v>85.7</v>
          </cell>
        </row>
        <row r="54">
          <cell r="J54">
            <v>43366</v>
          </cell>
          <cell r="K54">
            <v>97.84</v>
          </cell>
          <cell r="O54">
            <v>43109</v>
          </cell>
          <cell r="P54">
            <v>86.71</v>
          </cell>
        </row>
        <row r="55">
          <cell r="J55">
            <v>43365</v>
          </cell>
          <cell r="K55">
            <v>97.84</v>
          </cell>
          <cell r="O55">
            <v>43108</v>
          </cell>
          <cell r="P55">
            <v>87.5</v>
          </cell>
        </row>
        <row r="56">
          <cell r="J56">
            <v>43364</v>
          </cell>
          <cell r="K56">
            <v>97.84</v>
          </cell>
          <cell r="O56">
            <v>43105</v>
          </cell>
          <cell r="P56">
            <v>86.75</v>
          </cell>
        </row>
        <row r="57">
          <cell r="J57">
            <v>43363</v>
          </cell>
          <cell r="K57">
            <v>100.4</v>
          </cell>
          <cell r="O57">
            <v>43104</v>
          </cell>
          <cell r="P57">
            <v>87.61</v>
          </cell>
        </row>
        <row r="58">
          <cell r="J58">
            <v>43362</v>
          </cell>
          <cell r="K58">
            <v>99.77</v>
          </cell>
          <cell r="O58">
            <v>43103</v>
          </cell>
          <cell r="P58">
            <v>88.45</v>
          </cell>
        </row>
        <row r="59">
          <cell r="J59">
            <v>43361</v>
          </cell>
          <cell r="K59">
            <v>99.56</v>
          </cell>
          <cell r="O59">
            <v>43102</v>
          </cell>
          <cell r="P59">
            <v>89.08</v>
          </cell>
        </row>
        <row r="60">
          <cell r="J60">
            <v>43360</v>
          </cell>
          <cell r="K60">
            <v>98.15</v>
          </cell>
          <cell r="O60">
            <v>43098</v>
          </cell>
          <cell r="P60">
            <v>91.49</v>
          </cell>
        </row>
        <row r="61">
          <cell r="J61">
            <v>43359</v>
          </cell>
          <cell r="K61">
            <v>99.41</v>
          </cell>
          <cell r="O61">
            <v>43097</v>
          </cell>
          <cell r="P61">
            <v>91.62</v>
          </cell>
        </row>
        <row r="62">
          <cell r="J62">
            <v>43358</v>
          </cell>
          <cell r="K62">
            <v>99.41</v>
          </cell>
          <cell r="O62">
            <v>43096</v>
          </cell>
          <cell r="P62">
            <v>90.84</v>
          </cell>
        </row>
        <row r="63">
          <cell r="J63">
            <v>43357</v>
          </cell>
          <cell r="K63">
            <v>99.41</v>
          </cell>
          <cell r="O63">
            <v>43095</v>
          </cell>
          <cell r="P63">
            <v>90.42</v>
          </cell>
        </row>
        <row r="64">
          <cell r="J64">
            <v>43356</v>
          </cell>
          <cell r="K64">
            <v>99.57</v>
          </cell>
          <cell r="O64">
            <v>43091</v>
          </cell>
          <cell r="P64">
            <v>90.51</v>
          </cell>
        </row>
        <row r="65">
          <cell r="J65">
            <v>43355</v>
          </cell>
          <cell r="K65">
            <v>98.58</v>
          </cell>
          <cell r="O65">
            <v>43090</v>
          </cell>
          <cell r="P65">
            <v>89.7</v>
          </cell>
        </row>
        <row r="66">
          <cell r="J66">
            <v>43354</v>
          </cell>
          <cell r="K66">
            <v>96.71</v>
          </cell>
          <cell r="O66">
            <v>43089</v>
          </cell>
          <cell r="P66">
            <v>89.34</v>
          </cell>
        </row>
        <row r="67">
          <cell r="J67">
            <v>43353</v>
          </cell>
          <cell r="K67">
            <v>97.51</v>
          </cell>
          <cell r="O67">
            <v>43088</v>
          </cell>
          <cell r="P67">
            <v>89</v>
          </cell>
        </row>
        <row r="68">
          <cell r="J68">
            <v>43352</v>
          </cell>
          <cell r="K68">
            <v>98.04</v>
          </cell>
          <cell r="O68">
            <v>43087</v>
          </cell>
          <cell r="P68">
            <v>90.49</v>
          </cell>
        </row>
        <row r="69">
          <cell r="J69">
            <v>43351</v>
          </cell>
          <cell r="K69">
            <v>98.04</v>
          </cell>
          <cell r="O69">
            <v>43084</v>
          </cell>
          <cell r="P69">
            <v>90.82</v>
          </cell>
        </row>
        <row r="70">
          <cell r="J70">
            <v>43350</v>
          </cell>
          <cell r="K70">
            <v>98.04</v>
          </cell>
          <cell r="O70">
            <v>43083</v>
          </cell>
          <cell r="P70">
            <v>90.35</v>
          </cell>
        </row>
        <row r="71">
          <cell r="J71">
            <v>43349</v>
          </cell>
          <cell r="K71">
            <v>96.16</v>
          </cell>
          <cell r="O71">
            <v>43082</v>
          </cell>
          <cell r="P71">
            <v>89.93</v>
          </cell>
        </row>
        <row r="72">
          <cell r="J72">
            <v>43348</v>
          </cell>
          <cell r="K72">
            <v>96.6</v>
          </cell>
          <cell r="O72">
            <v>43081</v>
          </cell>
          <cell r="P72">
            <v>89.32</v>
          </cell>
        </row>
        <row r="73">
          <cell r="J73">
            <v>43347</v>
          </cell>
          <cell r="K73">
            <v>95.78</v>
          </cell>
          <cell r="O73">
            <v>43080</v>
          </cell>
          <cell r="P73">
            <v>92.25</v>
          </cell>
        </row>
        <row r="74">
          <cell r="J74">
            <v>43346</v>
          </cell>
          <cell r="K74">
            <v>99.98</v>
          </cell>
          <cell r="O74">
            <v>43077</v>
          </cell>
          <cell r="P74">
            <v>91.52</v>
          </cell>
        </row>
        <row r="75">
          <cell r="J75">
            <v>43345</v>
          </cell>
          <cell r="K75">
            <v>99.98</v>
          </cell>
          <cell r="O75">
            <v>43076</v>
          </cell>
          <cell r="P75">
            <v>91.08</v>
          </cell>
        </row>
        <row r="76">
          <cell r="J76">
            <v>43344</v>
          </cell>
          <cell r="K76">
            <v>99.98</v>
          </cell>
          <cell r="O76">
            <v>43075</v>
          </cell>
          <cell r="P76">
            <v>90.94</v>
          </cell>
        </row>
        <row r="77">
          <cell r="J77">
            <v>43343</v>
          </cell>
          <cell r="K77">
            <v>99.98</v>
          </cell>
          <cell r="O77">
            <v>43074</v>
          </cell>
          <cell r="P77">
            <v>90.66</v>
          </cell>
        </row>
        <row r="78">
          <cell r="J78">
            <v>43342</v>
          </cell>
          <cell r="K78">
            <v>99.26</v>
          </cell>
          <cell r="O78">
            <v>43073</v>
          </cell>
          <cell r="P78">
            <v>91.32</v>
          </cell>
        </row>
        <row r="79">
          <cell r="J79">
            <v>43341</v>
          </cell>
          <cell r="K79">
            <v>99.96</v>
          </cell>
          <cell r="O79">
            <v>43070</v>
          </cell>
          <cell r="P79">
            <v>91.22</v>
          </cell>
        </row>
        <row r="80">
          <cell r="J80">
            <v>43340</v>
          </cell>
          <cell r="K80">
            <v>98.92</v>
          </cell>
          <cell r="O80">
            <v>43069</v>
          </cell>
          <cell r="P80">
            <v>91.56</v>
          </cell>
        </row>
        <row r="81">
          <cell r="J81">
            <v>43339</v>
          </cell>
          <cell r="K81">
            <v>100.03</v>
          </cell>
          <cell r="O81">
            <v>43068</v>
          </cell>
          <cell r="P81">
            <v>90.35</v>
          </cell>
        </row>
        <row r="82">
          <cell r="J82">
            <v>43338</v>
          </cell>
          <cell r="K82">
            <v>98.76</v>
          </cell>
          <cell r="O82">
            <v>43067</v>
          </cell>
          <cell r="P82">
            <v>89.57</v>
          </cell>
        </row>
        <row r="83">
          <cell r="J83">
            <v>43337</v>
          </cell>
          <cell r="K83">
            <v>98.76</v>
          </cell>
          <cell r="O83">
            <v>43066</v>
          </cell>
          <cell r="P83">
            <v>89.2</v>
          </cell>
        </row>
        <row r="84">
          <cell r="J84">
            <v>43336</v>
          </cell>
          <cell r="K84">
            <v>98.76</v>
          </cell>
          <cell r="O84">
            <v>43063</v>
          </cell>
          <cell r="P84">
            <v>88.74</v>
          </cell>
        </row>
        <row r="85">
          <cell r="J85">
            <v>43335</v>
          </cell>
          <cell r="K85">
            <v>99.09</v>
          </cell>
          <cell r="O85">
            <v>43061</v>
          </cell>
          <cell r="P85">
            <v>88.66</v>
          </cell>
        </row>
        <row r="86">
          <cell r="J86">
            <v>43334</v>
          </cell>
          <cell r="K86">
            <v>101.53</v>
          </cell>
          <cell r="O86">
            <v>43060</v>
          </cell>
          <cell r="P86">
            <v>88.58</v>
          </cell>
        </row>
        <row r="87">
          <cell r="J87">
            <v>43333</v>
          </cell>
          <cell r="K87">
            <v>99.74</v>
          </cell>
          <cell r="O87">
            <v>43059</v>
          </cell>
          <cell r="P87">
            <v>88.38</v>
          </cell>
        </row>
        <row r="88">
          <cell r="J88">
            <v>43332</v>
          </cell>
          <cell r="K88">
            <v>99.03</v>
          </cell>
          <cell r="O88">
            <v>43056</v>
          </cell>
          <cell r="P88">
            <v>89.02</v>
          </cell>
        </row>
        <row r="89">
          <cell r="J89">
            <v>43331</v>
          </cell>
          <cell r="K89">
            <v>101.01</v>
          </cell>
          <cell r="O89">
            <v>43055</v>
          </cell>
          <cell r="P89">
            <v>89.69</v>
          </cell>
        </row>
        <row r="90">
          <cell r="J90">
            <v>43330</v>
          </cell>
          <cell r="K90">
            <v>101.01</v>
          </cell>
          <cell r="O90">
            <v>43054</v>
          </cell>
          <cell r="P90">
            <v>89.82</v>
          </cell>
        </row>
        <row r="91">
          <cell r="J91">
            <v>43329</v>
          </cell>
          <cell r="K91">
            <v>101.01</v>
          </cell>
          <cell r="O91">
            <v>43053</v>
          </cell>
          <cell r="P91">
            <v>90.71</v>
          </cell>
        </row>
        <row r="92">
          <cell r="J92">
            <v>43328</v>
          </cell>
          <cell r="K92">
            <v>100.32</v>
          </cell>
          <cell r="O92">
            <v>43052</v>
          </cell>
          <cell r="P92">
            <v>89.52</v>
          </cell>
        </row>
        <row r="93">
          <cell r="J93">
            <v>43327</v>
          </cell>
          <cell r="K93">
            <v>101.81</v>
          </cell>
          <cell r="O93">
            <v>43049</v>
          </cell>
          <cell r="P93">
            <v>88.74</v>
          </cell>
        </row>
        <row r="94">
          <cell r="J94">
            <v>43326</v>
          </cell>
          <cell r="K94">
            <v>103.14</v>
          </cell>
          <cell r="O94">
            <v>43048</v>
          </cell>
          <cell r="P94">
            <v>89.31</v>
          </cell>
        </row>
        <row r="95">
          <cell r="J95">
            <v>43325</v>
          </cell>
          <cell r="K95">
            <v>102.72</v>
          </cell>
          <cell r="O95">
            <v>43047</v>
          </cell>
          <cell r="P95">
            <v>90.24</v>
          </cell>
        </row>
        <row r="96">
          <cell r="J96">
            <v>43324</v>
          </cell>
          <cell r="K96">
            <v>101.46</v>
          </cell>
          <cell r="O96">
            <v>43046</v>
          </cell>
          <cell r="P96">
            <v>90</v>
          </cell>
        </row>
        <row r="97">
          <cell r="J97">
            <v>43323</v>
          </cell>
          <cell r="K97">
            <v>101.46</v>
          </cell>
          <cell r="O97">
            <v>43045</v>
          </cell>
          <cell r="P97">
            <v>88.61</v>
          </cell>
        </row>
        <row r="98">
          <cell r="J98">
            <v>43322</v>
          </cell>
          <cell r="K98">
            <v>101.46</v>
          </cell>
          <cell r="O98">
            <v>43042</v>
          </cell>
          <cell r="P98">
            <v>88.76</v>
          </cell>
        </row>
        <row r="99">
          <cell r="J99">
            <v>43321</v>
          </cell>
          <cell r="K99">
            <v>102.03</v>
          </cell>
          <cell r="O99">
            <v>43041</v>
          </cell>
          <cell r="P99">
            <v>89.45</v>
          </cell>
        </row>
        <row r="100">
          <cell r="J100">
            <v>43320</v>
          </cell>
          <cell r="K100">
            <v>103.32</v>
          </cell>
          <cell r="O100">
            <v>43040</v>
          </cell>
          <cell r="P100">
            <v>87.21</v>
          </cell>
        </row>
        <row r="101">
          <cell r="J101">
            <v>43319</v>
          </cell>
          <cell r="K101">
            <v>105.72</v>
          </cell>
          <cell r="O101">
            <v>43039</v>
          </cell>
          <cell r="P101">
            <v>87.76</v>
          </cell>
        </row>
        <row r="102">
          <cell r="J102">
            <v>43318</v>
          </cell>
          <cell r="K102">
            <v>97.95</v>
          </cell>
          <cell r="O102">
            <v>43038</v>
          </cell>
          <cell r="P102">
            <v>87.76</v>
          </cell>
        </row>
        <row r="103">
          <cell r="J103">
            <v>43317</v>
          </cell>
          <cell r="K103">
            <v>99.47</v>
          </cell>
          <cell r="O103">
            <v>43035</v>
          </cell>
          <cell r="P103">
            <v>87.67</v>
          </cell>
        </row>
        <row r="104">
          <cell r="J104">
            <v>43316</v>
          </cell>
          <cell r="K104">
            <v>99.47</v>
          </cell>
          <cell r="O104">
            <v>43034</v>
          </cell>
          <cell r="P104">
            <v>87.49</v>
          </cell>
        </row>
        <row r="105">
          <cell r="J105">
            <v>43315</v>
          </cell>
          <cell r="K105">
            <v>99.47</v>
          </cell>
          <cell r="O105">
            <v>43033</v>
          </cell>
          <cell r="P105">
            <v>86.93</v>
          </cell>
        </row>
        <row r="106">
          <cell r="J106">
            <v>43314</v>
          </cell>
          <cell r="K106">
            <v>102.05</v>
          </cell>
          <cell r="O106">
            <v>43032</v>
          </cell>
          <cell r="P106">
            <v>86.82</v>
          </cell>
        </row>
        <row r="107">
          <cell r="J107">
            <v>43313</v>
          </cell>
          <cell r="K107">
            <v>100.97</v>
          </cell>
          <cell r="O107">
            <v>43031</v>
          </cell>
          <cell r="P107">
            <v>87.73</v>
          </cell>
        </row>
        <row r="108">
          <cell r="J108">
            <v>43312</v>
          </cell>
          <cell r="K108">
            <v>100.56</v>
          </cell>
          <cell r="O108">
            <v>43028</v>
          </cell>
          <cell r="P108">
            <v>87.76</v>
          </cell>
        </row>
        <row r="109">
          <cell r="J109">
            <v>43311</v>
          </cell>
          <cell r="K109">
            <v>99.38</v>
          </cell>
          <cell r="O109">
            <v>43027</v>
          </cell>
          <cell r="P109">
            <v>87.24</v>
          </cell>
        </row>
        <row r="110">
          <cell r="J110">
            <v>43310</v>
          </cell>
          <cell r="K110">
            <v>100.04</v>
          </cell>
          <cell r="O110">
            <v>43026</v>
          </cell>
          <cell r="P110">
            <v>86.22</v>
          </cell>
        </row>
        <row r="111">
          <cell r="J111">
            <v>43309</v>
          </cell>
          <cell r="K111">
            <v>100.04</v>
          </cell>
          <cell r="O111">
            <v>43025</v>
          </cell>
          <cell r="P111">
            <v>86.03</v>
          </cell>
        </row>
        <row r="112">
          <cell r="J112">
            <v>43308</v>
          </cell>
          <cell r="K112">
            <v>100.04</v>
          </cell>
          <cell r="O112">
            <v>43024</v>
          </cell>
          <cell r="P112">
            <v>85.21</v>
          </cell>
        </row>
        <row r="113">
          <cell r="J113">
            <v>43307</v>
          </cell>
          <cell r="K113">
            <v>102.28</v>
          </cell>
          <cell r="O113">
            <v>43021</v>
          </cell>
          <cell r="P113">
            <v>85.02</v>
          </cell>
        </row>
        <row r="114">
          <cell r="J114">
            <v>43306</v>
          </cell>
          <cell r="K114">
            <v>102.18</v>
          </cell>
          <cell r="O114">
            <v>43020</v>
          </cell>
          <cell r="P114">
            <v>85.1</v>
          </cell>
        </row>
        <row r="115">
          <cell r="J115">
            <v>43305</v>
          </cell>
          <cell r="K115">
            <v>101</v>
          </cell>
          <cell r="O115">
            <v>43019</v>
          </cell>
          <cell r="P115">
            <v>84.44</v>
          </cell>
        </row>
        <row r="116">
          <cell r="J116">
            <v>43304</v>
          </cell>
          <cell r="K116">
            <v>101.65</v>
          </cell>
          <cell r="O116">
            <v>43018</v>
          </cell>
          <cell r="P116">
            <v>84.07</v>
          </cell>
        </row>
        <row r="117">
          <cell r="J117">
            <v>43303</v>
          </cell>
          <cell r="K117">
            <v>101.9</v>
          </cell>
          <cell r="O117">
            <v>43017</v>
          </cell>
          <cell r="P117">
            <v>83.21</v>
          </cell>
        </row>
        <row r="118">
          <cell r="J118">
            <v>43302</v>
          </cell>
          <cell r="K118">
            <v>101.9</v>
          </cell>
          <cell r="O118">
            <v>43014</v>
          </cell>
          <cell r="P118">
            <v>82.77</v>
          </cell>
        </row>
        <row r="119">
          <cell r="J119">
            <v>43301</v>
          </cell>
          <cell r="K119">
            <v>101.9</v>
          </cell>
          <cell r="O119">
            <v>43013</v>
          </cell>
          <cell r="P119">
            <v>82.91</v>
          </cell>
        </row>
        <row r="120">
          <cell r="J120">
            <v>43300</v>
          </cell>
          <cell r="K120">
            <v>102.87</v>
          </cell>
          <cell r="O120">
            <v>43012</v>
          </cell>
          <cell r="P120">
            <v>82.51</v>
          </cell>
        </row>
        <row r="121">
          <cell r="J121">
            <v>43299</v>
          </cell>
          <cell r="K121">
            <v>102.69</v>
          </cell>
          <cell r="O121">
            <v>43011</v>
          </cell>
          <cell r="P121">
            <v>81.75</v>
          </cell>
        </row>
        <row r="122">
          <cell r="J122">
            <v>43298</v>
          </cell>
          <cell r="K122">
            <v>103.92</v>
          </cell>
          <cell r="O122">
            <v>43010</v>
          </cell>
          <cell r="P122">
            <v>81.77</v>
          </cell>
        </row>
        <row r="123">
          <cell r="J123">
            <v>43297</v>
          </cell>
          <cell r="K123">
            <v>102.73</v>
          </cell>
          <cell r="O123">
            <v>43007</v>
          </cell>
          <cell r="P123">
            <v>80.91</v>
          </cell>
        </row>
        <row r="124">
          <cell r="J124">
            <v>43296</v>
          </cell>
          <cell r="K124">
            <v>103.61</v>
          </cell>
          <cell r="O124">
            <v>43006</v>
          </cell>
          <cell r="P124">
            <v>81.11</v>
          </cell>
        </row>
        <row r="125">
          <cell r="J125">
            <v>43295</v>
          </cell>
          <cell r="K125">
            <v>103.61</v>
          </cell>
          <cell r="O125">
            <v>43005</v>
          </cell>
          <cell r="P125">
            <v>81</v>
          </cell>
        </row>
        <row r="126">
          <cell r="J126">
            <v>43294</v>
          </cell>
          <cell r="K126">
            <v>103.61</v>
          </cell>
          <cell r="O126">
            <v>43004</v>
          </cell>
          <cell r="P126">
            <v>82.28</v>
          </cell>
        </row>
        <row r="127">
          <cell r="J127">
            <v>43293</v>
          </cell>
          <cell r="K127">
            <v>103.31</v>
          </cell>
          <cell r="O127">
            <v>43003</v>
          </cell>
          <cell r="P127">
            <v>82.48</v>
          </cell>
        </row>
        <row r="128">
          <cell r="J128">
            <v>43292</v>
          </cell>
          <cell r="K128">
            <v>100.11</v>
          </cell>
          <cell r="O128">
            <v>43000</v>
          </cell>
          <cell r="P128">
            <v>82.03</v>
          </cell>
        </row>
        <row r="129">
          <cell r="J129">
            <v>43291</v>
          </cell>
          <cell r="K129">
            <v>99.37</v>
          </cell>
          <cell r="O129">
            <v>42999</v>
          </cell>
          <cell r="P129">
            <v>81.790000000000006</v>
          </cell>
        </row>
        <row r="130">
          <cell r="J130">
            <v>43290</v>
          </cell>
          <cell r="K130">
            <v>99.55</v>
          </cell>
          <cell r="O130">
            <v>42998</v>
          </cell>
          <cell r="P130">
            <v>82.4</v>
          </cell>
        </row>
        <row r="131">
          <cell r="J131">
            <v>43289</v>
          </cell>
          <cell r="K131">
            <v>98.25</v>
          </cell>
          <cell r="O131">
            <v>42997</v>
          </cell>
          <cell r="P131">
            <v>82.32</v>
          </cell>
        </row>
        <row r="132">
          <cell r="J132">
            <v>43288</v>
          </cell>
          <cell r="K132">
            <v>98.25</v>
          </cell>
          <cell r="O132">
            <v>42996</v>
          </cell>
          <cell r="P132">
            <v>82.24</v>
          </cell>
        </row>
        <row r="133">
          <cell r="J133">
            <v>43287</v>
          </cell>
          <cell r="K133">
            <v>98.25</v>
          </cell>
          <cell r="O133">
            <v>42993</v>
          </cell>
          <cell r="P133">
            <v>82.68</v>
          </cell>
        </row>
        <row r="134">
          <cell r="J134">
            <v>43286</v>
          </cell>
          <cell r="K134">
            <v>95.5</v>
          </cell>
          <cell r="O134">
            <v>42992</v>
          </cell>
          <cell r="P134">
            <v>82.27</v>
          </cell>
        </row>
        <row r="135">
          <cell r="J135">
            <v>43285</v>
          </cell>
          <cell r="K135">
            <v>94.46</v>
          </cell>
          <cell r="O135">
            <v>42991</v>
          </cell>
          <cell r="P135">
            <v>81.36</v>
          </cell>
        </row>
        <row r="136">
          <cell r="J136">
            <v>43284</v>
          </cell>
          <cell r="K136">
            <v>94.46</v>
          </cell>
          <cell r="O136">
            <v>42990</v>
          </cell>
          <cell r="P136">
            <v>81.75</v>
          </cell>
        </row>
        <row r="137">
          <cell r="J137">
            <v>43283</v>
          </cell>
          <cell r="K137">
            <v>93.92</v>
          </cell>
          <cell r="O137">
            <v>42989</v>
          </cell>
          <cell r="P137">
            <v>82.92</v>
          </cell>
        </row>
        <row r="138">
          <cell r="J138">
            <v>43282</v>
          </cell>
          <cell r="K138">
            <v>94.2</v>
          </cell>
          <cell r="O138">
            <v>42986</v>
          </cell>
          <cell r="P138">
            <v>81.96</v>
          </cell>
        </row>
        <row r="139">
          <cell r="J139">
            <v>43281</v>
          </cell>
          <cell r="K139">
            <v>94.2</v>
          </cell>
          <cell r="O139">
            <v>42985</v>
          </cell>
          <cell r="P139">
            <v>81.5</v>
          </cell>
        </row>
        <row r="140">
          <cell r="J140">
            <v>43280</v>
          </cell>
          <cell r="K140">
            <v>94.2</v>
          </cell>
          <cell r="O140">
            <v>42984</v>
          </cell>
          <cell r="P140">
            <v>80.849999999999994</v>
          </cell>
        </row>
        <row r="141">
          <cell r="J141">
            <v>43279</v>
          </cell>
          <cell r="K141">
            <v>91.15</v>
          </cell>
          <cell r="O141">
            <v>42983</v>
          </cell>
          <cell r="P141">
            <v>80.819999999999993</v>
          </cell>
        </row>
        <row r="142">
          <cell r="J142">
            <v>43278</v>
          </cell>
          <cell r="K142">
            <v>91.72</v>
          </cell>
          <cell r="O142">
            <v>42979</v>
          </cell>
          <cell r="P142">
            <v>80.83</v>
          </cell>
        </row>
        <row r="143">
          <cell r="J143">
            <v>43277</v>
          </cell>
          <cell r="K143">
            <v>93.79</v>
          </cell>
          <cell r="O143">
            <v>42978</v>
          </cell>
          <cell r="P143">
            <v>80.900000000000006</v>
          </cell>
        </row>
        <row r="144">
          <cell r="J144">
            <v>43276</v>
          </cell>
          <cell r="K144">
            <v>94.88</v>
          </cell>
          <cell r="O144">
            <v>42977</v>
          </cell>
          <cell r="P144">
            <v>80.849999999999994</v>
          </cell>
        </row>
        <row r="145">
          <cell r="J145">
            <v>43275</v>
          </cell>
          <cell r="K145">
            <v>99.03</v>
          </cell>
          <cell r="O145">
            <v>42976</v>
          </cell>
          <cell r="P145">
            <v>81.36</v>
          </cell>
        </row>
        <row r="146">
          <cell r="J146">
            <v>43274</v>
          </cell>
          <cell r="K146">
            <v>99.03</v>
          </cell>
          <cell r="O146">
            <v>42975</v>
          </cell>
          <cell r="P146">
            <v>82</v>
          </cell>
        </row>
        <row r="147">
          <cell r="J147">
            <v>43273</v>
          </cell>
          <cell r="K147">
            <v>99.03</v>
          </cell>
          <cell r="O147">
            <v>42972</v>
          </cell>
          <cell r="P147">
            <v>81.96</v>
          </cell>
        </row>
        <row r="148">
          <cell r="J148">
            <v>43272</v>
          </cell>
          <cell r="K148">
            <v>98.43</v>
          </cell>
          <cell r="O148">
            <v>42971</v>
          </cell>
          <cell r="P148">
            <v>81.67</v>
          </cell>
        </row>
        <row r="149">
          <cell r="J149">
            <v>43271</v>
          </cell>
          <cell r="K149">
            <v>98.34</v>
          </cell>
          <cell r="O149">
            <v>42970</v>
          </cell>
          <cell r="P149">
            <v>81.8</v>
          </cell>
        </row>
        <row r="150">
          <cell r="J150">
            <v>43270</v>
          </cell>
          <cell r="K150">
            <v>95.62</v>
          </cell>
          <cell r="O150">
            <v>42969</v>
          </cell>
          <cell r="P150">
            <v>82.19</v>
          </cell>
        </row>
        <row r="151">
          <cell r="J151">
            <v>43269</v>
          </cell>
          <cell r="K151">
            <v>95.58</v>
          </cell>
          <cell r="O151">
            <v>42968</v>
          </cell>
          <cell r="P151">
            <v>82.08</v>
          </cell>
        </row>
        <row r="152">
          <cell r="J152">
            <v>43268</v>
          </cell>
          <cell r="K152">
            <v>97.6</v>
          </cell>
          <cell r="O152">
            <v>42965</v>
          </cell>
          <cell r="P152">
            <v>81.44</v>
          </cell>
        </row>
        <row r="153">
          <cell r="J153">
            <v>43267</v>
          </cell>
          <cell r="K153">
            <v>97.6</v>
          </cell>
          <cell r="O153">
            <v>42964</v>
          </cell>
          <cell r="P153">
            <v>81.33</v>
          </cell>
        </row>
        <row r="154">
          <cell r="J154">
            <v>43266</v>
          </cell>
          <cell r="K154">
            <v>97.6</v>
          </cell>
          <cell r="O154">
            <v>42963</v>
          </cell>
          <cell r="P154">
            <v>81.59</v>
          </cell>
        </row>
        <row r="155">
          <cell r="J155">
            <v>43265</v>
          </cell>
          <cell r="K155">
            <v>89.98</v>
          </cell>
          <cell r="O155">
            <v>42962</v>
          </cell>
          <cell r="P155">
            <v>81.760000000000005</v>
          </cell>
        </row>
        <row r="156">
          <cell r="J156">
            <v>43264</v>
          </cell>
          <cell r="K156">
            <v>88.97</v>
          </cell>
          <cell r="O156">
            <v>42961</v>
          </cell>
          <cell r="P156">
            <v>81.33</v>
          </cell>
        </row>
        <row r="157">
          <cell r="J157">
            <v>43263</v>
          </cell>
          <cell r="K157">
            <v>90</v>
          </cell>
          <cell r="O157">
            <v>42958</v>
          </cell>
          <cell r="P157">
            <v>80.72</v>
          </cell>
        </row>
        <row r="158">
          <cell r="J158">
            <v>43262</v>
          </cell>
          <cell r="K158">
            <v>89.79</v>
          </cell>
          <cell r="O158">
            <v>42957</v>
          </cell>
          <cell r="P158">
            <v>81.36</v>
          </cell>
        </row>
        <row r="159">
          <cell r="J159">
            <v>43261</v>
          </cell>
          <cell r="K159">
            <v>90.64</v>
          </cell>
          <cell r="O159">
            <v>42956</v>
          </cell>
          <cell r="P159">
            <v>81.680000000000007</v>
          </cell>
        </row>
        <row r="160">
          <cell r="J160">
            <v>43260</v>
          </cell>
          <cell r="K160">
            <v>90.64</v>
          </cell>
          <cell r="O160">
            <v>42955</v>
          </cell>
          <cell r="P160">
            <v>81.31</v>
          </cell>
        </row>
        <row r="161">
          <cell r="J161">
            <v>43259</v>
          </cell>
          <cell r="K161">
            <v>90.64</v>
          </cell>
          <cell r="O161">
            <v>42954</v>
          </cell>
          <cell r="P161">
            <v>81.39</v>
          </cell>
        </row>
        <row r="162">
          <cell r="J162">
            <v>43258</v>
          </cell>
          <cell r="K162">
            <v>91.01</v>
          </cell>
          <cell r="O162">
            <v>42951</v>
          </cell>
          <cell r="P162">
            <v>81.08</v>
          </cell>
        </row>
        <row r="163">
          <cell r="J163">
            <v>43257</v>
          </cell>
          <cell r="K163">
            <v>92.24</v>
          </cell>
          <cell r="O163">
            <v>42950</v>
          </cell>
          <cell r="P163">
            <v>80.650000000000006</v>
          </cell>
        </row>
        <row r="164">
          <cell r="J164">
            <v>43256</v>
          </cell>
          <cell r="K164">
            <v>92.13</v>
          </cell>
          <cell r="O164">
            <v>42949</v>
          </cell>
          <cell r="P164">
            <v>82</v>
          </cell>
        </row>
        <row r="165">
          <cell r="J165">
            <v>43255</v>
          </cell>
          <cell r="K165">
            <v>92.07</v>
          </cell>
          <cell r="O165">
            <v>42948</v>
          </cell>
          <cell r="P165">
            <v>81.38</v>
          </cell>
        </row>
        <row r="166">
          <cell r="J166">
            <v>43254</v>
          </cell>
          <cell r="K166">
            <v>91.92</v>
          </cell>
          <cell r="O166">
            <v>42947</v>
          </cell>
          <cell r="P166">
            <v>81.099999999999994</v>
          </cell>
        </row>
        <row r="167">
          <cell r="J167">
            <v>43253</v>
          </cell>
          <cell r="K167">
            <v>91.92</v>
          </cell>
          <cell r="O167">
            <v>42944</v>
          </cell>
          <cell r="P167">
            <v>81.05</v>
          </cell>
        </row>
        <row r="168">
          <cell r="J168">
            <v>43252</v>
          </cell>
          <cell r="K168">
            <v>91.92</v>
          </cell>
          <cell r="O168">
            <v>42943</v>
          </cell>
          <cell r="P168">
            <v>80.8</v>
          </cell>
        </row>
        <row r="169">
          <cell r="J169">
            <v>43251</v>
          </cell>
          <cell r="K169">
            <v>90.34</v>
          </cell>
          <cell r="O169">
            <v>42942</v>
          </cell>
          <cell r="P169">
            <v>81.349999999999994</v>
          </cell>
        </row>
        <row r="170">
          <cell r="J170">
            <v>43250</v>
          </cell>
          <cell r="K170">
            <v>90.6</v>
          </cell>
          <cell r="O170">
            <v>42941</v>
          </cell>
          <cell r="P170">
            <v>80.760000000000005</v>
          </cell>
        </row>
        <row r="171">
          <cell r="J171">
            <v>43249</v>
          </cell>
          <cell r="K171">
            <v>90.54</v>
          </cell>
          <cell r="O171">
            <v>42940</v>
          </cell>
          <cell r="P171">
            <v>80.930000000000007</v>
          </cell>
        </row>
        <row r="172">
          <cell r="J172">
            <v>43248</v>
          </cell>
          <cell r="K172">
            <v>92.49</v>
          </cell>
          <cell r="O172">
            <v>42937</v>
          </cell>
          <cell r="P172">
            <v>81.92</v>
          </cell>
        </row>
        <row r="173">
          <cell r="J173">
            <v>43247</v>
          </cell>
          <cell r="K173">
            <v>92.49</v>
          </cell>
          <cell r="O173">
            <v>42936</v>
          </cell>
          <cell r="P173">
            <v>81</v>
          </cell>
        </row>
        <row r="174">
          <cell r="J174">
            <v>43246</v>
          </cell>
          <cell r="K174">
            <v>92.49</v>
          </cell>
          <cell r="O174">
            <v>42935</v>
          </cell>
          <cell r="P174">
            <v>80.02</v>
          </cell>
        </row>
        <row r="175">
          <cell r="J175">
            <v>43245</v>
          </cell>
          <cell r="K175">
            <v>92.49</v>
          </cell>
          <cell r="O175">
            <v>42934</v>
          </cell>
          <cell r="P175">
            <v>79.67</v>
          </cell>
        </row>
        <row r="176">
          <cell r="J176">
            <v>43244</v>
          </cell>
          <cell r="K176">
            <v>88.28</v>
          </cell>
          <cell r="O176">
            <v>42933</v>
          </cell>
          <cell r="P176">
            <v>79.319999999999993</v>
          </cell>
        </row>
        <row r="177">
          <cell r="J177">
            <v>43243</v>
          </cell>
          <cell r="K177">
            <v>88.46</v>
          </cell>
          <cell r="O177">
            <v>42930</v>
          </cell>
          <cell r="P177">
            <v>78.64</v>
          </cell>
        </row>
        <row r="178">
          <cell r="J178">
            <v>43242</v>
          </cell>
          <cell r="K178">
            <v>87.61</v>
          </cell>
          <cell r="O178">
            <v>42929</v>
          </cell>
          <cell r="P178">
            <v>77.760000000000005</v>
          </cell>
        </row>
        <row r="179">
          <cell r="J179">
            <v>43241</v>
          </cell>
          <cell r="K179">
            <v>89.36</v>
          </cell>
          <cell r="O179">
            <v>42928</v>
          </cell>
          <cell r="P179">
            <v>78.52</v>
          </cell>
        </row>
        <row r="180">
          <cell r="J180">
            <v>43240</v>
          </cell>
          <cell r="K180">
            <v>88.88</v>
          </cell>
          <cell r="O180">
            <v>42927</v>
          </cell>
          <cell r="P180">
            <v>77.75</v>
          </cell>
        </row>
        <row r="181">
          <cell r="J181">
            <v>43239</v>
          </cell>
          <cell r="K181">
            <v>88.88</v>
          </cell>
          <cell r="O181">
            <v>42926</v>
          </cell>
          <cell r="P181">
            <v>77.87</v>
          </cell>
        </row>
        <row r="182">
          <cell r="J182">
            <v>43238</v>
          </cell>
          <cell r="K182">
            <v>88.88</v>
          </cell>
          <cell r="O182">
            <v>42923</v>
          </cell>
          <cell r="P182">
            <v>77.760000000000005</v>
          </cell>
        </row>
        <row r="183">
          <cell r="J183">
            <v>43237</v>
          </cell>
          <cell r="K183">
            <v>88.43</v>
          </cell>
          <cell r="O183">
            <v>42922</v>
          </cell>
          <cell r="P183">
            <v>77.599999999999994</v>
          </cell>
        </row>
        <row r="184">
          <cell r="J184">
            <v>43236</v>
          </cell>
          <cell r="K184">
            <v>89.52</v>
          </cell>
          <cell r="O184">
            <v>42921</v>
          </cell>
          <cell r="P184">
            <v>77.91</v>
          </cell>
        </row>
        <row r="185">
          <cell r="J185">
            <v>43235</v>
          </cell>
          <cell r="K185">
            <v>88.7</v>
          </cell>
          <cell r="O185">
            <v>42919</v>
          </cell>
          <cell r="P185">
            <v>78.069999999999993</v>
          </cell>
        </row>
        <row r="186">
          <cell r="J186">
            <v>43234</v>
          </cell>
          <cell r="K186">
            <v>89.54</v>
          </cell>
          <cell r="O186">
            <v>42916</v>
          </cell>
          <cell r="P186">
            <v>77.95</v>
          </cell>
        </row>
        <row r="187">
          <cell r="J187">
            <v>43233</v>
          </cell>
          <cell r="K187">
            <v>88.41</v>
          </cell>
          <cell r="O187">
            <v>42915</v>
          </cell>
          <cell r="P187">
            <v>78.099999999999994</v>
          </cell>
        </row>
        <row r="188">
          <cell r="J188">
            <v>43232</v>
          </cell>
          <cell r="K188">
            <v>88.41</v>
          </cell>
          <cell r="O188">
            <v>42914</v>
          </cell>
          <cell r="P188">
            <v>79.650000000000006</v>
          </cell>
        </row>
        <row r="189">
          <cell r="J189">
            <v>43231</v>
          </cell>
          <cell r="K189">
            <v>88.41</v>
          </cell>
          <cell r="O189">
            <v>42913</v>
          </cell>
          <cell r="P189">
            <v>80.069999999999993</v>
          </cell>
        </row>
        <row r="190">
          <cell r="J190">
            <v>43230</v>
          </cell>
          <cell r="K190">
            <v>89.4</v>
          </cell>
          <cell r="O190">
            <v>42912</v>
          </cell>
          <cell r="P190">
            <v>81.209999999999994</v>
          </cell>
        </row>
        <row r="191">
          <cell r="J191">
            <v>43229</v>
          </cell>
          <cell r="K191">
            <v>88.45</v>
          </cell>
          <cell r="O191">
            <v>42909</v>
          </cell>
          <cell r="P191">
            <v>81.13</v>
          </cell>
        </row>
        <row r="192">
          <cell r="J192">
            <v>43228</v>
          </cell>
          <cell r="K192">
            <v>86.81</v>
          </cell>
          <cell r="O192">
            <v>42908</v>
          </cell>
          <cell r="P192">
            <v>81.099999999999994</v>
          </cell>
        </row>
        <row r="193">
          <cell r="J193">
            <v>43227</v>
          </cell>
          <cell r="K193">
            <v>86.97</v>
          </cell>
          <cell r="O193">
            <v>42907</v>
          </cell>
          <cell r="P193">
            <v>80.709999999999994</v>
          </cell>
        </row>
        <row r="194">
          <cell r="J194">
            <v>43226</v>
          </cell>
          <cell r="K194">
            <v>85.38</v>
          </cell>
          <cell r="O194">
            <v>42906</v>
          </cell>
          <cell r="P194">
            <v>81.290000000000006</v>
          </cell>
        </row>
        <row r="195">
          <cell r="J195">
            <v>43225</v>
          </cell>
          <cell r="K195">
            <v>85.38</v>
          </cell>
          <cell r="O195">
            <v>42905</v>
          </cell>
          <cell r="P195">
            <v>81.33</v>
          </cell>
        </row>
        <row r="196">
          <cell r="J196">
            <v>43224</v>
          </cell>
          <cell r="K196">
            <v>85.38</v>
          </cell>
          <cell r="O196">
            <v>42902</v>
          </cell>
          <cell r="P196">
            <v>82.63</v>
          </cell>
        </row>
        <row r="197">
          <cell r="J197">
            <v>43223</v>
          </cell>
          <cell r="K197">
            <v>82.3</v>
          </cell>
          <cell r="O197">
            <v>42901</v>
          </cell>
          <cell r="P197">
            <v>82.06</v>
          </cell>
        </row>
        <row r="198">
          <cell r="J198">
            <v>43222</v>
          </cell>
          <cell r="K198">
            <v>82.37</v>
          </cell>
          <cell r="O198">
            <v>42900</v>
          </cell>
          <cell r="P198">
            <v>81.319999999999993</v>
          </cell>
        </row>
        <row r="199">
          <cell r="J199">
            <v>43221</v>
          </cell>
          <cell r="K199">
            <v>86.16</v>
          </cell>
          <cell r="O199">
            <v>42899</v>
          </cell>
          <cell r="P199">
            <v>80.180000000000007</v>
          </cell>
        </row>
        <row r="200">
          <cell r="J200">
            <v>43220</v>
          </cell>
          <cell r="K200">
            <v>83.51</v>
          </cell>
          <cell r="O200">
            <v>42898</v>
          </cell>
          <cell r="P200">
            <v>79.7</v>
          </cell>
        </row>
        <row r="201">
          <cell r="J201">
            <v>43219</v>
          </cell>
          <cell r="K201">
            <v>84.31</v>
          </cell>
          <cell r="O201">
            <v>42895</v>
          </cell>
          <cell r="P201">
            <v>79.260000000000005</v>
          </cell>
        </row>
        <row r="202">
          <cell r="J202">
            <v>43218</v>
          </cell>
          <cell r="K202">
            <v>84.31</v>
          </cell>
          <cell r="O202">
            <v>42894</v>
          </cell>
          <cell r="P202">
            <v>78.69</v>
          </cell>
        </row>
        <row r="203">
          <cell r="J203">
            <v>43217</v>
          </cell>
          <cell r="K203">
            <v>84.31</v>
          </cell>
          <cell r="O203">
            <v>42893</v>
          </cell>
          <cell r="P203">
            <v>79.36</v>
          </cell>
        </row>
        <row r="204">
          <cell r="J204">
            <v>43216</v>
          </cell>
          <cell r="K204">
            <v>82.51</v>
          </cell>
          <cell r="O204">
            <v>42892</v>
          </cell>
          <cell r="P204">
            <v>78.75</v>
          </cell>
        </row>
        <row r="205">
          <cell r="J205">
            <v>43215</v>
          </cell>
          <cell r="K205">
            <v>81.53</v>
          </cell>
          <cell r="O205">
            <v>42891</v>
          </cell>
          <cell r="P205">
            <v>78.81</v>
          </cell>
        </row>
        <row r="206">
          <cell r="J206">
            <v>43214</v>
          </cell>
          <cell r="K206">
            <v>81.13</v>
          </cell>
          <cell r="O206">
            <v>42888</v>
          </cell>
          <cell r="P206">
            <v>79</v>
          </cell>
        </row>
        <row r="207">
          <cell r="J207">
            <v>43213</v>
          </cell>
          <cell r="K207">
            <v>82.08</v>
          </cell>
          <cell r="O207">
            <v>42887</v>
          </cell>
          <cell r="P207">
            <v>78.8</v>
          </cell>
        </row>
        <row r="208">
          <cell r="J208">
            <v>43212</v>
          </cell>
          <cell r="K208">
            <v>82.3</v>
          </cell>
          <cell r="O208">
            <v>42886</v>
          </cell>
          <cell r="P208">
            <v>78.180000000000007</v>
          </cell>
        </row>
        <row r="209">
          <cell r="J209">
            <v>43211</v>
          </cell>
          <cell r="K209">
            <v>82.3</v>
          </cell>
          <cell r="O209">
            <v>42885</v>
          </cell>
          <cell r="P209">
            <v>77.77</v>
          </cell>
        </row>
        <row r="210">
          <cell r="J210">
            <v>43210</v>
          </cell>
          <cell r="K210">
            <v>82.3</v>
          </cell>
          <cell r="O210">
            <v>42881</v>
          </cell>
          <cell r="P210">
            <v>77.53</v>
          </cell>
        </row>
        <row r="211">
          <cell r="J211">
            <v>43209</v>
          </cell>
          <cell r="K211">
            <v>83.62</v>
          </cell>
          <cell r="O211">
            <v>42880</v>
          </cell>
          <cell r="P211">
            <v>77.73</v>
          </cell>
        </row>
        <row r="212">
          <cell r="J212">
            <v>43208</v>
          </cell>
          <cell r="K212">
            <v>84.42</v>
          </cell>
          <cell r="O212">
            <v>42879</v>
          </cell>
          <cell r="P212">
            <v>77.040000000000006</v>
          </cell>
        </row>
        <row r="213">
          <cell r="J213">
            <v>43207</v>
          </cell>
          <cell r="K213">
            <v>84.45</v>
          </cell>
          <cell r="O213">
            <v>42878</v>
          </cell>
          <cell r="P213">
            <v>76.569999999999993</v>
          </cell>
        </row>
        <row r="214">
          <cell r="J214">
            <v>43206</v>
          </cell>
          <cell r="K214">
            <v>82.69</v>
          </cell>
          <cell r="O214">
            <v>42877</v>
          </cell>
          <cell r="P214">
            <v>76.37</v>
          </cell>
        </row>
        <row r="215">
          <cell r="J215">
            <v>43205</v>
          </cell>
          <cell r="K215">
            <v>83.59</v>
          </cell>
          <cell r="O215">
            <v>42874</v>
          </cell>
          <cell r="P215">
            <v>75.86</v>
          </cell>
        </row>
        <row r="216">
          <cell r="J216">
            <v>43204</v>
          </cell>
          <cell r="K216">
            <v>83.59</v>
          </cell>
          <cell r="O216">
            <v>42873</v>
          </cell>
          <cell r="P216">
            <v>75.25</v>
          </cell>
        </row>
        <row r="217">
          <cell r="J217">
            <v>43203</v>
          </cell>
          <cell r="K217">
            <v>83.59</v>
          </cell>
          <cell r="O217">
            <v>42872</v>
          </cell>
          <cell r="P217">
            <v>75.55</v>
          </cell>
        </row>
        <row r="218">
          <cell r="J218">
            <v>43202</v>
          </cell>
          <cell r="K218">
            <v>83.89</v>
          </cell>
          <cell r="O218">
            <v>42871</v>
          </cell>
          <cell r="P218">
            <v>75.849999999999994</v>
          </cell>
        </row>
        <row r="219">
          <cell r="J219">
            <v>43201</v>
          </cell>
          <cell r="K219">
            <v>79.48</v>
          </cell>
          <cell r="O219">
            <v>42870</v>
          </cell>
          <cell r="P219">
            <v>76.5</v>
          </cell>
        </row>
        <row r="220">
          <cell r="J220">
            <v>43200</v>
          </cell>
          <cell r="K220">
            <v>79.83</v>
          </cell>
          <cell r="O220">
            <v>42867</v>
          </cell>
          <cell r="P220">
            <v>76.31</v>
          </cell>
        </row>
        <row r="221">
          <cell r="J221">
            <v>43199</v>
          </cell>
          <cell r="K221">
            <v>78.650000000000006</v>
          </cell>
          <cell r="O221">
            <v>42866</v>
          </cell>
          <cell r="P221">
            <v>75.72</v>
          </cell>
        </row>
        <row r="222">
          <cell r="J222">
            <v>43198</v>
          </cell>
          <cell r="K222">
            <v>76.010000000000005</v>
          </cell>
          <cell r="O222">
            <v>42865</v>
          </cell>
          <cell r="P222">
            <v>75.680000000000007</v>
          </cell>
        </row>
        <row r="223">
          <cell r="J223">
            <v>43197</v>
          </cell>
          <cell r="K223">
            <v>76.010000000000005</v>
          </cell>
          <cell r="O223">
            <v>42864</v>
          </cell>
          <cell r="P223">
            <v>75.3</v>
          </cell>
        </row>
        <row r="224">
          <cell r="J224">
            <v>43196</v>
          </cell>
          <cell r="K224">
            <v>76.010000000000005</v>
          </cell>
          <cell r="O224">
            <v>42863</v>
          </cell>
          <cell r="P224">
            <v>76.569999999999993</v>
          </cell>
        </row>
        <row r="225">
          <cell r="J225">
            <v>43195</v>
          </cell>
          <cell r="K225">
            <v>78.7</v>
          </cell>
          <cell r="O225">
            <v>42860</v>
          </cell>
          <cell r="P225">
            <v>76.650000000000006</v>
          </cell>
        </row>
        <row r="226">
          <cell r="J226">
            <v>43194</v>
          </cell>
          <cell r="K226">
            <v>79.14</v>
          </cell>
          <cell r="O226">
            <v>42859</v>
          </cell>
          <cell r="P226">
            <v>75.680000000000007</v>
          </cell>
        </row>
        <row r="227">
          <cell r="J227">
            <v>43193</v>
          </cell>
          <cell r="K227">
            <v>77.42</v>
          </cell>
          <cell r="O227">
            <v>42858</v>
          </cell>
          <cell r="P227">
            <v>77.7</v>
          </cell>
        </row>
        <row r="228">
          <cell r="J228">
            <v>43192</v>
          </cell>
          <cell r="K228">
            <v>77.290000000000006</v>
          </cell>
          <cell r="O228">
            <v>42857</v>
          </cell>
          <cell r="P228">
            <v>79.11</v>
          </cell>
        </row>
        <row r="229">
          <cell r="J229">
            <v>43191</v>
          </cell>
          <cell r="K229">
            <v>81.069999999999993</v>
          </cell>
          <cell r="O229">
            <v>42856</v>
          </cell>
          <cell r="P229">
            <v>78.989999999999995</v>
          </cell>
        </row>
        <row r="230">
          <cell r="J230">
            <v>43190</v>
          </cell>
          <cell r="K230">
            <v>81.069999999999993</v>
          </cell>
          <cell r="O230">
            <v>42853</v>
          </cell>
          <cell r="P230">
            <v>79.760000000000005</v>
          </cell>
        </row>
        <row r="231">
          <cell r="J231">
            <v>43189</v>
          </cell>
          <cell r="K231">
            <v>81.069999999999993</v>
          </cell>
          <cell r="O231">
            <v>42852</v>
          </cell>
          <cell r="P231">
            <v>80.41</v>
          </cell>
        </row>
        <row r="232">
          <cell r="J232">
            <v>43188</v>
          </cell>
          <cell r="K232">
            <v>81.069999999999993</v>
          </cell>
          <cell r="O232">
            <v>42851</v>
          </cell>
          <cell r="P232">
            <v>80.23</v>
          </cell>
        </row>
        <row r="233">
          <cell r="J233">
            <v>43187</v>
          </cell>
          <cell r="K233">
            <v>79.62</v>
          </cell>
          <cell r="O233">
            <v>42850</v>
          </cell>
          <cell r="P233">
            <v>80.97</v>
          </cell>
        </row>
        <row r="234">
          <cell r="J234">
            <v>43186</v>
          </cell>
          <cell r="K234">
            <v>78.040000000000006</v>
          </cell>
          <cell r="O234">
            <v>42849</v>
          </cell>
          <cell r="P234">
            <v>80.77</v>
          </cell>
        </row>
        <row r="235">
          <cell r="J235">
            <v>43185</v>
          </cell>
          <cell r="K235">
            <v>80.3</v>
          </cell>
          <cell r="O235">
            <v>42846</v>
          </cell>
          <cell r="P235">
            <v>80.510000000000005</v>
          </cell>
        </row>
        <row r="236">
          <cell r="J236">
            <v>43184</v>
          </cell>
          <cell r="K236">
            <v>78.84</v>
          </cell>
          <cell r="O236">
            <v>42845</v>
          </cell>
          <cell r="P236">
            <v>79.17</v>
          </cell>
        </row>
        <row r="237">
          <cell r="J237">
            <v>43183</v>
          </cell>
          <cell r="K237">
            <v>78.84</v>
          </cell>
          <cell r="O237">
            <v>42844</v>
          </cell>
          <cell r="P237">
            <v>79.319999999999993</v>
          </cell>
        </row>
        <row r="238">
          <cell r="J238">
            <v>43182</v>
          </cell>
          <cell r="K238">
            <v>78.84</v>
          </cell>
          <cell r="O238">
            <v>42843</v>
          </cell>
          <cell r="P238">
            <v>79.5</v>
          </cell>
        </row>
        <row r="239">
          <cell r="J239">
            <v>43181</v>
          </cell>
          <cell r="K239">
            <v>81.36</v>
          </cell>
          <cell r="O239">
            <v>42842</v>
          </cell>
          <cell r="P239">
            <v>79.16</v>
          </cell>
        </row>
        <row r="240">
          <cell r="J240">
            <v>43180</v>
          </cell>
          <cell r="K240">
            <v>86.07</v>
          </cell>
          <cell r="O240">
            <v>42838</v>
          </cell>
          <cell r="P240">
            <v>78.569999999999993</v>
          </cell>
        </row>
        <row r="241">
          <cell r="J241">
            <v>43179</v>
          </cell>
          <cell r="K241">
            <v>84.25</v>
          </cell>
          <cell r="O241">
            <v>42837</v>
          </cell>
          <cell r="P241">
            <v>78.819999999999993</v>
          </cell>
        </row>
        <row r="242">
          <cell r="J242">
            <v>43178</v>
          </cell>
          <cell r="K242">
            <v>83.82</v>
          </cell>
          <cell r="O242">
            <v>42836</v>
          </cell>
          <cell r="P242">
            <v>78.3</v>
          </cell>
        </row>
        <row r="243">
          <cell r="J243">
            <v>43177</v>
          </cell>
          <cell r="K243">
            <v>84.1</v>
          </cell>
          <cell r="O243">
            <v>42835</v>
          </cell>
          <cell r="P243">
            <v>78.02</v>
          </cell>
        </row>
        <row r="244">
          <cell r="J244">
            <v>43176</v>
          </cell>
          <cell r="K244">
            <v>84.1</v>
          </cell>
          <cell r="O244">
            <v>42832</v>
          </cell>
          <cell r="P244">
            <v>77.900000000000006</v>
          </cell>
        </row>
        <row r="245">
          <cell r="J245">
            <v>43175</v>
          </cell>
          <cell r="K245">
            <v>84.1</v>
          </cell>
          <cell r="O245">
            <v>42831</v>
          </cell>
          <cell r="P245">
            <v>77.94</v>
          </cell>
        </row>
        <row r="246">
          <cell r="J246">
            <v>43174</v>
          </cell>
          <cell r="K246">
            <v>83.57</v>
          </cell>
          <cell r="O246">
            <v>42830</v>
          </cell>
          <cell r="P246">
            <v>78.290000000000006</v>
          </cell>
        </row>
        <row r="247">
          <cell r="J247">
            <v>43173</v>
          </cell>
          <cell r="K247">
            <v>85.95</v>
          </cell>
          <cell r="O247">
            <v>42829</v>
          </cell>
          <cell r="P247">
            <v>77.72</v>
          </cell>
        </row>
        <row r="248">
          <cell r="J248">
            <v>43172</v>
          </cell>
          <cell r="K248">
            <v>86.16</v>
          </cell>
          <cell r="O248">
            <v>42828</v>
          </cell>
          <cell r="P248">
            <v>77.14</v>
          </cell>
        </row>
        <row r="249">
          <cell r="J249">
            <v>43171</v>
          </cell>
          <cell r="K249">
            <v>85.46</v>
          </cell>
          <cell r="O249">
            <v>42825</v>
          </cell>
          <cell r="P249">
            <v>77.77</v>
          </cell>
        </row>
        <row r="250">
          <cell r="J250">
            <v>43170</v>
          </cell>
          <cell r="K250">
            <v>83.81</v>
          </cell>
          <cell r="O250">
            <v>42824</v>
          </cell>
          <cell r="P250">
            <v>77</v>
          </cell>
        </row>
        <row r="251">
          <cell r="J251">
            <v>43169</v>
          </cell>
          <cell r="K251">
            <v>83.81</v>
          </cell>
          <cell r="O251">
            <v>42823</v>
          </cell>
          <cell r="P251">
            <v>77.17</v>
          </cell>
        </row>
        <row r="252">
          <cell r="J252">
            <v>43168</v>
          </cell>
          <cell r="K252">
            <v>83.81</v>
          </cell>
          <cell r="O252">
            <v>42822</v>
          </cell>
          <cell r="P252">
            <v>77.19</v>
          </cell>
        </row>
        <row r="253">
          <cell r="J253">
            <v>43167</v>
          </cell>
          <cell r="K253">
            <v>81.849999999999994</v>
          </cell>
          <cell r="O253">
            <v>42821</v>
          </cell>
          <cell r="P253">
            <v>76.84</v>
          </cell>
        </row>
        <row r="254">
          <cell r="J254">
            <v>43166</v>
          </cell>
          <cell r="K254">
            <v>82.98</v>
          </cell>
          <cell r="O254">
            <v>42818</v>
          </cell>
          <cell r="P254">
            <v>77.09</v>
          </cell>
        </row>
        <row r="255">
          <cell r="J255">
            <v>43165</v>
          </cell>
          <cell r="K255">
            <v>82.37</v>
          </cell>
          <cell r="O255">
            <v>42817</v>
          </cell>
          <cell r="P255">
            <v>76.489999999999995</v>
          </cell>
        </row>
        <row r="256">
          <cell r="J256">
            <v>43164</v>
          </cell>
          <cell r="K256">
            <v>80.790000000000006</v>
          </cell>
          <cell r="O256">
            <v>42816</v>
          </cell>
          <cell r="P256">
            <v>77.16</v>
          </cell>
        </row>
        <row r="257">
          <cell r="J257">
            <v>43163</v>
          </cell>
          <cell r="K257">
            <v>79.86</v>
          </cell>
          <cell r="O257">
            <v>42815</v>
          </cell>
          <cell r="P257">
            <v>76.489999999999995</v>
          </cell>
        </row>
        <row r="258">
          <cell r="J258">
            <v>43162</v>
          </cell>
          <cell r="K258">
            <v>79.86</v>
          </cell>
          <cell r="O258">
            <v>42814</v>
          </cell>
          <cell r="P258">
            <v>75.930000000000007</v>
          </cell>
        </row>
        <row r="259">
          <cell r="J259">
            <v>43161</v>
          </cell>
          <cell r="K259">
            <v>79.86</v>
          </cell>
          <cell r="O259">
            <v>42811</v>
          </cell>
          <cell r="P259">
            <v>76.2</v>
          </cell>
        </row>
        <row r="260">
          <cell r="J260">
            <v>43160</v>
          </cell>
          <cell r="K260">
            <v>77.67</v>
          </cell>
          <cell r="O260">
            <v>42810</v>
          </cell>
          <cell r="P260">
            <v>75.739999999999995</v>
          </cell>
        </row>
        <row r="261">
          <cell r="J261">
            <v>43159</v>
          </cell>
          <cell r="K261">
            <v>81.17</v>
          </cell>
          <cell r="O261">
            <v>42809</v>
          </cell>
          <cell r="P261">
            <v>77.22</v>
          </cell>
        </row>
        <row r="262">
          <cell r="J262">
            <v>43158</v>
          </cell>
          <cell r="K262">
            <v>83.01</v>
          </cell>
          <cell r="O262">
            <v>42808</v>
          </cell>
          <cell r="P262">
            <v>76.010000000000005</v>
          </cell>
        </row>
        <row r="263">
          <cell r="J263">
            <v>43157</v>
          </cell>
          <cell r="K263">
            <v>84.04</v>
          </cell>
          <cell r="O263">
            <v>42807</v>
          </cell>
          <cell r="P263">
            <v>76.09</v>
          </cell>
        </row>
        <row r="264">
          <cell r="J264">
            <v>43156</v>
          </cell>
          <cell r="K264">
            <v>83.05</v>
          </cell>
          <cell r="O264">
            <v>42804</v>
          </cell>
          <cell r="P264">
            <v>75.92</v>
          </cell>
        </row>
        <row r="265">
          <cell r="J265">
            <v>43155</v>
          </cell>
          <cell r="K265">
            <v>83.05</v>
          </cell>
          <cell r="O265">
            <v>42803</v>
          </cell>
          <cell r="P265">
            <v>75.28</v>
          </cell>
        </row>
        <row r="266">
          <cell r="J266">
            <v>43154</v>
          </cell>
          <cell r="K266">
            <v>83.05</v>
          </cell>
          <cell r="O266">
            <v>42802</v>
          </cell>
          <cell r="P266">
            <v>75.47</v>
          </cell>
        </row>
        <row r="267">
          <cell r="J267">
            <v>43153</v>
          </cell>
          <cell r="K267">
            <v>84</v>
          </cell>
          <cell r="O267">
            <v>42801</v>
          </cell>
          <cell r="P267">
            <v>76.89</v>
          </cell>
        </row>
        <row r="268">
          <cell r="J268">
            <v>43152</v>
          </cell>
          <cell r="K268">
            <v>84.21</v>
          </cell>
          <cell r="O268">
            <v>42800</v>
          </cell>
          <cell r="P268">
            <v>77.3</v>
          </cell>
        </row>
        <row r="269">
          <cell r="J269">
            <v>43151</v>
          </cell>
          <cell r="K269">
            <v>83.85</v>
          </cell>
          <cell r="O269">
            <v>42797</v>
          </cell>
          <cell r="P269">
            <v>77.34</v>
          </cell>
        </row>
        <row r="270">
          <cell r="J270">
            <v>43150</v>
          </cell>
          <cell r="K270">
            <v>84.98</v>
          </cell>
          <cell r="O270">
            <v>42796</v>
          </cell>
          <cell r="P270">
            <v>77.84</v>
          </cell>
        </row>
        <row r="271">
          <cell r="J271">
            <v>43149</v>
          </cell>
          <cell r="K271">
            <v>84.98</v>
          </cell>
          <cell r="O271">
            <v>42795</v>
          </cell>
          <cell r="P271">
            <v>77.66</v>
          </cell>
        </row>
        <row r="272">
          <cell r="J272">
            <v>43148</v>
          </cell>
          <cell r="K272">
            <v>84.98</v>
          </cell>
          <cell r="O272">
            <v>42794</v>
          </cell>
          <cell r="P272">
            <v>78</v>
          </cell>
        </row>
        <row r="273">
          <cell r="J273">
            <v>43147</v>
          </cell>
          <cell r="K273">
            <v>84.98</v>
          </cell>
          <cell r="O273">
            <v>42793</v>
          </cell>
          <cell r="P273">
            <v>76.45</v>
          </cell>
        </row>
        <row r="274">
          <cell r="J274">
            <v>43146</v>
          </cell>
          <cell r="K274">
            <v>85.12</v>
          </cell>
          <cell r="O274">
            <v>42790</v>
          </cell>
          <cell r="P274">
            <v>76.3</v>
          </cell>
        </row>
        <row r="275">
          <cell r="J275">
            <v>43145</v>
          </cell>
          <cell r="K275">
            <v>84.54</v>
          </cell>
          <cell r="O275">
            <v>42789</v>
          </cell>
          <cell r="P275">
            <v>75.569999999999993</v>
          </cell>
        </row>
        <row r="276">
          <cell r="J276">
            <v>43144</v>
          </cell>
          <cell r="K276">
            <v>81.569999999999993</v>
          </cell>
          <cell r="O276">
            <v>42788</v>
          </cell>
          <cell r="P276">
            <v>74.92</v>
          </cell>
        </row>
        <row r="277">
          <cell r="J277">
            <v>43143</v>
          </cell>
          <cell r="K277">
            <v>83.28</v>
          </cell>
          <cell r="O277">
            <v>42787</v>
          </cell>
          <cell r="P277">
            <v>74.38</v>
          </cell>
        </row>
        <row r="278">
          <cell r="J278">
            <v>43142</v>
          </cell>
          <cell r="K278">
            <v>80.33</v>
          </cell>
          <cell r="O278">
            <v>42783</v>
          </cell>
          <cell r="P278">
            <v>73.81</v>
          </cell>
        </row>
        <row r="279">
          <cell r="J279">
            <v>43141</v>
          </cell>
          <cell r="K279">
            <v>80.33</v>
          </cell>
          <cell r="O279">
            <v>42782</v>
          </cell>
          <cell r="P279">
            <v>73.44</v>
          </cell>
        </row>
        <row r="280">
          <cell r="J280">
            <v>43140</v>
          </cell>
          <cell r="K280">
            <v>80.33</v>
          </cell>
          <cell r="O280">
            <v>42781</v>
          </cell>
          <cell r="P280">
            <v>73.010000000000005</v>
          </cell>
        </row>
        <row r="281">
          <cell r="J281">
            <v>43139</v>
          </cell>
          <cell r="K281">
            <v>82.16</v>
          </cell>
          <cell r="O281">
            <v>42780</v>
          </cell>
          <cell r="P281">
            <v>72.81</v>
          </cell>
        </row>
        <row r="282">
          <cell r="J282">
            <v>43138</v>
          </cell>
          <cell r="K282">
            <v>85</v>
          </cell>
          <cell r="O282">
            <v>42779</v>
          </cell>
          <cell r="P282">
            <v>73.22</v>
          </cell>
        </row>
        <row r="283">
          <cell r="J283">
            <v>43137</v>
          </cell>
          <cell r="K283">
            <v>86.93</v>
          </cell>
        </row>
        <row r="284">
          <cell r="J284">
            <v>43136</v>
          </cell>
          <cell r="K284">
            <v>87.41</v>
          </cell>
        </row>
        <row r="285">
          <cell r="J285">
            <v>43135</v>
          </cell>
          <cell r="K285">
            <v>90.82</v>
          </cell>
        </row>
        <row r="286">
          <cell r="J286">
            <v>43134</v>
          </cell>
          <cell r="K286">
            <v>90.82</v>
          </cell>
        </row>
        <row r="287">
          <cell r="J287">
            <v>43133</v>
          </cell>
          <cell r="K287">
            <v>90.82</v>
          </cell>
        </row>
        <row r="288">
          <cell r="J288">
            <v>43132</v>
          </cell>
          <cell r="K288">
            <v>92.63</v>
          </cell>
        </row>
        <row r="289">
          <cell r="J289">
            <v>43131</v>
          </cell>
          <cell r="K289">
            <v>90.23</v>
          </cell>
        </row>
        <row r="290">
          <cell r="J290">
            <v>43130</v>
          </cell>
          <cell r="K290">
            <v>90.13</v>
          </cell>
        </row>
        <row r="291">
          <cell r="J291">
            <v>43129</v>
          </cell>
          <cell r="K291">
            <v>92.23</v>
          </cell>
        </row>
        <row r="292">
          <cell r="J292">
            <v>43128</v>
          </cell>
          <cell r="K292">
            <v>91.6</v>
          </cell>
        </row>
        <row r="293">
          <cell r="J293">
            <v>43127</v>
          </cell>
          <cell r="K293">
            <v>91.6</v>
          </cell>
        </row>
        <row r="294">
          <cell r="J294">
            <v>43126</v>
          </cell>
          <cell r="K294">
            <v>91.6</v>
          </cell>
        </row>
        <row r="295">
          <cell r="J295">
            <v>43125</v>
          </cell>
          <cell r="K295">
            <v>90.56</v>
          </cell>
        </row>
        <row r="296">
          <cell r="J296">
            <v>43124</v>
          </cell>
          <cell r="K296">
            <v>91.29</v>
          </cell>
        </row>
        <row r="297">
          <cell r="J297">
            <v>43123</v>
          </cell>
          <cell r="K297">
            <v>92.39</v>
          </cell>
        </row>
        <row r="298">
          <cell r="J298">
            <v>43122</v>
          </cell>
          <cell r="K298">
            <v>91.71</v>
          </cell>
        </row>
        <row r="299">
          <cell r="J299">
            <v>43121</v>
          </cell>
          <cell r="K299">
            <v>89.12</v>
          </cell>
        </row>
        <row r="300">
          <cell r="J300">
            <v>43120</v>
          </cell>
          <cell r="K300">
            <v>89.12</v>
          </cell>
        </row>
        <row r="301">
          <cell r="J301">
            <v>43119</v>
          </cell>
          <cell r="K301">
            <v>89.12</v>
          </cell>
        </row>
        <row r="302">
          <cell r="J302">
            <v>43118</v>
          </cell>
          <cell r="K302">
            <v>89.78</v>
          </cell>
        </row>
        <row r="303">
          <cell r="J303">
            <v>43117</v>
          </cell>
          <cell r="K303">
            <v>89.64</v>
          </cell>
        </row>
        <row r="304">
          <cell r="J304">
            <v>43116</v>
          </cell>
          <cell r="K304">
            <v>90.24</v>
          </cell>
        </row>
        <row r="305">
          <cell r="J305">
            <v>43115</v>
          </cell>
          <cell r="K305">
            <v>90.22</v>
          </cell>
        </row>
        <row r="306">
          <cell r="J306">
            <v>43114</v>
          </cell>
          <cell r="K306">
            <v>90.22</v>
          </cell>
        </row>
        <row r="307">
          <cell r="J307">
            <v>43113</v>
          </cell>
          <cell r="K307">
            <v>90.22</v>
          </cell>
        </row>
        <row r="308">
          <cell r="J308">
            <v>43112</v>
          </cell>
          <cell r="K308">
            <v>90.22</v>
          </cell>
        </row>
        <row r="309">
          <cell r="J309">
            <v>43111</v>
          </cell>
          <cell r="K309">
            <v>89.98</v>
          </cell>
        </row>
        <row r="310">
          <cell r="J310">
            <v>43110</v>
          </cell>
          <cell r="K310">
            <v>88.37</v>
          </cell>
        </row>
        <row r="311">
          <cell r="J311">
            <v>43109</v>
          </cell>
          <cell r="K311">
            <v>89.14</v>
          </cell>
        </row>
        <row r="312">
          <cell r="J312">
            <v>43108</v>
          </cell>
          <cell r="K312">
            <v>88.635000000000005</v>
          </cell>
        </row>
        <row r="313">
          <cell r="J313">
            <v>43107</v>
          </cell>
          <cell r="K313">
            <v>90.27</v>
          </cell>
        </row>
        <row r="314">
          <cell r="J314">
            <v>43106</v>
          </cell>
          <cell r="K314">
            <v>90.27</v>
          </cell>
        </row>
        <row r="315">
          <cell r="J315">
            <v>43105</v>
          </cell>
          <cell r="K315">
            <v>90.27</v>
          </cell>
        </row>
        <row r="316">
          <cell r="J316">
            <v>43104</v>
          </cell>
          <cell r="K316">
            <v>90.32</v>
          </cell>
        </row>
        <row r="317">
          <cell r="J317">
            <v>43103</v>
          </cell>
          <cell r="K317">
            <v>92.08</v>
          </cell>
        </row>
        <row r="318">
          <cell r="J318">
            <v>43102</v>
          </cell>
          <cell r="K318">
            <v>91.03</v>
          </cell>
        </row>
        <row r="319">
          <cell r="J319">
            <v>43101</v>
          </cell>
          <cell r="K319">
            <v>89.17</v>
          </cell>
        </row>
        <row r="320">
          <cell r="J320">
            <v>43100</v>
          </cell>
          <cell r="K320">
            <v>89.17</v>
          </cell>
        </row>
        <row r="321">
          <cell r="J321">
            <v>43099</v>
          </cell>
          <cell r="K321">
            <v>89.17</v>
          </cell>
        </row>
        <row r="322">
          <cell r="J322">
            <v>43098</v>
          </cell>
          <cell r="K322">
            <v>89.17</v>
          </cell>
        </row>
        <row r="323">
          <cell r="J323">
            <v>43097</v>
          </cell>
          <cell r="K323">
            <v>90.48</v>
          </cell>
        </row>
        <row r="324">
          <cell r="J324">
            <v>43096</v>
          </cell>
          <cell r="K324">
            <v>90.72</v>
          </cell>
        </row>
        <row r="325">
          <cell r="J325">
            <v>43095</v>
          </cell>
          <cell r="K325">
            <v>90.82</v>
          </cell>
        </row>
        <row r="326">
          <cell r="J326">
            <v>43094</v>
          </cell>
          <cell r="K326">
            <v>90.46</v>
          </cell>
        </row>
        <row r="327">
          <cell r="J327">
            <v>43093</v>
          </cell>
          <cell r="K327">
            <v>90.46</v>
          </cell>
        </row>
        <row r="328">
          <cell r="J328">
            <v>43092</v>
          </cell>
          <cell r="K328">
            <v>90.46</v>
          </cell>
        </row>
        <row r="329">
          <cell r="J329">
            <v>43091</v>
          </cell>
          <cell r="K329">
            <v>90.46</v>
          </cell>
        </row>
        <row r="330">
          <cell r="J330">
            <v>43090</v>
          </cell>
          <cell r="K330">
            <v>91.55</v>
          </cell>
        </row>
        <row r="331">
          <cell r="J331">
            <v>43089</v>
          </cell>
          <cell r="K331">
            <v>91.11</v>
          </cell>
        </row>
        <row r="332">
          <cell r="J332">
            <v>43088</v>
          </cell>
          <cell r="K332">
            <v>90.85</v>
          </cell>
        </row>
        <row r="333">
          <cell r="J333">
            <v>43087</v>
          </cell>
          <cell r="K333">
            <v>92.6</v>
          </cell>
        </row>
        <row r="334">
          <cell r="J334">
            <v>43086</v>
          </cell>
          <cell r="K334">
            <v>93.02</v>
          </cell>
        </row>
        <row r="335">
          <cell r="J335">
            <v>43085</v>
          </cell>
          <cell r="K335">
            <v>93.02</v>
          </cell>
        </row>
        <row r="336">
          <cell r="J336">
            <v>43084</v>
          </cell>
          <cell r="K336">
            <v>93.02</v>
          </cell>
        </row>
        <row r="337">
          <cell r="J337">
            <v>43083</v>
          </cell>
          <cell r="K337">
            <v>88.53</v>
          </cell>
        </row>
        <row r="338">
          <cell r="J338">
            <v>43082</v>
          </cell>
          <cell r="K338">
            <v>88.66</v>
          </cell>
        </row>
        <row r="339">
          <cell r="J339">
            <v>43081</v>
          </cell>
          <cell r="K339">
            <v>87.38</v>
          </cell>
        </row>
        <row r="340">
          <cell r="J340">
            <v>43080</v>
          </cell>
          <cell r="K340">
            <v>88.11</v>
          </cell>
        </row>
        <row r="341">
          <cell r="J341">
            <v>43079</v>
          </cell>
          <cell r="K341">
            <v>81.99</v>
          </cell>
        </row>
        <row r="342">
          <cell r="J342">
            <v>43078</v>
          </cell>
          <cell r="K342">
            <v>81.99</v>
          </cell>
        </row>
        <row r="343">
          <cell r="J343">
            <v>43077</v>
          </cell>
          <cell r="K343">
            <v>81.99</v>
          </cell>
        </row>
        <row r="344">
          <cell r="J344">
            <v>43076</v>
          </cell>
          <cell r="K344">
            <v>80.900000000000006</v>
          </cell>
        </row>
        <row r="345">
          <cell r="J345">
            <v>43075</v>
          </cell>
          <cell r="K345">
            <v>80.819999999999993</v>
          </cell>
        </row>
        <row r="346">
          <cell r="J346">
            <v>43074</v>
          </cell>
          <cell r="K346">
            <v>80.760000000000005</v>
          </cell>
        </row>
        <row r="347">
          <cell r="J347">
            <v>43073</v>
          </cell>
          <cell r="K347">
            <v>83.62</v>
          </cell>
        </row>
        <row r="348">
          <cell r="J348">
            <v>43072</v>
          </cell>
          <cell r="K348">
            <v>85</v>
          </cell>
        </row>
        <row r="349">
          <cell r="J349">
            <v>43071</v>
          </cell>
          <cell r="K349">
            <v>85</v>
          </cell>
        </row>
        <row r="350">
          <cell r="J350">
            <v>43070</v>
          </cell>
          <cell r="K350">
            <v>85</v>
          </cell>
        </row>
        <row r="351">
          <cell r="J351">
            <v>43069</v>
          </cell>
          <cell r="K351">
            <v>85.8</v>
          </cell>
        </row>
        <row r="352">
          <cell r="J352">
            <v>43068</v>
          </cell>
          <cell r="K352">
            <v>83.27</v>
          </cell>
        </row>
        <row r="353">
          <cell r="J353">
            <v>43067</v>
          </cell>
          <cell r="K353">
            <v>82.56</v>
          </cell>
        </row>
        <row r="354">
          <cell r="J354">
            <v>43066</v>
          </cell>
          <cell r="K354">
            <v>82.96</v>
          </cell>
        </row>
        <row r="355">
          <cell r="J355">
            <v>43065</v>
          </cell>
          <cell r="K355">
            <v>82.71</v>
          </cell>
        </row>
        <row r="356">
          <cell r="J356">
            <v>43064</v>
          </cell>
          <cell r="K356">
            <v>82.71</v>
          </cell>
        </row>
        <row r="357">
          <cell r="J357">
            <v>43063</v>
          </cell>
          <cell r="K357">
            <v>82.71</v>
          </cell>
        </row>
        <row r="358">
          <cell r="J358">
            <v>43062</v>
          </cell>
          <cell r="K358">
            <v>82.99</v>
          </cell>
        </row>
        <row r="359">
          <cell r="J359">
            <v>43061</v>
          </cell>
          <cell r="K359">
            <v>82.99</v>
          </cell>
        </row>
        <row r="360">
          <cell r="J360">
            <v>43060</v>
          </cell>
          <cell r="K360">
            <v>82.91</v>
          </cell>
        </row>
        <row r="361">
          <cell r="J361">
            <v>43059</v>
          </cell>
          <cell r="K361">
            <v>82.95</v>
          </cell>
        </row>
        <row r="362">
          <cell r="J362">
            <v>43058</v>
          </cell>
          <cell r="K362">
            <v>82.88</v>
          </cell>
        </row>
        <row r="363">
          <cell r="J363">
            <v>43057</v>
          </cell>
          <cell r="K363">
            <v>82.88</v>
          </cell>
        </row>
        <row r="364">
          <cell r="J364">
            <v>43056</v>
          </cell>
          <cell r="K364">
            <v>82.88</v>
          </cell>
        </row>
        <row r="365">
          <cell r="J365">
            <v>43055</v>
          </cell>
          <cell r="K365">
            <v>82.56</v>
          </cell>
        </row>
        <row r="366">
          <cell r="J366">
            <v>43054</v>
          </cell>
          <cell r="K366">
            <v>81.81</v>
          </cell>
        </row>
        <row r="367">
          <cell r="J367">
            <v>43053</v>
          </cell>
          <cell r="K367">
            <v>81.41</v>
          </cell>
        </row>
        <row r="368">
          <cell r="J368">
            <v>43052</v>
          </cell>
          <cell r="K368">
            <v>81.06</v>
          </cell>
        </row>
        <row r="369">
          <cell r="J369">
            <v>43051</v>
          </cell>
          <cell r="K369">
            <v>82.03</v>
          </cell>
        </row>
        <row r="370">
          <cell r="J370">
            <v>43050</v>
          </cell>
          <cell r="K370">
            <v>82.03</v>
          </cell>
        </row>
        <row r="371">
          <cell r="J371">
            <v>43049</v>
          </cell>
          <cell r="K371">
            <v>82.03</v>
          </cell>
        </row>
        <row r="372">
          <cell r="J372">
            <v>43048</v>
          </cell>
          <cell r="K372">
            <v>82.4</v>
          </cell>
        </row>
        <row r="373">
          <cell r="J373">
            <v>43047</v>
          </cell>
          <cell r="K373">
            <v>82.81</v>
          </cell>
        </row>
        <row r="374">
          <cell r="J374">
            <v>43046</v>
          </cell>
          <cell r="K374">
            <v>83.77</v>
          </cell>
        </row>
        <row r="375">
          <cell r="J375">
            <v>43045</v>
          </cell>
          <cell r="K375">
            <v>82.96</v>
          </cell>
        </row>
        <row r="376">
          <cell r="J376">
            <v>43044</v>
          </cell>
          <cell r="K376">
            <v>84.13</v>
          </cell>
        </row>
        <row r="377">
          <cell r="J377">
            <v>43043</v>
          </cell>
          <cell r="K377">
            <v>84.13</v>
          </cell>
        </row>
        <row r="378">
          <cell r="J378">
            <v>43042</v>
          </cell>
          <cell r="K378">
            <v>84.13</v>
          </cell>
        </row>
        <row r="379">
          <cell r="J379">
            <v>43041</v>
          </cell>
          <cell r="K379">
            <v>82.74</v>
          </cell>
        </row>
        <row r="380">
          <cell r="J380">
            <v>43040</v>
          </cell>
          <cell r="K380">
            <v>80.92</v>
          </cell>
        </row>
        <row r="381">
          <cell r="J381">
            <v>43039</v>
          </cell>
          <cell r="K381">
            <v>82.09</v>
          </cell>
        </row>
        <row r="382">
          <cell r="J382">
            <v>43038</v>
          </cell>
          <cell r="K382">
            <v>81.97</v>
          </cell>
        </row>
        <row r="383">
          <cell r="J383">
            <v>43037</v>
          </cell>
          <cell r="K383">
            <v>83.15</v>
          </cell>
        </row>
        <row r="384">
          <cell r="J384">
            <v>43036</v>
          </cell>
          <cell r="K384">
            <v>83.15</v>
          </cell>
        </row>
        <row r="385">
          <cell r="J385">
            <v>43035</v>
          </cell>
          <cell r="K385">
            <v>83.15</v>
          </cell>
        </row>
        <row r="386">
          <cell r="J386">
            <v>43034</v>
          </cell>
          <cell r="K386">
            <v>82.53</v>
          </cell>
        </row>
        <row r="387">
          <cell r="J387">
            <v>43033</v>
          </cell>
          <cell r="K387">
            <v>84.79</v>
          </cell>
        </row>
        <row r="388">
          <cell r="J388">
            <v>43032</v>
          </cell>
          <cell r="K388">
            <v>86.29</v>
          </cell>
        </row>
        <row r="389">
          <cell r="J389">
            <v>43031</v>
          </cell>
          <cell r="K389">
            <v>86.46</v>
          </cell>
        </row>
        <row r="390">
          <cell r="J390">
            <v>43030</v>
          </cell>
          <cell r="K390">
            <v>87.75</v>
          </cell>
        </row>
        <row r="391">
          <cell r="J391">
            <v>43029</v>
          </cell>
          <cell r="K391">
            <v>87.75</v>
          </cell>
        </row>
        <row r="392">
          <cell r="J392">
            <v>43028</v>
          </cell>
          <cell r="K392">
            <v>87.75</v>
          </cell>
        </row>
        <row r="393">
          <cell r="J393">
            <v>43027</v>
          </cell>
          <cell r="K393">
            <v>88.13</v>
          </cell>
        </row>
        <row r="394">
          <cell r="J394">
            <v>43026</v>
          </cell>
          <cell r="K394">
            <v>88.62</v>
          </cell>
        </row>
        <row r="395">
          <cell r="J395">
            <v>43025</v>
          </cell>
          <cell r="K395">
            <v>93.54</v>
          </cell>
        </row>
      </sheetData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_FDSCACHE__"/>
      <sheetName val="PNL"/>
      <sheetName val="BS"/>
      <sheetName val="CF"/>
      <sheetName val="Valuation"/>
      <sheetName val="Product"/>
      <sheetName val="Market Models"/>
      <sheetName val="Publishing"/>
      <sheetName val="Vs. Consen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F1" t="str">
            <v>CUSIP</v>
          </cell>
          <cell r="G1" t="str">
            <v>09061G101</v>
          </cell>
        </row>
        <row r="2">
          <cell r="G2" t="str">
            <v>BMRN</v>
          </cell>
          <cell r="K2" t="str">
            <v>X:\Akash Tewari\Coverage\BMRN\Model\WLF - BMRN v3.xlsx</v>
          </cell>
          <cell r="Y2" t="str">
            <v>Outperform</v>
          </cell>
        </row>
        <row r="3">
          <cell r="G3">
            <v>43417</v>
          </cell>
          <cell r="Y3" t="str">
            <v>Peer Perform</v>
          </cell>
        </row>
        <row r="4">
          <cell r="G4" t="str">
            <v>FactSet</v>
          </cell>
          <cell r="Y4" t="str">
            <v>Underperform</v>
          </cell>
        </row>
        <row r="5">
          <cell r="Y5" t="str">
            <v>Suspended</v>
          </cell>
        </row>
        <row r="6">
          <cell r="Y6" t="str">
            <v>Not Rated</v>
          </cell>
        </row>
        <row r="30">
          <cell r="J30">
            <v>43417</v>
          </cell>
          <cell r="K30">
            <v>93.52</v>
          </cell>
          <cell r="O30" t="e">
            <v>#NAME?</v>
          </cell>
          <cell r="P30">
            <v>78.569999999999993</v>
          </cell>
        </row>
        <row r="31">
          <cell r="J31">
            <v>43416</v>
          </cell>
          <cell r="K31">
            <v>93.07</v>
          </cell>
          <cell r="O31">
            <v>43143</v>
          </cell>
          <cell r="P31">
            <v>77.92</v>
          </cell>
        </row>
        <row r="32">
          <cell r="J32">
            <v>43415</v>
          </cell>
          <cell r="K32">
            <v>95.67</v>
          </cell>
          <cell r="O32">
            <v>43140</v>
          </cell>
          <cell r="P32">
            <v>77.94</v>
          </cell>
        </row>
        <row r="33">
          <cell r="J33">
            <v>43414</v>
          </cell>
          <cell r="K33">
            <v>95.67</v>
          </cell>
          <cell r="O33">
            <v>43139</v>
          </cell>
          <cell r="P33">
            <v>76.06</v>
          </cell>
        </row>
        <row r="34">
          <cell r="J34">
            <v>43413</v>
          </cell>
          <cell r="K34">
            <v>95.67</v>
          </cell>
          <cell r="O34">
            <v>43138</v>
          </cell>
          <cell r="P34">
            <v>77.959999999999994</v>
          </cell>
        </row>
        <row r="35">
          <cell r="J35">
            <v>43412</v>
          </cell>
          <cell r="K35">
            <v>98.54</v>
          </cell>
          <cell r="O35">
            <v>43137</v>
          </cell>
          <cell r="P35">
            <v>78.959999999999994</v>
          </cell>
        </row>
        <row r="36">
          <cell r="J36">
            <v>43411</v>
          </cell>
          <cell r="K36">
            <v>99.06</v>
          </cell>
          <cell r="O36">
            <v>43136</v>
          </cell>
          <cell r="P36">
            <v>78.819999999999993</v>
          </cell>
        </row>
        <row r="37">
          <cell r="J37">
            <v>43410</v>
          </cell>
          <cell r="K37">
            <v>96.58</v>
          </cell>
          <cell r="O37">
            <v>43133</v>
          </cell>
          <cell r="P37">
            <v>81.22</v>
          </cell>
        </row>
        <row r="38">
          <cell r="J38">
            <v>43409</v>
          </cell>
          <cell r="K38">
            <v>97.75</v>
          </cell>
          <cell r="O38">
            <v>43132</v>
          </cell>
          <cell r="P38">
            <v>81.84</v>
          </cell>
        </row>
        <row r="39">
          <cell r="J39">
            <v>43408</v>
          </cell>
          <cell r="K39">
            <v>97.96</v>
          </cell>
          <cell r="O39">
            <v>43131</v>
          </cell>
          <cell r="P39">
            <v>83.17</v>
          </cell>
        </row>
        <row r="40">
          <cell r="J40">
            <v>43407</v>
          </cell>
          <cell r="K40">
            <v>97.96</v>
          </cell>
          <cell r="O40">
            <v>43130</v>
          </cell>
          <cell r="P40">
            <v>83.11</v>
          </cell>
        </row>
        <row r="41">
          <cell r="J41">
            <v>43406</v>
          </cell>
          <cell r="K41">
            <v>97.96</v>
          </cell>
          <cell r="O41">
            <v>43129</v>
          </cell>
          <cell r="P41">
            <v>83.74</v>
          </cell>
        </row>
        <row r="42">
          <cell r="J42">
            <v>43405</v>
          </cell>
          <cell r="K42">
            <v>97.45</v>
          </cell>
          <cell r="O42">
            <v>43126</v>
          </cell>
          <cell r="P42">
            <v>84.94</v>
          </cell>
        </row>
        <row r="43">
          <cell r="J43">
            <v>43404</v>
          </cell>
          <cell r="K43">
            <v>92.17</v>
          </cell>
          <cell r="O43">
            <v>43125</v>
          </cell>
          <cell r="P43">
            <v>84.53</v>
          </cell>
        </row>
        <row r="44">
          <cell r="J44">
            <v>43403</v>
          </cell>
          <cell r="K44">
            <v>92.11</v>
          </cell>
          <cell r="O44">
            <v>43124</v>
          </cell>
          <cell r="P44">
            <v>83.75</v>
          </cell>
        </row>
        <row r="45">
          <cell r="J45">
            <v>43402</v>
          </cell>
          <cell r="K45">
            <v>93.76</v>
          </cell>
          <cell r="O45">
            <v>43123</v>
          </cell>
          <cell r="P45">
            <v>84.2</v>
          </cell>
        </row>
        <row r="46">
          <cell r="J46">
            <v>43401</v>
          </cell>
          <cell r="K46">
            <v>97.44</v>
          </cell>
          <cell r="O46">
            <v>43122</v>
          </cell>
          <cell r="P46">
            <v>82.96</v>
          </cell>
        </row>
        <row r="47">
          <cell r="J47">
            <v>43400</v>
          </cell>
          <cell r="K47">
            <v>97.44</v>
          </cell>
          <cell r="O47">
            <v>43119</v>
          </cell>
          <cell r="P47">
            <v>83.01</v>
          </cell>
        </row>
        <row r="48">
          <cell r="J48">
            <v>43399</v>
          </cell>
          <cell r="K48">
            <v>97.44</v>
          </cell>
          <cell r="O48">
            <v>43118</v>
          </cell>
          <cell r="P48">
            <v>82.41</v>
          </cell>
        </row>
        <row r="49">
          <cell r="J49">
            <v>43398</v>
          </cell>
          <cell r="K49">
            <v>96.43</v>
          </cell>
          <cell r="O49">
            <v>43117</v>
          </cell>
          <cell r="P49">
            <v>82.51</v>
          </cell>
        </row>
        <row r="50">
          <cell r="J50">
            <v>43397</v>
          </cell>
          <cell r="K50">
            <v>92.88</v>
          </cell>
          <cell r="O50">
            <v>43116</v>
          </cell>
          <cell r="P50">
            <v>82.22</v>
          </cell>
        </row>
        <row r="51">
          <cell r="J51">
            <v>43396</v>
          </cell>
          <cell r="K51">
            <v>100.24</v>
          </cell>
          <cell r="O51">
            <v>43112</v>
          </cell>
          <cell r="P51">
            <v>80.83</v>
          </cell>
        </row>
        <row r="52">
          <cell r="J52">
            <v>43395</v>
          </cell>
          <cell r="K52">
            <v>103.53</v>
          </cell>
          <cell r="O52">
            <v>43111</v>
          </cell>
          <cell r="P52">
            <v>84.74</v>
          </cell>
        </row>
        <row r="53">
          <cell r="J53">
            <v>43394</v>
          </cell>
          <cell r="K53">
            <v>103.22</v>
          </cell>
          <cell r="O53">
            <v>43110</v>
          </cell>
          <cell r="P53">
            <v>85.7</v>
          </cell>
        </row>
        <row r="54">
          <cell r="J54">
            <v>43393</v>
          </cell>
          <cell r="K54">
            <v>103.22</v>
          </cell>
          <cell r="O54">
            <v>43109</v>
          </cell>
          <cell r="P54">
            <v>86.71</v>
          </cell>
        </row>
        <row r="55">
          <cell r="J55">
            <v>43392</v>
          </cell>
          <cell r="K55">
            <v>103.22</v>
          </cell>
          <cell r="O55">
            <v>43108</v>
          </cell>
          <cell r="P55">
            <v>87.5</v>
          </cell>
        </row>
        <row r="56">
          <cell r="J56">
            <v>43391</v>
          </cell>
          <cell r="K56">
            <v>103.82</v>
          </cell>
          <cell r="O56">
            <v>43105</v>
          </cell>
          <cell r="P56">
            <v>86.75</v>
          </cell>
        </row>
        <row r="57">
          <cell r="J57">
            <v>43390</v>
          </cell>
          <cell r="K57">
            <v>106.07</v>
          </cell>
          <cell r="O57">
            <v>43104</v>
          </cell>
          <cell r="P57">
            <v>87.61</v>
          </cell>
        </row>
        <row r="58">
          <cell r="J58">
            <v>43389</v>
          </cell>
          <cell r="K58">
            <v>106.01</v>
          </cell>
          <cell r="O58">
            <v>43103</v>
          </cell>
          <cell r="P58">
            <v>88.45</v>
          </cell>
        </row>
        <row r="59">
          <cell r="J59">
            <v>43388</v>
          </cell>
          <cell r="K59">
            <v>99.45</v>
          </cell>
          <cell r="O59">
            <v>43102</v>
          </cell>
          <cell r="P59">
            <v>89.08</v>
          </cell>
        </row>
        <row r="60">
          <cell r="J60">
            <v>43387</v>
          </cell>
          <cell r="K60">
            <v>99.51</v>
          </cell>
          <cell r="O60">
            <v>43098</v>
          </cell>
          <cell r="P60">
            <v>91.49</v>
          </cell>
        </row>
        <row r="61">
          <cell r="J61">
            <v>43386</v>
          </cell>
          <cell r="K61">
            <v>99.51</v>
          </cell>
          <cell r="O61">
            <v>43097</v>
          </cell>
          <cell r="P61">
            <v>91.62</v>
          </cell>
        </row>
        <row r="62">
          <cell r="J62">
            <v>43385</v>
          </cell>
          <cell r="K62">
            <v>99.51</v>
          </cell>
          <cell r="O62">
            <v>43096</v>
          </cell>
          <cell r="P62">
            <v>90.84</v>
          </cell>
        </row>
        <row r="63">
          <cell r="J63">
            <v>43384</v>
          </cell>
          <cell r="K63">
            <v>97.3</v>
          </cell>
          <cell r="O63">
            <v>43095</v>
          </cell>
          <cell r="P63">
            <v>90.42</v>
          </cell>
        </row>
        <row r="64">
          <cell r="J64">
            <v>43383</v>
          </cell>
          <cell r="K64">
            <v>98.44</v>
          </cell>
          <cell r="O64">
            <v>43091</v>
          </cell>
          <cell r="P64">
            <v>90.51</v>
          </cell>
        </row>
        <row r="65">
          <cell r="J65">
            <v>43382</v>
          </cell>
          <cell r="K65">
            <v>104.27</v>
          </cell>
          <cell r="O65">
            <v>43090</v>
          </cell>
          <cell r="P65">
            <v>89.7</v>
          </cell>
        </row>
        <row r="66">
          <cell r="J66">
            <v>43381</v>
          </cell>
          <cell r="K66">
            <v>101.33</v>
          </cell>
          <cell r="O66">
            <v>43089</v>
          </cell>
          <cell r="P66">
            <v>89.34</v>
          </cell>
        </row>
        <row r="67">
          <cell r="J67">
            <v>43380</v>
          </cell>
          <cell r="K67">
            <v>101.09</v>
          </cell>
          <cell r="O67">
            <v>43088</v>
          </cell>
          <cell r="P67">
            <v>89</v>
          </cell>
        </row>
        <row r="68">
          <cell r="J68">
            <v>43379</v>
          </cell>
          <cell r="K68">
            <v>101.09</v>
          </cell>
          <cell r="O68">
            <v>43087</v>
          </cell>
          <cell r="P68">
            <v>90.49</v>
          </cell>
        </row>
        <row r="69">
          <cell r="J69">
            <v>43378</v>
          </cell>
          <cell r="K69">
            <v>101.09</v>
          </cell>
          <cell r="O69">
            <v>43084</v>
          </cell>
          <cell r="P69">
            <v>90.82</v>
          </cell>
        </row>
        <row r="70">
          <cell r="J70">
            <v>43377</v>
          </cell>
          <cell r="K70">
            <v>98.75</v>
          </cell>
          <cell r="O70">
            <v>43083</v>
          </cell>
          <cell r="P70">
            <v>90.35</v>
          </cell>
        </row>
        <row r="71">
          <cell r="J71">
            <v>43376</v>
          </cell>
          <cell r="K71">
            <v>99.68</v>
          </cell>
          <cell r="O71">
            <v>43082</v>
          </cell>
          <cell r="P71">
            <v>89.93</v>
          </cell>
        </row>
        <row r="72">
          <cell r="J72">
            <v>43375</v>
          </cell>
          <cell r="K72">
            <v>99</v>
          </cell>
          <cell r="O72">
            <v>43081</v>
          </cell>
          <cell r="P72">
            <v>89.32</v>
          </cell>
        </row>
        <row r="73">
          <cell r="J73">
            <v>43374</v>
          </cell>
          <cell r="K73">
            <v>98.62</v>
          </cell>
          <cell r="O73">
            <v>43080</v>
          </cell>
          <cell r="P73">
            <v>92.25</v>
          </cell>
        </row>
        <row r="74">
          <cell r="J74">
            <v>43373</v>
          </cell>
          <cell r="K74">
            <v>96.97</v>
          </cell>
          <cell r="O74">
            <v>43077</v>
          </cell>
          <cell r="P74">
            <v>91.52</v>
          </cell>
        </row>
        <row r="75">
          <cell r="J75">
            <v>43372</v>
          </cell>
          <cell r="K75">
            <v>96.97</v>
          </cell>
          <cell r="O75">
            <v>43076</v>
          </cell>
          <cell r="P75">
            <v>91.08</v>
          </cell>
        </row>
        <row r="76">
          <cell r="J76">
            <v>43371</v>
          </cell>
          <cell r="K76">
            <v>96.97</v>
          </cell>
          <cell r="O76">
            <v>43075</v>
          </cell>
          <cell r="P76">
            <v>90.94</v>
          </cell>
        </row>
        <row r="77">
          <cell r="J77">
            <v>43370</v>
          </cell>
          <cell r="K77">
            <v>97.97</v>
          </cell>
          <cell r="O77">
            <v>43074</v>
          </cell>
          <cell r="P77">
            <v>90.66</v>
          </cell>
        </row>
        <row r="78">
          <cell r="J78">
            <v>43369</v>
          </cell>
          <cell r="K78">
            <v>98.08</v>
          </cell>
          <cell r="O78">
            <v>43073</v>
          </cell>
          <cell r="P78">
            <v>91.32</v>
          </cell>
        </row>
        <row r="79">
          <cell r="J79">
            <v>43368</v>
          </cell>
          <cell r="K79">
            <v>96.28</v>
          </cell>
          <cell r="O79">
            <v>43070</v>
          </cell>
          <cell r="P79">
            <v>91.22</v>
          </cell>
        </row>
        <row r="80">
          <cell r="J80">
            <v>43367</v>
          </cell>
          <cell r="K80">
            <v>97.63</v>
          </cell>
          <cell r="O80">
            <v>43069</v>
          </cell>
          <cell r="P80">
            <v>91.56</v>
          </cell>
        </row>
        <row r="81">
          <cell r="J81">
            <v>43366</v>
          </cell>
          <cell r="K81">
            <v>97.84</v>
          </cell>
          <cell r="O81">
            <v>43068</v>
          </cell>
          <cell r="P81">
            <v>90.35</v>
          </cell>
        </row>
        <row r="82">
          <cell r="J82">
            <v>43365</v>
          </cell>
          <cell r="K82">
            <v>97.84</v>
          </cell>
          <cell r="O82">
            <v>43067</v>
          </cell>
          <cell r="P82">
            <v>89.57</v>
          </cell>
        </row>
        <row r="83">
          <cell r="J83">
            <v>43364</v>
          </cell>
          <cell r="K83">
            <v>97.84</v>
          </cell>
          <cell r="O83">
            <v>43066</v>
          </cell>
          <cell r="P83">
            <v>89.2</v>
          </cell>
        </row>
        <row r="84">
          <cell r="J84">
            <v>43363</v>
          </cell>
          <cell r="K84">
            <v>100.4</v>
          </cell>
          <cell r="O84">
            <v>43063</v>
          </cell>
          <cell r="P84">
            <v>88.74</v>
          </cell>
        </row>
        <row r="85">
          <cell r="J85">
            <v>43362</v>
          </cell>
          <cell r="K85">
            <v>99.77</v>
          </cell>
          <cell r="O85">
            <v>43061</v>
          </cell>
          <cell r="P85">
            <v>88.66</v>
          </cell>
        </row>
        <row r="86">
          <cell r="J86">
            <v>43361</v>
          </cell>
          <cell r="K86">
            <v>99.56</v>
          </cell>
          <cell r="O86">
            <v>43060</v>
          </cell>
          <cell r="P86">
            <v>88.58</v>
          </cell>
        </row>
        <row r="87">
          <cell r="J87">
            <v>43360</v>
          </cell>
          <cell r="K87">
            <v>98.15</v>
          </cell>
          <cell r="O87">
            <v>43059</v>
          </cell>
          <cell r="P87">
            <v>88.38</v>
          </cell>
        </row>
        <row r="88">
          <cell r="J88">
            <v>43359</v>
          </cell>
          <cell r="K88">
            <v>99.41</v>
          </cell>
          <cell r="O88">
            <v>43056</v>
          </cell>
          <cell r="P88">
            <v>89.02</v>
          </cell>
        </row>
        <row r="89">
          <cell r="J89">
            <v>43358</v>
          </cell>
          <cell r="K89">
            <v>99.41</v>
          </cell>
          <cell r="O89">
            <v>43055</v>
          </cell>
          <cell r="P89">
            <v>89.69</v>
          </cell>
        </row>
        <row r="90">
          <cell r="J90">
            <v>43357</v>
          </cell>
          <cell r="K90">
            <v>99.41</v>
          </cell>
          <cell r="O90">
            <v>43054</v>
          </cell>
          <cell r="P90">
            <v>89.82</v>
          </cell>
        </row>
        <row r="91">
          <cell r="J91">
            <v>43356</v>
          </cell>
          <cell r="K91">
            <v>99.57</v>
          </cell>
          <cell r="O91">
            <v>43053</v>
          </cell>
          <cell r="P91">
            <v>90.71</v>
          </cell>
        </row>
        <row r="92">
          <cell r="J92">
            <v>43355</v>
          </cell>
          <cell r="K92">
            <v>98.58</v>
          </cell>
          <cell r="O92">
            <v>43052</v>
          </cell>
          <cell r="P92">
            <v>89.52</v>
          </cell>
        </row>
        <row r="93">
          <cell r="J93">
            <v>43354</v>
          </cell>
          <cell r="K93">
            <v>96.71</v>
          </cell>
          <cell r="O93">
            <v>43049</v>
          </cell>
          <cell r="P93">
            <v>88.74</v>
          </cell>
        </row>
        <row r="94">
          <cell r="J94">
            <v>43353</v>
          </cell>
          <cell r="K94">
            <v>97.51</v>
          </cell>
          <cell r="O94">
            <v>43048</v>
          </cell>
          <cell r="P94">
            <v>89.31</v>
          </cell>
        </row>
        <row r="95">
          <cell r="J95">
            <v>43352</v>
          </cell>
          <cell r="K95">
            <v>98.04</v>
          </cell>
          <cell r="O95">
            <v>43047</v>
          </cell>
          <cell r="P95">
            <v>90.24</v>
          </cell>
        </row>
        <row r="96">
          <cell r="J96">
            <v>43351</v>
          </cell>
          <cell r="K96">
            <v>98.04</v>
          </cell>
          <cell r="O96">
            <v>43046</v>
          </cell>
          <cell r="P96">
            <v>90</v>
          </cell>
        </row>
        <row r="97">
          <cell r="J97">
            <v>43350</v>
          </cell>
          <cell r="K97">
            <v>98.04</v>
          </cell>
          <cell r="O97">
            <v>43045</v>
          </cell>
          <cell r="P97">
            <v>88.61</v>
          </cell>
        </row>
        <row r="98">
          <cell r="J98">
            <v>43349</v>
          </cell>
          <cell r="K98">
            <v>96.16</v>
          </cell>
          <cell r="O98">
            <v>43042</v>
          </cell>
          <cell r="P98">
            <v>88.76</v>
          </cell>
        </row>
        <row r="99">
          <cell r="J99">
            <v>43348</v>
          </cell>
          <cell r="K99">
            <v>96.6</v>
          </cell>
          <cell r="O99">
            <v>43041</v>
          </cell>
          <cell r="P99">
            <v>89.45</v>
          </cell>
        </row>
        <row r="100">
          <cell r="J100">
            <v>43347</v>
          </cell>
          <cell r="K100">
            <v>95.78</v>
          </cell>
          <cell r="O100">
            <v>43040</v>
          </cell>
          <cell r="P100">
            <v>87.21</v>
          </cell>
        </row>
        <row r="101">
          <cell r="J101">
            <v>43346</v>
          </cell>
          <cell r="K101">
            <v>99.98</v>
          </cell>
          <cell r="O101">
            <v>43039</v>
          </cell>
          <cell r="P101">
            <v>87.76</v>
          </cell>
        </row>
        <row r="102">
          <cell r="J102">
            <v>43345</v>
          </cell>
          <cell r="K102">
            <v>99.98</v>
          </cell>
          <cell r="O102">
            <v>43038</v>
          </cell>
          <cell r="P102">
            <v>87.76</v>
          </cell>
        </row>
        <row r="103">
          <cell r="J103">
            <v>43344</v>
          </cell>
          <cell r="K103">
            <v>99.98</v>
          </cell>
          <cell r="O103">
            <v>43035</v>
          </cell>
          <cell r="P103">
            <v>87.67</v>
          </cell>
        </row>
        <row r="104">
          <cell r="J104">
            <v>43343</v>
          </cell>
          <cell r="K104">
            <v>99.98</v>
          </cell>
          <cell r="O104">
            <v>43034</v>
          </cell>
          <cell r="P104">
            <v>87.49</v>
          </cell>
        </row>
        <row r="105">
          <cell r="J105">
            <v>43342</v>
          </cell>
          <cell r="K105">
            <v>99.26</v>
          </cell>
          <cell r="O105">
            <v>43033</v>
          </cell>
          <cell r="P105">
            <v>86.93</v>
          </cell>
        </row>
        <row r="106">
          <cell r="J106">
            <v>43341</v>
          </cell>
          <cell r="K106">
            <v>99.96</v>
          </cell>
          <cell r="O106">
            <v>43032</v>
          </cell>
          <cell r="P106">
            <v>86.82</v>
          </cell>
        </row>
        <row r="107">
          <cell r="J107">
            <v>43340</v>
          </cell>
          <cell r="K107">
            <v>98.92</v>
          </cell>
          <cell r="O107">
            <v>43031</v>
          </cell>
          <cell r="P107">
            <v>87.73</v>
          </cell>
        </row>
        <row r="108">
          <cell r="J108">
            <v>43339</v>
          </cell>
          <cell r="K108">
            <v>100.03</v>
          </cell>
          <cell r="O108">
            <v>43028</v>
          </cell>
          <cell r="P108">
            <v>87.76</v>
          </cell>
        </row>
        <row r="109">
          <cell r="J109">
            <v>43338</v>
          </cell>
          <cell r="K109">
            <v>98.76</v>
          </cell>
          <cell r="O109">
            <v>43027</v>
          </cell>
          <cell r="P109">
            <v>87.24</v>
          </cell>
        </row>
        <row r="110">
          <cell r="J110">
            <v>43337</v>
          </cell>
          <cell r="K110">
            <v>98.76</v>
          </cell>
          <cell r="O110">
            <v>43026</v>
          </cell>
          <cell r="P110">
            <v>86.22</v>
          </cell>
        </row>
        <row r="111">
          <cell r="J111">
            <v>43336</v>
          </cell>
          <cell r="K111">
            <v>98.76</v>
          </cell>
          <cell r="O111">
            <v>43025</v>
          </cell>
          <cell r="P111">
            <v>86.03</v>
          </cell>
        </row>
        <row r="112">
          <cell r="J112">
            <v>43335</v>
          </cell>
          <cell r="K112">
            <v>99.09</v>
          </cell>
          <cell r="O112">
            <v>43024</v>
          </cell>
          <cell r="P112">
            <v>85.21</v>
          </cell>
        </row>
        <row r="113">
          <cell r="J113">
            <v>43334</v>
          </cell>
          <cell r="K113">
            <v>101.53</v>
          </cell>
          <cell r="O113">
            <v>43021</v>
          </cell>
          <cell r="P113">
            <v>85.02</v>
          </cell>
        </row>
        <row r="114">
          <cell r="J114">
            <v>43333</v>
          </cell>
          <cell r="K114">
            <v>99.74</v>
          </cell>
          <cell r="O114">
            <v>43020</v>
          </cell>
          <cell r="P114">
            <v>85.1</v>
          </cell>
        </row>
        <row r="115">
          <cell r="J115">
            <v>43332</v>
          </cell>
          <cell r="K115">
            <v>99.03</v>
          </cell>
          <cell r="O115">
            <v>43019</v>
          </cell>
          <cell r="P115">
            <v>84.44</v>
          </cell>
        </row>
        <row r="116">
          <cell r="J116">
            <v>43331</v>
          </cell>
          <cell r="K116">
            <v>101.01</v>
          </cell>
          <cell r="O116">
            <v>43018</v>
          </cell>
          <cell r="P116">
            <v>84.07</v>
          </cell>
        </row>
        <row r="117">
          <cell r="J117">
            <v>43330</v>
          </cell>
          <cell r="K117">
            <v>101.01</v>
          </cell>
          <cell r="O117">
            <v>43017</v>
          </cell>
          <cell r="P117">
            <v>83.21</v>
          </cell>
        </row>
        <row r="118">
          <cell r="J118">
            <v>43329</v>
          </cell>
          <cell r="K118">
            <v>101.01</v>
          </cell>
          <cell r="O118">
            <v>43014</v>
          </cell>
          <cell r="P118">
            <v>82.77</v>
          </cell>
        </row>
        <row r="119">
          <cell r="J119">
            <v>43328</v>
          </cell>
          <cell r="K119">
            <v>100.32</v>
          </cell>
          <cell r="O119">
            <v>43013</v>
          </cell>
          <cell r="P119">
            <v>82.91</v>
          </cell>
        </row>
        <row r="120">
          <cell r="J120">
            <v>43327</v>
          </cell>
          <cell r="K120">
            <v>101.81</v>
          </cell>
          <cell r="O120">
            <v>43012</v>
          </cell>
          <cell r="P120">
            <v>82.51</v>
          </cell>
        </row>
        <row r="121">
          <cell r="J121">
            <v>43326</v>
          </cell>
          <cell r="K121">
            <v>103.14</v>
          </cell>
          <cell r="O121">
            <v>43011</v>
          </cell>
          <cell r="P121">
            <v>81.75</v>
          </cell>
        </row>
        <row r="122">
          <cell r="J122">
            <v>43325</v>
          </cell>
          <cell r="K122">
            <v>102.72</v>
          </cell>
          <cell r="O122">
            <v>43010</v>
          </cell>
          <cell r="P122">
            <v>81.77</v>
          </cell>
        </row>
        <row r="123">
          <cell r="J123">
            <v>43324</v>
          </cell>
          <cell r="K123">
            <v>101.46</v>
          </cell>
          <cell r="O123">
            <v>43007</v>
          </cell>
          <cell r="P123">
            <v>80.91</v>
          </cell>
        </row>
        <row r="124">
          <cell r="J124">
            <v>43323</v>
          </cell>
          <cell r="K124">
            <v>101.46</v>
          </cell>
          <cell r="O124">
            <v>43006</v>
          </cell>
          <cell r="P124">
            <v>81.11</v>
          </cell>
        </row>
        <row r="125">
          <cell r="J125">
            <v>43322</v>
          </cell>
          <cell r="K125">
            <v>101.46</v>
          </cell>
          <cell r="O125">
            <v>43005</v>
          </cell>
          <cell r="P125">
            <v>81</v>
          </cell>
        </row>
        <row r="126">
          <cell r="J126">
            <v>43321</v>
          </cell>
          <cell r="K126">
            <v>102.03</v>
          </cell>
          <cell r="O126">
            <v>43004</v>
          </cell>
          <cell r="P126">
            <v>82.28</v>
          </cell>
        </row>
        <row r="127">
          <cell r="J127">
            <v>43320</v>
          </cell>
          <cell r="K127">
            <v>103.32</v>
          </cell>
          <cell r="O127">
            <v>43003</v>
          </cell>
          <cell r="P127">
            <v>82.48</v>
          </cell>
        </row>
        <row r="128">
          <cell r="J128">
            <v>43319</v>
          </cell>
          <cell r="K128">
            <v>105.72</v>
          </cell>
          <cell r="O128">
            <v>43000</v>
          </cell>
          <cell r="P128">
            <v>82.03</v>
          </cell>
        </row>
        <row r="129">
          <cell r="J129">
            <v>43318</v>
          </cell>
          <cell r="K129">
            <v>97.95</v>
          </cell>
          <cell r="O129">
            <v>42999</v>
          </cell>
          <cell r="P129">
            <v>81.790000000000006</v>
          </cell>
        </row>
        <row r="130">
          <cell r="J130">
            <v>43317</v>
          </cell>
          <cell r="K130">
            <v>99.47</v>
          </cell>
          <cell r="O130">
            <v>42998</v>
          </cell>
          <cell r="P130">
            <v>82.4</v>
          </cell>
        </row>
        <row r="131">
          <cell r="J131">
            <v>43316</v>
          </cell>
          <cell r="K131">
            <v>99.47</v>
          </cell>
          <cell r="O131">
            <v>42997</v>
          </cell>
          <cell r="P131">
            <v>82.32</v>
          </cell>
        </row>
        <row r="132">
          <cell r="J132">
            <v>43315</v>
          </cell>
          <cell r="K132">
            <v>99.47</v>
          </cell>
          <cell r="O132">
            <v>42996</v>
          </cell>
          <cell r="P132">
            <v>82.24</v>
          </cell>
        </row>
        <row r="133">
          <cell r="J133">
            <v>43314</v>
          </cell>
          <cell r="K133">
            <v>102.05</v>
          </cell>
          <cell r="O133">
            <v>42993</v>
          </cell>
          <cell r="P133">
            <v>82.68</v>
          </cell>
        </row>
        <row r="134">
          <cell r="J134">
            <v>43313</v>
          </cell>
          <cell r="K134">
            <v>100.97</v>
          </cell>
          <cell r="O134">
            <v>42992</v>
          </cell>
          <cell r="P134">
            <v>82.27</v>
          </cell>
        </row>
        <row r="135">
          <cell r="J135">
            <v>43312</v>
          </cell>
          <cell r="K135">
            <v>100.56</v>
          </cell>
          <cell r="O135">
            <v>42991</v>
          </cell>
          <cell r="P135">
            <v>81.36</v>
          </cell>
        </row>
        <row r="136">
          <cell r="J136">
            <v>43311</v>
          </cell>
          <cell r="K136">
            <v>99.38</v>
          </cell>
          <cell r="O136">
            <v>42990</v>
          </cell>
          <cell r="P136">
            <v>81.75</v>
          </cell>
        </row>
        <row r="137">
          <cell r="J137">
            <v>43310</v>
          </cell>
          <cell r="K137">
            <v>100.04</v>
          </cell>
          <cell r="O137">
            <v>42989</v>
          </cell>
          <cell r="P137">
            <v>82.92</v>
          </cell>
        </row>
        <row r="138">
          <cell r="J138">
            <v>43309</v>
          </cell>
          <cell r="K138">
            <v>100.04</v>
          </cell>
          <cell r="O138">
            <v>42986</v>
          </cell>
          <cell r="P138">
            <v>81.96</v>
          </cell>
        </row>
        <row r="139">
          <cell r="J139">
            <v>43308</v>
          </cell>
          <cell r="K139">
            <v>100.04</v>
          </cell>
          <cell r="O139">
            <v>42985</v>
          </cell>
          <cell r="P139">
            <v>81.5</v>
          </cell>
        </row>
        <row r="140">
          <cell r="J140">
            <v>43307</v>
          </cell>
          <cell r="K140">
            <v>102.28</v>
          </cell>
          <cell r="O140">
            <v>42984</v>
          </cell>
          <cell r="P140">
            <v>80.849999999999994</v>
          </cell>
        </row>
        <row r="141">
          <cell r="J141">
            <v>43306</v>
          </cell>
          <cell r="K141">
            <v>102.18</v>
          </cell>
          <cell r="O141">
            <v>42983</v>
          </cell>
          <cell r="P141">
            <v>80.819999999999993</v>
          </cell>
        </row>
        <row r="142">
          <cell r="J142">
            <v>43305</v>
          </cell>
          <cell r="K142">
            <v>101</v>
          </cell>
          <cell r="O142">
            <v>42979</v>
          </cell>
          <cell r="P142">
            <v>80.83</v>
          </cell>
        </row>
        <row r="143">
          <cell r="J143">
            <v>43304</v>
          </cell>
          <cell r="K143">
            <v>101.65</v>
          </cell>
          <cell r="O143">
            <v>42978</v>
          </cell>
          <cell r="P143">
            <v>80.900000000000006</v>
          </cell>
        </row>
        <row r="144">
          <cell r="J144">
            <v>43303</v>
          </cell>
          <cell r="K144">
            <v>101.9</v>
          </cell>
          <cell r="O144">
            <v>42977</v>
          </cell>
          <cell r="P144">
            <v>80.849999999999994</v>
          </cell>
        </row>
        <row r="145">
          <cell r="J145">
            <v>43302</v>
          </cell>
          <cell r="K145">
            <v>101.9</v>
          </cell>
          <cell r="O145">
            <v>42976</v>
          </cell>
          <cell r="P145">
            <v>81.36</v>
          </cell>
        </row>
        <row r="146">
          <cell r="J146">
            <v>43301</v>
          </cell>
          <cell r="K146">
            <v>101.9</v>
          </cell>
          <cell r="O146">
            <v>42975</v>
          </cell>
          <cell r="P146">
            <v>82</v>
          </cell>
        </row>
        <row r="147">
          <cell r="J147">
            <v>43300</v>
          </cell>
          <cell r="K147">
            <v>102.87</v>
          </cell>
          <cell r="O147">
            <v>42972</v>
          </cell>
          <cell r="P147">
            <v>81.96</v>
          </cell>
        </row>
        <row r="148">
          <cell r="J148">
            <v>43299</v>
          </cell>
          <cell r="K148">
            <v>102.69</v>
          </cell>
          <cell r="O148">
            <v>42971</v>
          </cell>
          <cell r="P148">
            <v>81.67</v>
          </cell>
        </row>
        <row r="149">
          <cell r="J149">
            <v>43298</v>
          </cell>
          <cell r="K149">
            <v>103.92</v>
          </cell>
          <cell r="O149">
            <v>42970</v>
          </cell>
          <cell r="P149">
            <v>81.8</v>
          </cell>
        </row>
        <row r="150">
          <cell r="J150">
            <v>43297</v>
          </cell>
          <cell r="K150">
            <v>102.73</v>
          </cell>
          <cell r="O150">
            <v>42969</v>
          </cell>
          <cell r="P150">
            <v>82.19</v>
          </cell>
        </row>
        <row r="151">
          <cell r="J151">
            <v>43296</v>
          </cell>
          <cell r="K151">
            <v>103.61</v>
          </cell>
          <cell r="O151">
            <v>42968</v>
          </cell>
          <cell r="P151">
            <v>82.08</v>
          </cell>
        </row>
        <row r="152">
          <cell r="J152">
            <v>43295</v>
          </cell>
          <cell r="K152">
            <v>103.61</v>
          </cell>
          <cell r="O152">
            <v>42965</v>
          </cell>
          <cell r="P152">
            <v>81.44</v>
          </cell>
        </row>
        <row r="153">
          <cell r="J153">
            <v>43294</v>
          </cell>
          <cell r="K153">
            <v>103.61</v>
          </cell>
          <cell r="O153">
            <v>42964</v>
          </cell>
          <cell r="P153">
            <v>81.33</v>
          </cell>
        </row>
        <row r="154">
          <cell r="J154">
            <v>43293</v>
          </cell>
          <cell r="K154">
            <v>103.31</v>
          </cell>
          <cell r="O154">
            <v>42963</v>
          </cell>
          <cell r="P154">
            <v>81.59</v>
          </cell>
        </row>
        <row r="155">
          <cell r="J155">
            <v>43292</v>
          </cell>
          <cell r="K155">
            <v>100.11</v>
          </cell>
          <cell r="O155">
            <v>42962</v>
          </cell>
          <cell r="P155">
            <v>81.760000000000005</v>
          </cell>
        </row>
        <row r="156">
          <cell r="J156">
            <v>43291</v>
          </cell>
          <cell r="K156">
            <v>99.37</v>
          </cell>
          <cell r="O156">
            <v>42961</v>
          </cell>
          <cell r="P156">
            <v>81.33</v>
          </cell>
        </row>
        <row r="157">
          <cell r="J157">
            <v>43290</v>
          </cell>
          <cell r="K157">
            <v>99.55</v>
          </cell>
          <cell r="O157">
            <v>42958</v>
          </cell>
          <cell r="P157">
            <v>80.72</v>
          </cell>
        </row>
        <row r="158">
          <cell r="J158">
            <v>43289</v>
          </cell>
          <cell r="K158">
            <v>98.25</v>
          </cell>
          <cell r="O158">
            <v>42957</v>
          </cell>
          <cell r="P158">
            <v>81.36</v>
          </cell>
        </row>
        <row r="159">
          <cell r="J159">
            <v>43288</v>
          </cell>
          <cell r="K159">
            <v>98.25</v>
          </cell>
          <cell r="O159">
            <v>42956</v>
          </cell>
          <cell r="P159">
            <v>81.680000000000007</v>
          </cell>
        </row>
        <row r="160">
          <cell r="J160">
            <v>43287</v>
          </cell>
          <cell r="K160">
            <v>98.25</v>
          </cell>
          <cell r="O160">
            <v>42955</v>
          </cell>
          <cell r="P160">
            <v>81.31</v>
          </cell>
        </row>
        <row r="161">
          <cell r="J161">
            <v>43286</v>
          </cell>
          <cell r="K161">
            <v>95.5</v>
          </cell>
          <cell r="O161">
            <v>42954</v>
          </cell>
          <cell r="P161">
            <v>81.39</v>
          </cell>
        </row>
        <row r="162">
          <cell r="J162">
            <v>43285</v>
          </cell>
          <cell r="K162">
            <v>94.46</v>
          </cell>
          <cell r="O162">
            <v>42951</v>
          </cell>
          <cell r="P162">
            <v>81.08</v>
          </cell>
        </row>
        <row r="163">
          <cell r="J163">
            <v>43284</v>
          </cell>
          <cell r="K163">
            <v>94.46</v>
          </cell>
          <cell r="O163">
            <v>42950</v>
          </cell>
          <cell r="P163">
            <v>80.650000000000006</v>
          </cell>
        </row>
        <row r="164">
          <cell r="J164">
            <v>43283</v>
          </cell>
          <cell r="K164">
            <v>93.92</v>
          </cell>
          <cell r="O164">
            <v>42949</v>
          </cell>
          <cell r="P164">
            <v>82</v>
          </cell>
        </row>
        <row r="165">
          <cell r="J165">
            <v>43282</v>
          </cell>
          <cell r="K165">
            <v>94.2</v>
          </cell>
          <cell r="O165">
            <v>42948</v>
          </cell>
          <cell r="P165">
            <v>81.38</v>
          </cell>
        </row>
        <row r="166">
          <cell r="J166">
            <v>43281</v>
          </cell>
          <cell r="K166">
            <v>94.2</v>
          </cell>
          <cell r="O166">
            <v>42947</v>
          </cell>
          <cell r="P166">
            <v>81.099999999999994</v>
          </cell>
        </row>
        <row r="167">
          <cell r="J167">
            <v>43280</v>
          </cell>
          <cell r="K167">
            <v>94.2</v>
          </cell>
          <cell r="O167">
            <v>42944</v>
          </cell>
          <cell r="P167">
            <v>81.05</v>
          </cell>
        </row>
        <row r="168">
          <cell r="J168">
            <v>43279</v>
          </cell>
          <cell r="K168">
            <v>91.15</v>
          </cell>
          <cell r="O168">
            <v>42943</v>
          </cell>
          <cell r="P168">
            <v>80.8</v>
          </cell>
        </row>
        <row r="169">
          <cell r="J169">
            <v>43278</v>
          </cell>
          <cell r="K169">
            <v>91.72</v>
          </cell>
          <cell r="O169">
            <v>42942</v>
          </cell>
          <cell r="P169">
            <v>81.349999999999994</v>
          </cell>
        </row>
        <row r="170">
          <cell r="J170">
            <v>43277</v>
          </cell>
          <cell r="K170">
            <v>93.79</v>
          </cell>
          <cell r="O170">
            <v>42941</v>
          </cell>
          <cell r="P170">
            <v>80.760000000000005</v>
          </cell>
        </row>
        <row r="171">
          <cell r="J171">
            <v>43276</v>
          </cell>
          <cell r="K171">
            <v>94.88</v>
          </cell>
          <cell r="O171">
            <v>42940</v>
          </cell>
          <cell r="P171">
            <v>80.930000000000007</v>
          </cell>
        </row>
        <row r="172">
          <cell r="J172">
            <v>43275</v>
          </cell>
          <cell r="K172">
            <v>99.03</v>
          </cell>
          <cell r="O172">
            <v>42937</v>
          </cell>
          <cell r="P172">
            <v>81.92</v>
          </cell>
        </row>
        <row r="173">
          <cell r="J173">
            <v>43274</v>
          </cell>
          <cell r="K173">
            <v>99.03</v>
          </cell>
          <cell r="O173">
            <v>42936</v>
          </cell>
          <cell r="P173">
            <v>81</v>
          </cell>
        </row>
        <row r="174">
          <cell r="J174">
            <v>43273</v>
          </cell>
          <cell r="K174">
            <v>99.03</v>
          </cell>
          <cell r="O174">
            <v>42935</v>
          </cell>
          <cell r="P174">
            <v>80.02</v>
          </cell>
        </row>
        <row r="175">
          <cell r="J175">
            <v>43272</v>
          </cell>
          <cell r="K175">
            <v>98.43</v>
          </cell>
          <cell r="O175">
            <v>42934</v>
          </cell>
          <cell r="P175">
            <v>79.67</v>
          </cell>
        </row>
        <row r="176">
          <cell r="J176">
            <v>43271</v>
          </cell>
          <cell r="K176">
            <v>98.34</v>
          </cell>
          <cell r="O176">
            <v>42933</v>
          </cell>
          <cell r="P176">
            <v>79.319999999999993</v>
          </cell>
        </row>
        <row r="177">
          <cell r="J177">
            <v>43270</v>
          </cell>
          <cell r="K177">
            <v>95.62</v>
          </cell>
          <cell r="O177">
            <v>42930</v>
          </cell>
          <cell r="P177">
            <v>78.64</v>
          </cell>
        </row>
        <row r="178">
          <cell r="J178">
            <v>43269</v>
          </cell>
          <cell r="K178">
            <v>95.58</v>
          </cell>
          <cell r="O178">
            <v>42929</v>
          </cell>
          <cell r="P178">
            <v>77.760000000000005</v>
          </cell>
        </row>
        <row r="179">
          <cell r="J179">
            <v>43268</v>
          </cell>
          <cell r="K179">
            <v>97.6</v>
          </cell>
          <cell r="O179">
            <v>42928</v>
          </cell>
          <cell r="P179">
            <v>78.52</v>
          </cell>
        </row>
        <row r="180">
          <cell r="J180">
            <v>43267</v>
          </cell>
          <cell r="K180">
            <v>97.6</v>
          </cell>
          <cell r="O180">
            <v>42927</v>
          </cell>
          <cell r="P180">
            <v>77.75</v>
          </cell>
        </row>
        <row r="181">
          <cell r="J181">
            <v>43266</v>
          </cell>
          <cell r="K181">
            <v>97.6</v>
          </cell>
          <cell r="O181">
            <v>42926</v>
          </cell>
          <cell r="P181">
            <v>77.87</v>
          </cell>
        </row>
        <row r="182">
          <cell r="J182">
            <v>43265</v>
          </cell>
          <cell r="K182">
            <v>89.98</v>
          </cell>
          <cell r="O182">
            <v>42923</v>
          </cell>
          <cell r="P182">
            <v>77.760000000000005</v>
          </cell>
        </row>
        <row r="183">
          <cell r="J183">
            <v>43264</v>
          </cell>
          <cell r="K183">
            <v>88.97</v>
          </cell>
          <cell r="O183">
            <v>42922</v>
          </cell>
          <cell r="P183">
            <v>77.599999999999994</v>
          </cell>
        </row>
        <row r="184">
          <cell r="J184">
            <v>43263</v>
          </cell>
          <cell r="K184">
            <v>90</v>
          </cell>
          <cell r="O184">
            <v>42921</v>
          </cell>
          <cell r="P184">
            <v>77.91</v>
          </cell>
        </row>
        <row r="185">
          <cell r="J185">
            <v>43262</v>
          </cell>
          <cell r="K185">
            <v>89.79</v>
          </cell>
          <cell r="O185">
            <v>42919</v>
          </cell>
          <cell r="P185">
            <v>78.069999999999993</v>
          </cell>
        </row>
        <row r="186">
          <cell r="J186">
            <v>43261</v>
          </cell>
          <cell r="K186">
            <v>90.64</v>
          </cell>
          <cell r="O186">
            <v>42916</v>
          </cell>
          <cell r="P186">
            <v>77.95</v>
          </cell>
        </row>
        <row r="187">
          <cell r="J187">
            <v>43260</v>
          </cell>
          <cell r="K187">
            <v>90.64</v>
          </cell>
          <cell r="O187">
            <v>42915</v>
          </cell>
          <cell r="P187">
            <v>78.099999999999994</v>
          </cell>
        </row>
        <row r="188">
          <cell r="J188">
            <v>43259</v>
          </cell>
          <cell r="K188">
            <v>90.64</v>
          </cell>
          <cell r="O188">
            <v>42914</v>
          </cell>
          <cell r="P188">
            <v>79.650000000000006</v>
          </cell>
        </row>
        <row r="189">
          <cell r="J189">
            <v>43258</v>
          </cell>
          <cell r="K189">
            <v>91.01</v>
          </cell>
          <cell r="O189">
            <v>42913</v>
          </cell>
          <cell r="P189">
            <v>80.069999999999993</v>
          </cell>
        </row>
        <row r="190">
          <cell r="J190">
            <v>43257</v>
          </cell>
          <cell r="K190">
            <v>92.24</v>
          </cell>
          <cell r="O190">
            <v>42912</v>
          </cell>
          <cell r="P190">
            <v>81.209999999999994</v>
          </cell>
        </row>
        <row r="191">
          <cell r="J191">
            <v>43256</v>
          </cell>
          <cell r="K191">
            <v>92.13</v>
          </cell>
          <cell r="O191">
            <v>42909</v>
          </cell>
          <cell r="P191">
            <v>81.13</v>
          </cell>
        </row>
        <row r="192">
          <cell r="J192">
            <v>43255</v>
          </cell>
          <cell r="K192">
            <v>92.07</v>
          </cell>
          <cell r="O192">
            <v>42908</v>
          </cell>
          <cell r="P192">
            <v>81.099999999999994</v>
          </cell>
        </row>
        <row r="193">
          <cell r="J193">
            <v>43254</v>
          </cell>
          <cell r="K193">
            <v>91.92</v>
          </cell>
          <cell r="O193">
            <v>42907</v>
          </cell>
          <cell r="P193">
            <v>80.709999999999994</v>
          </cell>
        </row>
        <row r="194">
          <cell r="J194">
            <v>43253</v>
          </cell>
          <cell r="K194">
            <v>91.92</v>
          </cell>
          <cell r="O194">
            <v>42906</v>
          </cell>
          <cell r="P194">
            <v>81.290000000000006</v>
          </cell>
        </row>
        <row r="195">
          <cell r="J195">
            <v>43252</v>
          </cell>
          <cell r="K195">
            <v>91.92</v>
          </cell>
          <cell r="O195">
            <v>42905</v>
          </cell>
          <cell r="P195">
            <v>81.33</v>
          </cell>
        </row>
        <row r="196">
          <cell r="J196">
            <v>43251</v>
          </cell>
          <cell r="K196">
            <v>90.34</v>
          </cell>
          <cell r="O196">
            <v>42902</v>
          </cell>
          <cell r="P196">
            <v>82.63</v>
          </cell>
        </row>
        <row r="197">
          <cell r="J197">
            <v>43250</v>
          </cell>
          <cell r="K197">
            <v>90.6</v>
          </cell>
          <cell r="O197">
            <v>42901</v>
          </cell>
          <cell r="P197">
            <v>82.06</v>
          </cell>
        </row>
        <row r="198">
          <cell r="J198">
            <v>43249</v>
          </cell>
          <cell r="K198">
            <v>90.54</v>
          </cell>
          <cell r="O198">
            <v>42900</v>
          </cell>
          <cell r="P198">
            <v>81.319999999999993</v>
          </cell>
        </row>
        <row r="199">
          <cell r="J199">
            <v>43248</v>
          </cell>
          <cell r="K199">
            <v>92.49</v>
          </cell>
          <cell r="O199">
            <v>42899</v>
          </cell>
          <cell r="P199">
            <v>80.180000000000007</v>
          </cell>
        </row>
        <row r="200">
          <cell r="J200">
            <v>43247</v>
          </cell>
          <cell r="K200">
            <v>92.49</v>
          </cell>
          <cell r="O200">
            <v>42898</v>
          </cell>
          <cell r="P200">
            <v>79.7</v>
          </cell>
        </row>
        <row r="201">
          <cell r="J201">
            <v>43246</v>
          </cell>
          <cell r="K201">
            <v>92.49</v>
          </cell>
          <cell r="O201">
            <v>42895</v>
          </cell>
          <cell r="P201">
            <v>79.260000000000005</v>
          </cell>
        </row>
        <row r="202">
          <cell r="J202">
            <v>43245</v>
          </cell>
          <cell r="K202">
            <v>92.49</v>
          </cell>
          <cell r="O202">
            <v>42894</v>
          </cell>
          <cell r="P202">
            <v>78.69</v>
          </cell>
        </row>
        <row r="203">
          <cell r="J203">
            <v>43244</v>
          </cell>
          <cell r="K203">
            <v>88.28</v>
          </cell>
          <cell r="O203">
            <v>42893</v>
          </cell>
          <cell r="P203">
            <v>79.36</v>
          </cell>
        </row>
        <row r="204">
          <cell r="J204">
            <v>43243</v>
          </cell>
          <cell r="K204">
            <v>88.46</v>
          </cell>
          <cell r="O204">
            <v>42892</v>
          </cell>
          <cell r="P204">
            <v>78.75</v>
          </cell>
        </row>
        <row r="205">
          <cell r="J205">
            <v>43242</v>
          </cell>
          <cell r="K205">
            <v>87.61</v>
          </cell>
          <cell r="O205">
            <v>42891</v>
          </cell>
          <cell r="P205">
            <v>78.81</v>
          </cell>
        </row>
        <row r="206">
          <cell r="J206">
            <v>43241</v>
          </cell>
          <cell r="K206">
            <v>89.36</v>
          </cell>
          <cell r="O206">
            <v>42888</v>
          </cell>
          <cell r="P206">
            <v>79</v>
          </cell>
        </row>
        <row r="207">
          <cell r="J207">
            <v>43240</v>
          </cell>
          <cell r="K207">
            <v>88.88</v>
          </cell>
          <cell r="O207">
            <v>42887</v>
          </cell>
          <cell r="P207">
            <v>78.8</v>
          </cell>
        </row>
        <row r="208">
          <cell r="J208">
            <v>43239</v>
          </cell>
          <cell r="K208">
            <v>88.88</v>
          </cell>
          <cell r="O208">
            <v>42886</v>
          </cell>
          <cell r="P208">
            <v>78.180000000000007</v>
          </cell>
        </row>
        <row r="209">
          <cell r="J209">
            <v>43238</v>
          </cell>
          <cell r="K209">
            <v>88.88</v>
          </cell>
          <cell r="O209">
            <v>42885</v>
          </cell>
          <cell r="P209">
            <v>77.77</v>
          </cell>
        </row>
        <row r="210">
          <cell r="J210">
            <v>43237</v>
          </cell>
          <cell r="K210">
            <v>88.43</v>
          </cell>
          <cell r="O210">
            <v>42881</v>
          </cell>
          <cell r="P210">
            <v>77.53</v>
          </cell>
        </row>
        <row r="211">
          <cell r="J211">
            <v>43236</v>
          </cell>
          <cell r="K211">
            <v>89.52</v>
          </cell>
          <cell r="O211">
            <v>42880</v>
          </cell>
          <cell r="P211">
            <v>77.73</v>
          </cell>
        </row>
        <row r="212">
          <cell r="J212">
            <v>43235</v>
          </cell>
          <cell r="K212">
            <v>88.7</v>
          </cell>
          <cell r="O212">
            <v>42879</v>
          </cell>
          <cell r="P212">
            <v>77.040000000000006</v>
          </cell>
        </row>
        <row r="213">
          <cell r="J213">
            <v>43234</v>
          </cell>
          <cell r="K213">
            <v>89.54</v>
          </cell>
          <cell r="O213">
            <v>42878</v>
          </cell>
          <cell r="P213">
            <v>76.569999999999993</v>
          </cell>
        </row>
        <row r="214">
          <cell r="J214">
            <v>43233</v>
          </cell>
          <cell r="K214">
            <v>88.41</v>
          </cell>
          <cell r="O214">
            <v>42877</v>
          </cell>
          <cell r="P214">
            <v>76.37</v>
          </cell>
        </row>
        <row r="215">
          <cell r="J215">
            <v>43232</v>
          </cell>
          <cell r="K215">
            <v>88.41</v>
          </cell>
          <cell r="O215">
            <v>42874</v>
          </cell>
          <cell r="P215">
            <v>75.86</v>
          </cell>
        </row>
        <row r="216">
          <cell r="J216">
            <v>43231</v>
          </cell>
          <cell r="K216">
            <v>88.41</v>
          </cell>
          <cell r="O216">
            <v>42873</v>
          </cell>
          <cell r="P216">
            <v>75.25</v>
          </cell>
        </row>
        <row r="217">
          <cell r="J217">
            <v>43230</v>
          </cell>
          <cell r="K217">
            <v>89.4</v>
          </cell>
          <cell r="O217">
            <v>42872</v>
          </cell>
          <cell r="P217">
            <v>75.55</v>
          </cell>
        </row>
        <row r="218">
          <cell r="J218">
            <v>43229</v>
          </cell>
          <cell r="K218">
            <v>88.45</v>
          </cell>
          <cell r="O218">
            <v>42871</v>
          </cell>
          <cell r="P218">
            <v>75.849999999999994</v>
          </cell>
        </row>
        <row r="219">
          <cell r="J219">
            <v>43228</v>
          </cell>
          <cell r="K219">
            <v>86.81</v>
          </cell>
          <cell r="O219">
            <v>42870</v>
          </cell>
          <cell r="P219">
            <v>76.5</v>
          </cell>
        </row>
        <row r="220">
          <cell r="J220">
            <v>43227</v>
          </cell>
          <cell r="K220">
            <v>86.97</v>
          </cell>
          <cell r="O220">
            <v>42867</v>
          </cell>
          <cell r="P220">
            <v>76.31</v>
          </cell>
        </row>
        <row r="221">
          <cell r="J221">
            <v>43226</v>
          </cell>
          <cell r="K221">
            <v>85.38</v>
          </cell>
          <cell r="O221">
            <v>42866</v>
          </cell>
          <cell r="P221">
            <v>75.72</v>
          </cell>
        </row>
        <row r="222">
          <cell r="J222">
            <v>43225</v>
          </cell>
          <cell r="K222">
            <v>85.38</v>
          </cell>
          <cell r="O222">
            <v>42865</v>
          </cell>
          <cell r="P222">
            <v>75.680000000000007</v>
          </cell>
        </row>
        <row r="223">
          <cell r="J223">
            <v>43224</v>
          </cell>
          <cell r="K223">
            <v>85.38</v>
          </cell>
          <cell r="O223">
            <v>42864</v>
          </cell>
          <cell r="P223">
            <v>75.3</v>
          </cell>
        </row>
        <row r="224">
          <cell r="J224">
            <v>43223</v>
          </cell>
          <cell r="K224">
            <v>82.3</v>
          </cell>
          <cell r="O224">
            <v>42863</v>
          </cell>
          <cell r="P224">
            <v>76.569999999999993</v>
          </cell>
        </row>
        <row r="225">
          <cell r="J225">
            <v>43222</v>
          </cell>
          <cell r="K225">
            <v>82.37</v>
          </cell>
          <cell r="O225">
            <v>42860</v>
          </cell>
          <cell r="P225">
            <v>76.650000000000006</v>
          </cell>
        </row>
        <row r="226">
          <cell r="J226">
            <v>43221</v>
          </cell>
          <cell r="K226">
            <v>86.16</v>
          </cell>
          <cell r="O226">
            <v>42859</v>
          </cell>
          <cell r="P226">
            <v>75.680000000000007</v>
          </cell>
        </row>
        <row r="227">
          <cell r="J227">
            <v>43220</v>
          </cell>
          <cell r="K227">
            <v>83.51</v>
          </cell>
          <cell r="O227">
            <v>42858</v>
          </cell>
          <cell r="P227">
            <v>77.7</v>
          </cell>
        </row>
        <row r="228">
          <cell r="J228">
            <v>43219</v>
          </cell>
          <cell r="K228">
            <v>84.31</v>
          </cell>
          <cell r="O228">
            <v>42857</v>
          </cell>
          <cell r="P228">
            <v>79.11</v>
          </cell>
        </row>
        <row r="229">
          <cell r="J229">
            <v>43218</v>
          </cell>
          <cell r="K229">
            <v>84.31</v>
          </cell>
          <cell r="O229">
            <v>42856</v>
          </cell>
          <cell r="P229">
            <v>78.989999999999995</v>
          </cell>
        </row>
        <row r="230">
          <cell r="J230">
            <v>43217</v>
          </cell>
          <cell r="K230">
            <v>84.31</v>
          </cell>
          <cell r="O230">
            <v>42853</v>
          </cell>
          <cell r="P230">
            <v>79.760000000000005</v>
          </cell>
        </row>
        <row r="231">
          <cell r="J231">
            <v>43216</v>
          </cell>
          <cell r="K231">
            <v>82.51</v>
          </cell>
          <cell r="O231">
            <v>42852</v>
          </cell>
          <cell r="P231">
            <v>80.41</v>
          </cell>
        </row>
        <row r="232">
          <cell r="J232">
            <v>43215</v>
          </cell>
          <cell r="K232">
            <v>81.53</v>
          </cell>
          <cell r="O232">
            <v>42851</v>
          </cell>
          <cell r="P232">
            <v>80.23</v>
          </cell>
        </row>
        <row r="233">
          <cell r="J233">
            <v>43214</v>
          </cell>
          <cell r="K233">
            <v>81.13</v>
          </cell>
          <cell r="O233">
            <v>42850</v>
          </cell>
          <cell r="P233">
            <v>80.97</v>
          </cell>
        </row>
        <row r="234">
          <cell r="J234">
            <v>43213</v>
          </cell>
          <cell r="K234">
            <v>82.08</v>
          </cell>
          <cell r="O234">
            <v>42849</v>
          </cell>
          <cell r="P234">
            <v>80.77</v>
          </cell>
        </row>
        <row r="235">
          <cell r="J235">
            <v>43212</v>
          </cell>
          <cell r="K235">
            <v>82.3</v>
          </cell>
          <cell r="O235">
            <v>42846</v>
          </cell>
          <cell r="P235">
            <v>80.510000000000005</v>
          </cell>
        </row>
        <row r="236">
          <cell r="J236">
            <v>43211</v>
          </cell>
          <cell r="K236">
            <v>82.3</v>
          </cell>
          <cell r="O236">
            <v>42845</v>
          </cell>
          <cell r="P236">
            <v>79.17</v>
          </cell>
        </row>
        <row r="237">
          <cell r="J237">
            <v>43210</v>
          </cell>
          <cell r="K237">
            <v>82.3</v>
          </cell>
          <cell r="O237">
            <v>42844</v>
          </cell>
          <cell r="P237">
            <v>79.319999999999993</v>
          </cell>
        </row>
        <row r="238">
          <cell r="J238">
            <v>43209</v>
          </cell>
          <cell r="K238">
            <v>83.62</v>
          </cell>
          <cell r="O238">
            <v>42843</v>
          </cell>
          <cell r="P238">
            <v>79.5</v>
          </cell>
        </row>
        <row r="239">
          <cell r="J239">
            <v>43208</v>
          </cell>
          <cell r="K239">
            <v>84.42</v>
          </cell>
          <cell r="O239">
            <v>42842</v>
          </cell>
          <cell r="P239">
            <v>79.16</v>
          </cell>
        </row>
        <row r="240">
          <cell r="J240">
            <v>43207</v>
          </cell>
          <cell r="K240">
            <v>84.45</v>
          </cell>
          <cell r="O240">
            <v>42838</v>
          </cell>
          <cell r="P240">
            <v>78.569999999999993</v>
          </cell>
        </row>
        <row r="241">
          <cell r="J241">
            <v>43206</v>
          </cell>
          <cell r="K241">
            <v>82.69</v>
          </cell>
          <cell r="O241">
            <v>42837</v>
          </cell>
          <cell r="P241">
            <v>78.819999999999993</v>
          </cell>
        </row>
        <row r="242">
          <cell r="J242">
            <v>43205</v>
          </cell>
          <cell r="K242">
            <v>83.59</v>
          </cell>
          <cell r="O242">
            <v>42836</v>
          </cell>
          <cell r="P242">
            <v>78.3</v>
          </cell>
        </row>
        <row r="243">
          <cell r="J243">
            <v>43204</v>
          </cell>
          <cell r="K243">
            <v>83.59</v>
          </cell>
          <cell r="O243">
            <v>42835</v>
          </cell>
          <cell r="P243">
            <v>78.02</v>
          </cell>
        </row>
        <row r="244">
          <cell r="J244">
            <v>43203</v>
          </cell>
          <cell r="K244">
            <v>83.59</v>
          </cell>
          <cell r="O244">
            <v>42832</v>
          </cell>
          <cell r="P244">
            <v>77.900000000000006</v>
          </cell>
        </row>
        <row r="245">
          <cell r="J245">
            <v>43202</v>
          </cell>
          <cell r="K245">
            <v>83.89</v>
          </cell>
          <cell r="O245">
            <v>42831</v>
          </cell>
          <cell r="P245">
            <v>77.94</v>
          </cell>
        </row>
        <row r="246">
          <cell r="J246">
            <v>43201</v>
          </cell>
          <cell r="K246">
            <v>79.48</v>
          </cell>
          <cell r="O246">
            <v>42830</v>
          </cell>
          <cell r="P246">
            <v>78.290000000000006</v>
          </cell>
        </row>
        <row r="247">
          <cell r="J247">
            <v>43200</v>
          </cell>
          <cell r="K247">
            <v>79.83</v>
          </cell>
          <cell r="O247">
            <v>42829</v>
          </cell>
          <cell r="P247">
            <v>77.72</v>
          </cell>
        </row>
        <row r="248">
          <cell r="J248">
            <v>43199</v>
          </cell>
          <cell r="K248">
            <v>78.650000000000006</v>
          </cell>
          <cell r="O248">
            <v>42828</v>
          </cell>
          <cell r="P248">
            <v>77.14</v>
          </cell>
        </row>
        <row r="249">
          <cell r="J249">
            <v>43198</v>
          </cell>
          <cell r="K249">
            <v>76.010000000000005</v>
          </cell>
          <cell r="O249">
            <v>42825</v>
          </cell>
          <cell r="P249">
            <v>77.77</v>
          </cell>
        </row>
        <row r="250">
          <cell r="J250">
            <v>43197</v>
          </cell>
          <cell r="K250">
            <v>76.010000000000005</v>
          </cell>
          <cell r="O250">
            <v>42824</v>
          </cell>
          <cell r="P250">
            <v>77</v>
          </cell>
        </row>
        <row r="251">
          <cell r="J251">
            <v>43196</v>
          </cell>
          <cell r="K251">
            <v>76.010000000000005</v>
          </cell>
          <cell r="O251">
            <v>42823</v>
          </cell>
          <cell r="P251">
            <v>77.17</v>
          </cell>
        </row>
        <row r="252">
          <cell r="J252">
            <v>43195</v>
          </cell>
          <cell r="K252">
            <v>78.7</v>
          </cell>
          <cell r="O252">
            <v>42822</v>
          </cell>
          <cell r="P252">
            <v>77.19</v>
          </cell>
        </row>
        <row r="253">
          <cell r="J253">
            <v>43194</v>
          </cell>
          <cell r="K253">
            <v>79.14</v>
          </cell>
          <cell r="O253">
            <v>42821</v>
          </cell>
          <cell r="P253">
            <v>76.84</v>
          </cell>
        </row>
        <row r="254">
          <cell r="J254">
            <v>43193</v>
          </cell>
          <cell r="K254">
            <v>77.42</v>
          </cell>
          <cell r="O254">
            <v>42818</v>
          </cell>
          <cell r="P254">
            <v>77.09</v>
          </cell>
        </row>
        <row r="255">
          <cell r="J255">
            <v>43192</v>
          </cell>
          <cell r="K255">
            <v>77.290000000000006</v>
          </cell>
          <cell r="O255">
            <v>42817</v>
          </cell>
          <cell r="P255">
            <v>76.489999999999995</v>
          </cell>
        </row>
        <row r="256">
          <cell r="J256">
            <v>43191</v>
          </cell>
          <cell r="K256">
            <v>81.069999999999993</v>
          </cell>
          <cell r="O256">
            <v>42816</v>
          </cell>
          <cell r="P256">
            <v>77.16</v>
          </cell>
        </row>
        <row r="257">
          <cell r="J257">
            <v>43190</v>
          </cell>
          <cell r="K257">
            <v>81.069999999999993</v>
          </cell>
          <cell r="O257">
            <v>42815</v>
          </cell>
          <cell r="P257">
            <v>76.489999999999995</v>
          </cell>
        </row>
        <row r="258">
          <cell r="J258">
            <v>43189</v>
          </cell>
          <cell r="K258">
            <v>81.069999999999993</v>
          </cell>
          <cell r="O258">
            <v>42814</v>
          </cell>
          <cell r="P258">
            <v>75.930000000000007</v>
          </cell>
        </row>
        <row r="259">
          <cell r="J259">
            <v>43188</v>
          </cell>
          <cell r="K259">
            <v>81.069999999999993</v>
          </cell>
          <cell r="O259">
            <v>42811</v>
          </cell>
          <cell r="P259">
            <v>76.2</v>
          </cell>
        </row>
        <row r="260">
          <cell r="J260">
            <v>43187</v>
          </cell>
          <cell r="K260">
            <v>79.62</v>
          </cell>
          <cell r="O260">
            <v>42810</v>
          </cell>
          <cell r="P260">
            <v>75.739999999999995</v>
          </cell>
        </row>
        <row r="261">
          <cell r="J261">
            <v>43186</v>
          </cell>
          <cell r="K261">
            <v>78.040000000000006</v>
          </cell>
          <cell r="O261">
            <v>42809</v>
          </cell>
          <cell r="P261">
            <v>77.22</v>
          </cell>
        </row>
        <row r="262">
          <cell r="J262">
            <v>43185</v>
          </cell>
          <cell r="K262">
            <v>80.3</v>
          </cell>
          <cell r="O262">
            <v>42808</v>
          </cell>
          <cell r="P262">
            <v>76.010000000000005</v>
          </cell>
        </row>
        <row r="263">
          <cell r="J263">
            <v>43184</v>
          </cell>
          <cell r="K263">
            <v>78.84</v>
          </cell>
          <cell r="O263">
            <v>42807</v>
          </cell>
          <cell r="P263">
            <v>76.09</v>
          </cell>
        </row>
        <row r="264">
          <cell r="J264">
            <v>43183</v>
          </cell>
          <cell r="K264">
            <v>78.84</v>
          </cell>
          <cell r="O264">
            <v>42804</v>
          </cell>
          <cell r="P264">
            <v>75.92</v>
          </cell>
        </row>
        <row r="265">
          <cell r="J265">
            <v>43182</v>
          </cell>
          <cell r="K265">
            <v>78.84</v>
          </cell>
          <cell r="O265">
            <v>42803</v>
          </cell>
          <cell r="P265">
            <v>75.28</v>
          </cell>
        </row>
        <row r="266">
          <cell r="J266">
            <v>43181</v>
          </cell>
          <cell r="K266">
            <v>81.36</v>
          </cell>
          <cell r="O266">
            <v>42802</v>
          </cell>
          <cell r="P266">
            <v>75.47</v>
          </cell>
        </row>
        <row r="267">
          <cell r="J267">
            <v>43180</v>
          </cell>
          <cell r="K267">
            <v>86.07</v>
          </cell>
          <cell r="O267">
            <v>42801</v>
          </cell>
          <cell r="P267">
            <v>76.89</v>
          </cell>
        </row>
        <row r="268">
          <cell r="J268">
            <v>43179</v>
          </cell>
          <cell r="K268">
            <v>84.25</v>
          </cell>
          <cell r="O268">
            <v>42800</v>
          </cell>
          <cell r="P268">
            <v>77.3</v>
          </cell>
        </row>
        <row r="269">
          <cell r="J269">
            <v>43178</v>
          </cell>
          <cell r="K269">
            <v>83.82</v>
          </cell>
          <cell r="O269">
            <v>42797</v>
          </cell>
          <cell r="P269">
            <v>77.34</v>
          </cell>
        </row>
        <row r="270">
          <cell r="J270">
            <v>43177</v>
          </cell>
          <cell r="K270">
            <v>84.1</v>
          </cell>
          <cell r="O270">
            <v>42796</v>
          </cell>
          <cell r="P270">
            <v>77.84</v>
          </cell>
        </row>
        <row r="271">
          <cell r="J271">
            <v>43176</v>
          </cell>
          <cell r="K271">
            <v>84.1</v>
          </cell>
          <cell r="O271">
            <v>42795</v>
          </cell>
          <cell r="P271">
            <v>77.66</v>
          </cell>
        </row>
        <row r="272">
          <cell r="J272">
            <v>43175</v>
          </cell>
          <cell r="K272">
            <v>84.1</v>
          </cell>
          <cell r="O272">
            <v>42794</v>
          </cell>
          <cell r="P272">
            <v>78</v>
          </cell>
        </row>
        <row r="273">
          <cell r="J273">
            <v>43174</v>
          </cell>
          <cell r="K273">
            <v>83.57</v>
          </cell>
          <cell r="O273">
            <v>42793</v>
          </cell>
          <cell r="P273">
            <v>76.45</v>
          </cell>
        </row>
        <row r="274">
          <cell r="J274">
            <v>43173</v>
          </cell>
          <cell r="K274">
            <v>85.95</v>
          </cell>
          <cell r="O274">
            <v>42790</v>
          </cell>
          <cell r="P274">
            <v>76.3</v>
          </cell>
        </row>
        <row r="275">
          <cell r="J275">
            <v>43172</v>
          </cell>
          <cell r="K275">
            <v>86.16</v>
          </cell>
          <cell r="O275">
            <v>42789</v>
          </cell>
          <cell r="P275">
            <v>75.569999999999993</v>
          </cell>
        </row>
        <row r="276">
          <cell r="J276">
            <v>43171</v>
          </cell>
          <cell r="K276">
            <v>85.46</v>
          </cell>
          <cell r="O276">
            <v>42788</v>
          </cell>
          <cell r="P276">
            <v>74.92</v>
          </cell>
        </row>
        <row r="277">
          <cell r="J277">
            <v>43170</v>
          </cell>
          <cell r="K277">
            <v>83.81</v>
          </cell>
          <cell r="O277">
            <v>42787</v>
          </cell>
          <cell r="P277">
            <v>74.38</v>
          </cell>
        </row>
        <row r="278">
          <cell r="J278">
            <v>43169</v>
          </cell>
          <cell r="K278">
            <v>83.81</v>
          </cell>
          <cell r="O278">
            <v>42783</v>
          </cell>
          <cell r="P278">
            <v>73.81</v>
          </cell>
        </row>
        <row r="279">
          <cell r="J279">
            <v>43168</v>
          </cell>
          <cell r="K279">
            <v>83.81</v>
          </cell>
          <cell r="O279">
            <v>42782</v>
          </cell>
          <cell r="P279">
            <v>73.44</v>
          </cell>
        </row>
        <row r="280">
          <cell r="J280">
            <v>43167</v>
          </cell>
          <cell r="K280">
            <v>81.849999999999994</v>
          </cell>
          <cell r="O280">
            <v>42781</v>
          </cell>
          <cell r="P280">
            <v>73.010000000000005</v>
          </cell>
        </row>
        <row r="281">
          <cell r="J281">
            <v>43166</v>
          </cell>
          <cell r="K281">
            <v>82.98</v>
          </cell>
          <cell r="O281">
            <v>42780</v>
          </cell>
          <cell r="P281">
            <v>72.81</v>
          </cell>
        </row>
        <row r="282">
          <cell r="J282">
            <v>43165</v>
          </cell>
          <cell r="K282">
            <v>82.37</v>
          </cell>
          <cell r="O282">
            <v>42779</v>
          </cell>
          <cell r="P282">
            <v>73.22</v>
          </cell>
        </row>
        <row r="283">
          <cell r="J283">
            <v>43164</v>
          </cell>
          <cell r="K283">
            <v>80.790000000000006</v>
          </cell>
        </row>
        <row r="284">
          <cell r="J284">
            <v>43163</v>
          </cell>
          <cell r="K284">
            <v>79.86</v>
          </cell>
        </row>
        <row r="285">
          <cell r="J285">
            <v>43162</v>
          </cell>
          <cell r="K285">
            <v>79.86</v>
          </cell>
        </row>
        <row r="286">
          <cell r="J286">
            <v>43161</v>
          </cell>
          <cell r="K286">
            <v>79.86</v>
          </cell>
        </row>
        <row r="287">
          <cell r="J287">
            <v>43160</v>
          </cell>
          <cell r="K287">
            <v>77.67</v>
          </cell>
        </row>
        <row r="288">
          <cell r="J288">
            <v>43159</v>
          </cell>
          <cell r="K288">
            <v>81.17</v>
          </cell>
        </row>
        <row r="289">
          <cell r="J289">
            <v>43158</v>
          </cell>
          <cell r="K289">
            <v>83.01</v>
          </cell>
        </row>
        <row r="290">
          <cell r="J290">
            <v>43157</v>
          </cell>
          <cell r="K290">
            <v>84.04</v>
          </cell>
        </row>
        <row r="291">
          <cell r="J291">
            <v>43156</v>
          </cell>
          <cell r="K291">
            <v>83.05</v>
          </cell>
        </row>
        <row r="292">
          <cell r="J292">
            <v>43155</v>
          </cell>
          <cell r="K292">
            <v>83.05</v>
          </cell>
        </row>
        <row r="293">
          <cell r="J293">
            <v>43154</v>
          </cell>
          <cell r="K293">
            <v>83.05</v>
          </cell>
        </row>
        <row r="294">
          <cell r="J294">
            <v>43153</v>
          </cell>
          <cell r="K294">
            <v>84</v>
          </cell>
        </row>
        <row r="295">
          <cell r="J295">
            <v>43152</v>
          </cell>
          <cell r="K295">
            <v>84.21</v>
          </cell>
        </row>
        <row r="296">
          <cell r="J296">
            <v>43151</v>
          </cell>
          <cell r="K296">
            <v>83.85</v>
          </cell>
        </row>
        <row r="297">
          <cell r="J297">
            <v>43150</v>
          </cell>
          <cell r="K297">
            <v>84.98</v>
          </cell>
        </row>
        <row r="298">
          <cell r="J298">
            <v>43149</v>
          </cell>
          <cell r="K298">
            <v>84.98</v>
          </cell>
        </row>
        <row r="299">
          <cell r="J299">
            <v>43148</v>
          </cell>
          <cell r="K299">
            <v>84.98</v>
          </cell>
        </row>
        <row r="300">
          <cell r="J300">
            <v>43147</v>
          </cell>
          <cell r="K300">
            <v>84.98</v>
          </cell>
        </row>
        <row r="301">
          <cell r="J301">
            <v>43146</v>
          </cell>
          <cell r="K301">
            <v>85.12</v>
          </cell>
        </row>
        <row r="302">
          <cell r="J302">
            <v>43145</v>
          </cell>
          <cell r="K302">
            <v>84.54</v>
          </cell>
        </row>
        <row r="303">
          <cell r="J303">
            <v>43144</v>
          </cell>
          <cell r="K303">
            <v>81.569999999999993</v>
          </cell>
        </row>
        <row r="304">
          <cell r="J304">
            <v>43143</v>
          </cell>
          <cell r="K304">
            <v>83.28</v>
          </cell>
        </row>
        <row r="305">
          <cell r="J305">
            <v>43142</v>
          </cell>
          <cell r="K305">
            <v>80.33</v>
          </cell>
        </row>
        <row r="306">
          <cell r="J306">
            <v>43141</v>
          </cell>
          <cell r="K306">
            <v>80.33</v>
          </cell>
        </row>
        <row r="307">
          <cell r="J307">
            <v>43140</v>
          </cell>
          <cell r="K307">
            <v>80.33</v>
          </cell>
        </row>
        <row r="308">
          <cell r="J308">
            <v>43139</v>
          </cell>
          <cell r="K308">
            <v>82.16</v>
          </cell>
        </row>
        <row r="309">
          <cell r="J309">
            <v>43138</v>
          </cell>
          <cell r="K309">
            <v>85</v>
          </cell>
        </row>
        <row r="310">
          <cell r="J310">
            <v>43137</v>
          </cell>
          <cell r="K310">
            <v>86.93</v>
          </cell>
        </row>
        <row r="311">
          <cell r="J311">
            <v>43136</v>
          </cell>
          <cell r="K311">
            <v>87.41</v>
          </cell>
        </row>
        <row r="312">
          <cell r="J312">
            <v>43135</v>
          </cell>
          <cell r="K312">
            <v>90.82</v>
          </cell>
        </row>
        <row r="313">
          <cell r="J313">
            <v>43134</v>
          </cell>
          <cell r="K313">
            <v>90.82</v>
          </cell>
        </row>
        <row r="314">
          <cell r="J314">
            <v>43133</v>
          </cell>
          <cell r="K314">
            <v>90.82</v>
          </cell>
        </row>
        <row r="315">
          <cell r="J315">
            <v>43132</v>
          </cell>
          <cell r="K315">
            <v>92.63</v>
          </cell>
        </row>
        <row r="316">
          <cell r="J316">
            <v>43131</v>
          </cell>
          <cell r="K316">
            <v>90.23</v>
          </cell>
        </row>
        <row r="317">
          <cell r="J317">
            <v>43130</v>
          </cell>
          <cell r="K317">
            <v>90.13</v>
          </cell>
        </row>
        <row r="318">
          <cell r="J318">
            <v>43129</v>
          </cell>
          <cell r="K318">
            <v>92.23</v>
          </cell>
        </row>
        <row r="319">
          <cell r="J319">
            <v>43128</v>
          </cell>
          <cell r="K319">
            <v>91.6</v>
          </cell>
        </row>
        <row r="320">
          <cell r="J320">
            <v>43127</v>
          </cell>
          <cell r="K320">
            <v>91.6</v>
          </cell>
        </row>
        <row r="321">
          <cell r="J321">
            <v>43126</v>
          </cell>
          <cell r="K321">
            <v>91.6</v>
          </cell>
        </row>
        <row r="322">
          <cell r="J322">
            <v>43125</v>
          </cell>
          <cell r="K322">
            <v>90.56</v>
          </cell>
        </row>
        <row r="323">
          <cell r="J323">
            <v>43124</v>
          </cell>
          <cell r="K323">
            <v>91.29</v>
          </cell>
        </row>
        <row r="324">
          <cell r="J324">
            <v>43123</v>
          </cell>
          <cell r="K324">
            <v>92.39</v>
          </cell>
        </row>
        <row r="325">
          <cell r="J325">
            <v>43122</v>
          </cell>
          <cell r="K325">
            <v>91.71</v>
          </cell>
        </row>
        <row r="326">
          <cell r="J326">
            <v>43121</v>
          </cell>
          <cell r="K326">
            <v>89.12</v>
          </cell>
        </row>
        <row r="327">
          <cell r="J327">
            <v>43120</v>
          </cell>
          <cell r="K327">
            <v>89.12</v>
          </cell>
        </row>
        <row r="328">
          <cell r="J328">
            <v>43119</v>
          </cell>
          <cell r="K328">
            <v>89.12</v>
          </cell>
        </row>
        <row r="329">
          <cell r="J329">
            <v>43118</v>
          </cell>
          <cell r="K329">
            <v>89.78</v>
          </cell>
        </row>
        <row r="330">
          <cell r="J330">
            <v>43117</v>
          </cell>
          <cell r="K330">
            <v>89.64</v>
          </cell>
        </row>
        <row r="331">
          <cell r="J331">
            <v>43116</v>
          </cell>
          <cell r="K331">
            <v>90.24</v>
          </cell>
        </row>
        <row r="332">
          <cell r="J332">
            <v>43115</v>
          </cell>
          <cell r="K332">
            <v>90.22</v>
          </cell>
        </row>
        <row r="333">
          <cell r="J333">
            <v>43114</v>
          </cell>
          <cell r="K333">
            <v>90.22</v>
          </cell>
        </row>
        <row r="334">
          <cell r="J334">
            <v>43113</v>
          </cell>
          <cell r="K334">
            <v>90.22</v>
          </cell>
        </row>
        <row r="335">
          <cell r="J335">
            <v>43112</v>
          </cell>
          <cell r="K335">
            <v>90.22</v>
          </cell>
        </row>
        <row r="336">
          <cell r="J336">
            <v>43111</v>
          </cell>
          <cell r="K336">
            <v>89.98</v>
          </cell>
        </row>
        <row r="337">
          <cell r="J337">
            <v>43110</v>
          </cell>
          <cell r="K337">
            <v>88.37</v>
          </cell>
        </row>
        <row r="338">
          <cell r="J338">
            <v>43109</v>
          </cell>
          <cell r="K338">
            <v>89.14</v>
          </cell>
        </row>
        <row r="339">
          <cell r="J339">
            <v>43108</v>
          </cell>
          <cell r="K339">
            <v>88.635000000000005</v>
          </cell>
        </row>
        <row r="340">
          <cell r="J340">
            <v>43107</v>
          </cell>
          <cell r="K340">
            <v>90.27</v>
          </cell>
        </row>
        <row r="341">
          <cell r="J341">
            <v>43106</v>
          </cell>
          <cell r="K341">
            <v>90.27</v>
          </cell>
        </row>
        <row r="342">
          <cell r="J342">
            <v>43105</v>
          </cell>
          <cell r="K342">
            <v>90.27</v>
          </cell>
        </row>
        <row r="343">
          <cell r="J343">
            <v>43104</v>
          </cell>
          <cell r="K343">
            <v>90.32</v>
          </cell>
        </row>
        <row r="344">
          <cell r="J344">
            <v>43103</v>
          </cell>
          <cell r="K344">
            <v>92.08</v>
          </cell>
        </row>
        <row r="345">
          <cell r="J345">
            <v>43102</v>
          </cell>
          <cell r="K345">
            <v>91.03</v>
          </cell>
        </row>
        <row r="346">
          <cell r="J346">
            <v>43101</v>
          </cell>
          <cell r="K346">
            <v>89.17</v>
          </cell>
        </row>
        <row r="347">
          <cell r="J347">
            <v>43100</v>
          </cell>
          <cell r="K347">
            <v>89.17</v>
          </cell>
        </row>
        <row r="348">
          <cell r="J348">
            <v>43099</v>
          </cell>
          <cell r="K348">
            <v>89.17</v>
          </cell>
        </row>
        <row r="349">
          <cell r="J349">
            <v>43098</v>
          </cell>
          <cell r="K349">
            <v>89.17</v>
          </cell>
        </row>
        <row r="350">
          <cell r="J350">
            <v>43097</v>
          </cell>
          <cell r="K350">
            <v>90.48</v>
          </cell>
        </row>
        <row r="351">
          <cell r="J351">
            <v>43096</v>
          </cell>
          <cell r="K351">
            <v>90.72</v>
          </cell>
        </row>
        <row r="352">
          <cell r="J352">
            <v>43095</v>
          </cell>
          <cell r="K352">
            <v>90.82</v>
          </cell>
        </row>
        <row r="353">
          <cell r="J353">
            <v>43094</v>
          </cell>
          <cell r="K353">
            <v>90.46</v>
          </cell>
        </row>
        <row r="354">
          <cell r="J354">
            <v>43093</v>
          </cell>
          <cell r="K354">
            <v>90.46</v>
          </cell>
        </row>
        <row r="355">
          <cell r="J355">
            <v>43092</v>
          </cell>
          <cell r="K355">
            <v>90.46</v>
          </cell>
        </row>
        <row r="356">
          <cell r="J356">
            <v>43091</v>
          </cell>
          <cell r="K356">
            <v>90.46</v>
          </cell>
        </row>
        <row r="357">
          <cell r="J357">
            <v>43090</v>
          </cell>
          <cell r="K357">
            <v>91.55</v>
          </cell>
        </row>
        <row r="358">
          <cell r="J358">
            <v>43089</v>
          </cell>
          <cell r="K358">
            <v>91.11</v>
          </cell>
        </row>
        <row r="359">
          <cell r="J359">
            <v>43088</v>
          </cell>
          <cell r="K359">
            <v>90.85</v>
          </cell>
        </row>
        <row r="360">
          <cell r="J360">
            <v>43087</v>
          </cell>
          <cell r="K360">
            <v>92.6</v>
          </cell>
        </row>
        <row r="361">
          <cell r="J361">
            <v>43086</v>
          </cell>
          <cell r="K361">
            <v>93.02</v>
          </cell>
        </row>
        <row r="362">
          <cell r="J362">
            <v>43085</v>
          </cell>
          <cell r="K362">
            <v>93.02</v>
          </cell>
        </row>
        <row r="363">
          <cell r="J363">
            <v>43084</v>
          </cell>
          <cell r="K363">
            <v>93.02</v>
          </cell>
        </row>
        <row r="364">
          <cell r="J364">
            <v>43083</v>
          </cell>
          <cell r="K364">
            <v>88.53</v>
          </cell>
        </row>
        <row r="365">
          <cell r="J365">
            <v>43082</v>
          </cell>
          <cell r="K365">
            <v>88.66</v>
          </cell>
        </row>
        <row r="366">
          <cell r="J366">
            <v>43081</v>
          </cell>
          <cell r="K366">
            <v>87.38</v>
          </cell>
        </row>
        <row r="367">
          <cell r="J367">
            <v>43080</v>
          </cell>
          <cell r="K367">
            <v>88.11</v>
          </cell>
        </row>
        <row r="368">
          <cell r="J368">
            <v>43079</v>
          </cell>
          <cell r="K368">
            <v>81.99</v>
          </cell>
        </row>
        <row r="369">
          <cell r="J369">
            <v>43078</v>
          </cell>
          <cell r="K369">
            <v>81.99</v>
          </cell>
        </row>
        <row r="370">
          <cell r="J370">
            <v>43077</v>
          </cell>
          <cell r="K370">
            <v>81.99</v>
          </cell>
        </row>
        <row r="371">
          <cell r="J371">
            <v>43076</v>
          </cell>
          <cell r="K371">
            <v>80.900000000000006</v>
          </cell>
        </row>
        <row r="372">
          <cell r="J372">
            <v>43075</v>
          </cell>
          <cell r="K372">
            <v>80.819999999999993</v>
          </cell>
        </row>
        <row r="373">
          <cell r="J373">
            <v>43074</v>
          </cell>
          <cell r="K373">
            <v>80.760000000000005</v>
          </cell>
        </row>
        <row r="374">
          <cell r="J374">
            <v>43073</v>
          </cell>
          <cell r="K374">
            <v>83.62</v>
          </cell>
        </row>
        <row r="375">
          <cell r="J375">
            <v>43072</v>
          </cell>
          <cell r="K375">
            <v>85</v>
          </cell>
        </row>
        <row r="376">
          <cell r="J376">
            <v>43071</v>
          </cell>
          <cell r="K376">
            <v>85</v>
          </cell>
        </row>
        <row r="377">
          <cell r="J377">
            <v>43070</v>
          </cell>
          <cell r="K377">
            <v>85</v>
          </cell>
        </row>
        <row r="378">
          <cell r="J378">
            <v>43069</v>
          </cell>
          <cell r="K378">
            <v>85.8</v>
          </cell>
        </row>
        <row r="379">
          <cell r="J379">
            <v>43068</v>
          </cell>
          <cell r="K379">
            <v>83.27</v>
          </cell>
        </row>
        <row r="380">
          <cell r="J380">
            <v>43067</v>
          </cell>
          <cell r="K380">
            <v>82.56</v>
          </cell>
        </row>
        <row r="381">
          <cell r="J381">
            <v>43066</v>
          </cell>
          <cell r="K381">
            <v>82.96</v>
          </cell>
        </row>
        <row r="382">
          <cell r="J382">
            <v>43065</v>
          </cell>
          <cell r="K382">
            <v>82.71</v>
          </cell>
        </row>
        <row r="383">
          <cell r="J383">
            <v>43064</v>
          </cell>
          <cell r="K383">
            <v>82.71</v>
          </cell>
        </row>
        <row r="384">
          <cell r="J384">
            <v>43063</v>
          </cell>
          <cell r="K384">
            <v>82.71</v>
          </cell>
        </row>
        <row r="385">
          <cell r="J385">
            <v>43062</v>
          </cell>
          <cell r="K385">
            <v>82.99</v>
          </cell>
        </row>
        <row r="386">
          <cell r="J386">
            <v>43061</v>
          </cell>
          <cell r="K386">
            <v>82.99</v>
          </cell>
        </row>
        <row r="387">
          <cell r="J387">
            <v>43060</v>
          </cell>
          <cell r="K387">
            <v>82.91</v>
          </cell>
        </row>
        <row r="388">
          <cell r="J388">
            <v>43059</v>
          </cell>
          <cell r="K388">
            <v>82.95</v>
          </cell>
        </row>
        <row r="389">
          <cell r="J389">
            <v>43058</v>
          </cell>
          <cell r="K389">
            <v>82.88</v>
          </cell>
        </row>
        <row r="390">
          <cell r="J390">
            <v>43057</v>
          </cell>
          <cell r="K390">
            <v>82.88</v>
          </cell>
        </row>
        <row r="391">
          <cell r="J391">
            <v>43056</v>
          </cell>
          <cell r="K391">
            <v>82.88</v>
          </cell>
        </row>
        <row r="392">
          <cell r="J392">
            <v>43055</v>
          </cell>
          <cell r="K392">
            <v>82.56</v>
          </cell>
        </row>
        <row r="393">
          <cell r="J393">
            <v>43054</v>
          </cell>
          <cell r="K393">
            <v>81.81</v>
          </cell>
        </row>
        <row r="394">
          <cell r="J394">
            <v>43053</v>
          </cell>
          <cell r="K394">
            <v>81.41</v>
          </cell>
        </row>
        <row r="395">
          <cell r="J395">
            <v>43052</v>
          </cell>
          <cell r="K395">
            <v>81.06</v>
          </cell>
        </row>
      </sheetData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ZZ PNL"/>
      <sheetName val="JAZZ BS"/>
      <sheetName val="JAZZ CF"/>
      <sheetName val="GWPH PNL"/>
      <sheetName val="Merger Model"/>
      <sheetName val="Pro-Forma DCF Valuation"/>
      <sheetName val="Appendix"/>
      <sheetName val="JAZZ Products"/>
      <sheetName val="Transaction"/>
    </sheetNames>
    <sheetDataSet>
      <sheetData sheetId="0">
        <row r="68">
          <cell r="BB68">
            <v>58.393000000000001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aron Wei" id="{E914C072-CF5A-6548-BC48-6E169F20945D}" userId="Aaron We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8" dT="2022-12-31T03:38:59.11" personId="{E914C072-CF5A-6548-BC48-6E169F20945D}" id="{31BB4EDB-11E7-854A-B7B7-5D387E50FC2F}">
    <text>Based on the official deck, JAZZ was expected to use $0.7 billion shares of $7.2 billon acquisition, it would need about 10% equity raise and the cash used should not be more than the amount of existing cash.</text>
  </threadedComment>
  <threadedComment ref="K23" dT="2022-12-31T02:48:08.70" personId="{E914C072-CF5A-6548-BC48-6E169F20945D}" id="{4CBE979A-7C5C-8649-8882-ED04D2E19793}">
    <text>Even though LIBOR is not effective any more nowadays, we use LIBOR here as it was still available at 2020/12/31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1" dT="2022-12-31T02:50:40.50" personId="{E914C072-CF5A-6548-BC48-6E169F20945D}" id="{3EA02D27-661D-2343-AD7A-D61A8A32D37E}">
    <text>If you want to change the scenario, please move to Sheet “Merger Model” Cell “P15”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3-01-03T01:11:07.14" personId="{E914C072-CF5A-6548-BC48-6E169F20945D}" id="{B6ECBED6-01AD-FF44-9709-2044F3001AFB}">
    <text>If you want to change the scenario, please move to Sheet “Merger Model” Cell “P15”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FDFF-BD36-884B-83C1-8E6855A4EFFF}">
  <sheetPr>
    <tabColor theme="9"/>
  </sheetPr>
  <dimension ref="B13:B25"/>
  <sheetViews>
    <sheetView showGridLines="0" showRowColHeaders="0" topLeftCell="A10" workbookViewId="0">
      <selection activeCell="B24" sqref="B22:B25"/>
    </sheetView>
  </sheetViews>
  <sheetFormatPr defaultColWidth="11.44140625" defaultRowHeight="14.4"/>
  <sheetData>
    <row r="13" spans="2:2" ht="33">
      <c r="B13" s="476"/>
    </row>
    <row r="14" spans="2:2" ht="21">
      <c r="B14" s="466" t="s">
        <v>404</v>
      </c>
    </row>
    <row r="22" spans="2:2" s="463" customFormat="1" ht="16.8">
      <c r="B22" s="464"/>
    </row>
    <row r="23" spans="2:2" s="463" customFormat="1" ht="16.8">
      <c r="B23" s="464"/>
    </row>
    <row r="24" spans="2:2" s="463" customFormat="1" ht="16.8">
      <c r="B24" s="464" t="s">
        <v>402</v>
      </c>
    </row>
    <row r="25" spans="2:2" ht="16.8">
      <c r="B25" s="464" t="s">
        <v>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D138-CCCC-404C-9BDB-B52FBA5E0A8C}">
  <sheetPr>
    <pageSetUpPr autoPageBreaks="0"/>
  </sheetPr>
  <dimension ref="A1:PL115"/>
  <sheetViews>
    <sheetView showGridLines="0" zoomScale="85" zoomScaleNormal="70" workbookViewId="0">
      <pane xSplit="3" ySplit="4" topLeftCell="D22" activePane="bottomRight" state="frozen"/>
      <selection pane="topRight" activeCell="D1" sqref="D1"/>
      <selection pane="bottomLeft" activeCell="A5" sqref="A5"/>
      <selection pane="bottomRight" activeCell="E22" sqref="E22"/>
    </sheetView>
  </sheetViews>
  <sheetFormatPr defaultColWidth="0" defaultRowHeight="13.8" outlineLevelRow="1" outlineLevelCol="2"/>
  <cols>
    <col min="1" max="1" width="0.6640625" style="2" customWidth="1"/>
    <col min="2" max="2" width="0.6640625" style="1" customWidth="1"/>
    <col min="3" max="3" width="50.44140625" style="1" customWidth="1"/>
    <col min="4" max="7" width="11.33203125" style="1" customWidth="1" outlineLevel="1"/>
    <col min="8" max="8" width="11.33203125" style="1" customWidth="1" outlineLevel="1" collapsed="1"/>
    <col min="9" max="12" width="11.33203125" style="1" hidden="1" customWidth="1" outlineLevel="2"/>
    <col min="13" max="13" width="11.33203125" style="1" customWidth="1" outlineLevel="1" collapsed="1"/>
    <col min="14" max="17" width="11.33203125" style="1" hidden="1" customWidth="1" outlineLevel="2"/>
    <col min="18" max="18" width="11.33203125" style="1" customWidth="1" outlineLevel="1" collapsed="1"/>
    <col min="19" max="22" width="11.33203125" style="1" hidden="1" customWidth="1" outlineLevel="2"/>
    <col min="23" max="23" width="11.33203125" style="1" customWidth="1" outlineLevel="1" collapsed="1"/>
    <col min="24" max="27" width="11.33203125" style="1" hidden="1" customWidth="1" outlineLevel="2"/>
    <col min="28" max="28" width="11.33203125" style="1" customWidth="1" outlineLevel="1" collapsed="1"/>
    <col min="29" max="32" width="11.33203125" style="1" customWidth="1" outlineLevel="1"/>
    <col min="33" max="33" width="11.33203125" style="1" customWidth="1"/>
    <col min="34" max="37" width="11.33203125" style="1" hidden="1" customWidth="1" outlineLevel="1"/>
    <col min="38" max="38" width="11.33203125" style="1" customWidth="1" collapsed="1"/>
    <col min="39" max="42" width="11.33203125" style="1" hidden="1" customWidth="1" outlineLevel="1"/>
    <col min="43" max="43" width="11.33203125" style="1" customWidth="1" collapsed="1"/>
    <col min="44" max="47" width="11.33203125" style="1" hidden="1" customWidth="1" outlineLevel="1"/>
    <col min="48" max="48" width="11.33203125" style="1" customWidth="1" collapsed="1"/>
    <col min="49" max="52" width="11.33203125" style="1" hidden="1" customWidth="1" outlineLevel="1"/>
    <col min="53" max="53" width="11.33203125" style="1" customWidth="1" collapsed="1"/>
    <col min="54" max="57" width="11.33203125" style="1" hidden="1" customWidth="1" outlineLevel="1"/>
    <col min="58" max="58" width="11.33203125" style="1" customWidth="1" collapsed="1"/>
    <col min="59" max="73" width="11.33203125" style="1" customWidth="1"/>
    <col min="74" max="16384" width="11.33203125" style="1" hidden="1"/>
  </cols>
  <sheetData>
    <row r="1" spans="1:428" ht="5.25" customHeight="1"/>
    <row r="2" spans="1:428" ht="14.4">
      <c r="B2" s="169"/>
      <c r="C2" s="170" t="s">
        <v>1</v>
      </c>
      <c r="D2" s="169" t="s">
        <v>2</v>
      </c>
      <c r="E2" s="169" t="s">
        <v>3</v>
      </c>
      <c r="F2" s="169" t="s">
        <v>4</v>
      </c>
      <c r="G2" s="169" t="s">
        <v>5</v>
      </c>
      <c r="H2" s="178" t="s">
        <v>380</v>
      </c>
      <c r="I2" s="169" t="s">
        <v>6</v>
      </c>
      <c r="J2" s="169" t="s">
        <v>7</v>
      </c>
      <c r="K2" s="169" t="s">
        <v>8</v>
      </c>
      <c r="L2" s="169" t="s">
        <v>9</v>
      </c>
      <c r="M2" s="178" t="s">
        <v>381</v>
      </c>
      <c r="N2" s="169" t="s">
        <v>10</v>
      </c>
      <c r="O2" s="169" t="s">
        <v>11</v>
      </c>
      <c r="P2" s="169" t="s">
        <v>12</v>
      </c>
      <c r="Q2" s="169" t="s">
        <v>13</v>
      </c>
      <c r="R2" s="178" t="s">
        <v>382</v>
      </c>
      <c r="S2" s="169" t="s">
        <v>14</v>
      </c>
      <c r="T2" s="169" t="s">
        <v>15</v>
      </c>
      <c r="U2" s="169" t="s">
        <v>16</v>
      </c>
      <c r="V2" s="169" t="s">
        <v>17</v>
      </c>
      <c r="W2" s="178" t="s">
        <v>383</v>
      </c>
      <c r="X2" s="169" t="s">
        <v>18</v>
      </c>
      <c r="Y2" s="169" t="s">
        <v>19</v>
      </c>
      <c r="Z2" s="169" t="s">
        <v>20</v>
      </c>
      <c r="AA2" s="169" t="s">
        <v>21</v>
      </c>
      <c r="AB2" s="178" t="s">
        <v>384</v>
      </c>
      <c r="AC2" s="169" t="s">
        <v>22</v>
      </c>
      <c r="AD2" s="169" t="s">
        <v>23</v>
      </c>
      <c r="AE2" s="169" t="s">
        <v>24</v>
      </c>
      <c r="AF2" s="169" t="s">
        <v>25</v>
      </c>
      <c r="AG2" s="178" t="s">
        <v>359</v>
      </c>
      <c r="AH2" s="169" t="s">
        <v>26</v>
      </c>
      <c r="AI2" s="169" t="s">
        <v>27</v>
      </c>
      <c r="AJ2" s="169" t="s">
        <v>28</v>
      </c>
      <c r="AK2" s="169" t="s">
        <v>29</v>
      </c>
      <c r="AL2" s="178" t="s">
        <v>360</v>
      </c>
      <c r="AM2" s="169" t="s">
        <v>30</v>
      </c>
      <c r="AN2" s="169" t="s">
        <v>31</v>
      </c>
      <c r="AO2" s="169" t="s">
        <v>32</v>
      </c>
      <c r="AP2" s="169" t="s">
        <v>33</v>
      </c>
      <c r="AQ2" s="178" t="s">
        <v>356</v>
      </c>
      <c r="AR2" s="169" t="s">
        <v>34</v>
      </c>
      <c r="AS2" s="169" t="s">
        <v>35</v>
      </c>
      <c r="AT2" s="169" t="s">
        <v>36</v>
      </c>
      <c r="AU2" s="169" t="s">
        <v>37</v>
      </c>
      <c r="AV2" s="178" t="s">
        <v>357</v>
      </c>
      <c r="AW2" s="169" t="s">
        <v>38</v>
      </c>
      <c r="AX2" s="169" t="s">
        <v>39</v>
      </c>
      <c r="AY2" s="169" t="s">
        <v>40</v>
      </c>
      <c r="AZ2" s="169" t="s">
        <v>41</v>
      </c>
      <c r="BA2" s="178" t="s">
        <v>358</v>
      </c>
      <c r="BB2" s="169" t="s">
        <v>173</v>
      </c>
      <c r="BC2" s="178" t="s">
        <v>174</v>
      </c>
      <c r="BD2" s="178" t="s">
        <v>175</v>
      </c>
      <c r="BE2" s="178" t="s">
        <v>176</v>
      </c>
      <c r="BF2" s="178" t="s">
        <v>341</v>
      </c>
      <c r="BG2" s="178" t="s">
        <v>342</v>
      </c>
      <c r="BH2" s="178" t="s">
        <v>343</v>
      </c>
      <c r="BI2" s="178" t="s">
        <v>344</v>
      </c>
      <c r="BJ2" s="178" t="s">
        <v>345</v>
      </c>
      <c r="BK2" s="178" t="s">
        <v>346</v>
      </c>
      <c r="BL2" s="178" t="s">
        <v>347</v>
      </c>
      <c r="BM2" s="178" t="s">
        <v>348</v>
      </c>
      <c r="BN2" s="178" t="s">
        <v>349</v>
      </c>
      <c r="BO2" s="178" t="s">
        <v>350</v>
      </c>
      <c r="BP2" s="178" t="s">
        <v>351</v>
      </c>
      <c r="BQ2" s="178" t="s">
        <v>352</v>
      </c>
      <c r="BR2" s="178" t="s">
        <v>353</v>
      </c>
      <c r="BS2" s="178" t="s">
        <v>354</v>
      </c>
      <c r="BT2" s="178" t="s">
        <v>355</v>
      </c>
    </row>
    <row r="3" spans="1:428">
      <c r="B3" s="3"/>
      <c r="C3" s="4" t="s">
        <v>42</v>
      </c>
      <c r="D3" s="5">
        <f>D23</f>
        <v>50.595999999999997</v>
      </c>
      <c r="E3" s="5">
        <f t="shared" ref="E3:G3" si="0">E23</f>
        <v>64.283000000000001</v>
      </c>
      <c r="F3" s="5">
        <f t="shared" si="0"/>
        <v>73.007999999999996</v>
      </c>
      <c r="G3" s="5">
        <f t="shared" si="0"/>
        <v>83.25200000000001</v>
      </c>
      <c r="H3" s="6">
        <f>H23</f>
        <v>271.13900000000001</v>
      </c>
      <c r="I3" s="5">
        <f>I23</f>
        <v>102.53</v>
      </c>
      <c r="J3" s="5">
        <f t="shared" ref="J3:L3" si="1">J23</f>
        <v>129.53900000000002</v>
      </c>
      <c r="K3" s="5">
        <f t="shared" si="1"/>
        <v>175.51499999999999</v>
      </c>
      <c r="L3" s="5">
        <f t="shared" si="1"/>
        <v>183.703</v>
      </c>
      <c r="M3" s="6">
        <f>M23</f>
        <v>591.28700000000003</v>
      </c>
      <c r="N3" s="5">
        <f>N23</f>
        <v>196.23699999999999</v>
      </c>
      <c r="O3" s="5">
        <f t="shared" ref="O3:Q3" si="2">O23</f>
        <v>208.25199999999998</v>
      </c>
      <c r="P3" s="5">
        <f t="shared" si="2"/>
        <v>232.16</v>
      </c>
      <c r="Q3" s="5">
        <f t="shared" si="2"/>
        <v>235.774</v>
      </c>
      <c r="R3" s="6">
        <f>R23</f>
        <v>872.423</v>
      </c>
      <c r="S3" s="5">
        <f>S23</f>
        <v>246.91899999999998</v>
      </c>
      <c r="T3" s="5">
        <f t="shared" ref="T3:V3" si="3">T23</f>
        <v>291.23</v>
      </c>
      <c r="U3" s="5">
        <f t="shared" si="3"/>
        <v>306.584</v>
      </c>
      <c r="V3" s="5">
        <f t="shared" si="3"/>
        <v>328.142</v>
      </c>
      <c r="W3" s="6">
        <f>W23</f>
        <v>1172.875</v>
      </c>
      <c r="X3" s="5">
        <f>X23</f>
        <v>309.303</v>
      </c>
      <c r="Y3" s="5">
        <f t="shared" ref="Y3:AA3" si="4">Y23</f>
        <v>333.74700000000001</v>
      </c>
      <c r="Z3" s="5">
        <f t="shared" si="4"/>
        <v>340.87200000000001</v>
      </c>
      <c r="AA3" s="5">
        <f t="shared" si="4"/>
        <v>340.88099999999997</v>
      </c>
      <c r="AB3" s="6">
        <f>AB23</f>
        <v>1324.8029999999999</v>
      </c>
      <c r="AC3" s="5">
        <f>AC23</f>
        <v>336.01</v>
      </c>
      <c r="AD3" s="5">
        <f t="shared" ref="AD3:AF3" si="5">AD23</f>
        <v>381.161</v>
      </c>
      <c r="AE3" s="5">
        <f t="shared" si="5"/>
        <v>374.18099999999998</v>
      </c>
      <c r="AF3" s="5">
        <f t="shared" si="5"/>
        <v>396.62099999999998</v>
      </c>
      <c r="AG3" s="6">
        <f>AG23</f>
        <v>1487.973</v>
      </c>
      <c r="AH3" s="5">
        <f>AH23</f>
        <v>376.053</v>
      </c>
      <c r="AI3" s="5">
        <f t="shared" ref="AI3:AK3" si="6">AI23</f>
        <v>394.38599999999997</v>
      </c>
      <c r="AJ3" s="5">
        <f t="shared" si="6"/>
        <v>411.85500000000002</v>
      </c>
      <c r="AK3" s="5">
        <f t="shared" si="6"/>
        <v>436.399</v>
      </c>
      <c r="AL3" s="6">
        <f>AL23</f>
        <v>1618.6929999999998</v>
      </c>
      <c r="AM3" s="5">
        <f>AM23</f>
        <v>444.613</v>
      </c>
      <c r="AN3" s="5">
        <f t="shared" ref="AN3" si="7">AN23</f>
        <v>500.47900000000004</v>
      </c>
      <c r="AO3" s="5">
        <f>AO23</f>
        <v>469.37299999999999</v>
      </c>
      <c r="AP3" s="5">
        <f t="shared" ref="AP3:BT3" si="8">AP23</f>
        <v>476.45699999999999</v>
      </c>
      <c r="AQ3" s="6">
        <f t="shared" si="8"/>
        <v>1890.9220000000003</v>
      </c>
      <c r="AR3" s="5">
        <f t="shared" si="8"/>
        <v>508.18600000000004</v>
      </c>
      <c r="AS3" s="5">
        <f t="shared" si="8"/>
        <v>534.13300000000004</v>
      </c>
      <c r="AT3" s="5">
        <f t="shared" si="8"/>
        <v>537.702</v>
      </c>
      <c r="AU3" s="5">
        <f t="shared" si="8"/>
        <v>581.74</v>
      </c>
      <c r="AV3" s="6">
        <f t="shared" si="8"/>
        <v>2161.7609999999995</v>
      </c>
      <c r="AW3" s="5">
        <f t="shared" si="8"/>
        <v>534.726</v>
      </c>
      <c r="AX3" s="5">
        <f t="shared" si="8"/>
        <v>562.43599999999992</v>
      </c>
      <c r="AY3" s="5">
        <f t="shared" si="8"/>
        <v>600.88799999999992</v>
      </c>
      <c r="AZ3" s="5">
        <f t="shared" si="8"/>
        <v>665.51700000000005</v>
      </c>
      <c r="BA3" s="6">
        <f t="shared" si="8"/>
        <v>2363.567</v>
      </c>
      <c r="BB3" s="5">
        <f t="shared" ref="BB3:BE3" si="9">BB23</f>
        <v>607.5809999999999</v>
      </c>
      <c r="BC3" s="5">
        <f t="shared" si="9"/>
        <v>0</v>
      </c>
      <c r="BD3" s="5">
        <f t="shared" si="9"/>
        <v>0</v>
      </c>
      <c r="BE3" s="5">
        <f t="shared" si="9"/>
        <v>0</v>
      </c>
      <c r="BF3" s="6">
        <f t="shared" si="8"/>
        <v>2504.75103352203</v>
      </c>
      <c r="BG3" s="6">
        <f t="shared" si="8"/>
        <v>2754.7041387817476</v>
      </c>
      <c r="BH3" s="6">
        <f t="shared" si="8"/>
        <v>2449.8349020257542</v>
      </c>
      <c r="BI3" s="6">
        <f t="shared" si="8"/>
        <v>2480.2936982127299</v>
      </c>
      <c r="BJ3" s="6">
        <f t="shared" si="8"/>
        <v>2465.4924175714405</v>
      </c>
      <c r="BK3" s="6">
        <f t="shared" si="8"/>
        <v>2426.5333105726531</v>
      </c>
      <c r="BL3" s="6">
        <f t="shared" si="8"/>
        <v>2387.9350947634398</v>
      </c>
      <c r="BM3" s="6">
        <f t="shared" si="8"/>
        <v>2300.0882217835965</v>
      </c>
      <c r="BN3" s="6">
        <f t="shared" si="8"/>
        <v>2259.9669298167764</v>
      </c>
      <c r="BO3" s="6">
        <f t="shared" si="8"/>
        <v>2150.8298446574599</v>
      </c>
      <c r="BP3" s="6">
        <f t="shared" si="8"/>
        <v>2020.6918960438559</v>
      </c>
      <c r="BQ3" s="6">
        <f t="shared" si="8"/>
        <v>1720.5779736827976</v>
      </c>
      <c r="BR3" s="6">
        <f t="shared" si="8"/>
        <v>1547.4954215511214</v>
      </c>
      <c r="BS3" s="6">
        <f t="shared" si="8"/>
        <v>1200.6112015171661</v>
      </c>
      <c r="BT3" s="6">
        <f t="shared" si="8"/>
        <v>1054.8641557415517</v>
      </c>
    </row>
    <row r="4" spans="1:428">
      <c r="B4" s="7"/>
      <c r="C4" s="8" t="s">
        <v>43</v>
      </c>
      <c r="D4" s="9">
        <f>D41</f>
        <v>0.58380200013129946</v>
      </c>
      <c r="E4" s="9">
        <f t="shared" ref="E4:G4" si="10">E41</f>
        <v>0.82365185296452859</v>
      </c>
      <c r="F4" s="9">
        <f t="shared" si="10"/>
        <v>0.93827395694417959</v>
      </c>
      <c r="G4" s="9">
        <f t="shared" si="10"/>
        <v>1.1678995173968938</v>
      </c>
      <c r="H4" s="10">
        <f>H41</f>
        <v>3.5216034873285178</v>
      </c>
      <c r="I4" s="9">
        <f>I41</f>
        <v>0.88976826664830233</v>
      </c>
      <c r="J4" s="9">
        <f t="shared" ref="J4:L4" si="11">J41</f>
        <v>1.0927436668097901</v>
      </c>
      <c r="K4" s="9">
        <f t="shared" si="11"/>
        <v>1.2908036726179717</v>
      </c>
      <c r="L4" s="9">
        <f t="shared" si="11"/>
        <v>1.5341966881144462</v>
      </c>
      <c r="M4" s="10">
        <f>M41</f>
        <v>4.8240601378852066</v>
      </c>
      <c r="N4" s="9">
        <f>N41</f>
        <v>1.3725187364861564</v>
      </c>
      <c r="O4" s="9">
        <f t="shared" ref="O4:Q4" si="12">O41</f>
        <v>1.43433277027027</v>
      </c>
      <c r="P4" s="9">
        <f t="shared" si="12"/>
        <v>1.7782636258716815</v>
      </c>
      <c r="Q4" s="9">
        <f t="shared" si="12"/>
        <v>1.7204785681862398</v>
      </c>
      <c r="R4" s="10">
        <f>R41</f>
        <v>6.3060468742386577</v>
      </c>
      <c r="S4" s="9">
        <f>S41</f>
        <v>1.6131132332005693</v>
      </c>
      <c r="T4" s="9">
        <f t="shared" ref="T4:V4" si="13">T41</f>
        <v>2.0486389432171603</v>
      </c>
      <c r="U4" s="9">
        <f t="shared" si="13"/>
        <v>2.2964103382259093</v>
      </c>
      <c r="V4" s="9">
        <f t="shared" si="13"/>
        <v>2.4032966333609109</v>
      </c>
      <c r="W4" s="10">
        <f>W41</f>
        <v>8.3627942632638064</v>
      </c>
      <c r="X4" s="9">
        <f>X41</f>
        <v>1.9863414014357408</v>
      </c>
      <c r="Y4" s="9">
        <f t="shared" ref="Y4:AA4" si="14">Y41</f>
        <v>2.2848470439055317</v>
      </c>
      <c r="Z4" s="9">
        <f t="shared" si="14"/>
        <v>2.5230230864236631</v>
      </c>
      <c r="AA4" s="9">
        <f t="shared" si="14"/>
        <v>2.5985570811085679</v>
      </c>
      <c r="AB4" s="10">
        <f>AB41</f>
        <v>9.392727964972396</v>
      </c>
      <c r="AC4" s="9">
        <f>AC41</f>
        <v>2.2839261132631181</v>
      </c>
      <c r="AD4" s="9">
        <f t="shared" ref="AD4:AF4" si="15">AD41</f>
        <v>2.6814807626995294</v>
      </c>
      <c r="AE4" s="9">
        <f t="shared" si="15"/>
        <v>2.6078647139736217</v>
      </c>
      <c r="AF4" s="9">
        <f t="shared" si="15"/>
        <v>2.7138924843936878</v>
      </c>
      <c r="AG4" s="10">
        <f>AG41</f>
        <v>10.267981251010182</v>
      </c>
      <c r="AH4" s="9">
        <f>AH41</f>
        <v>2.3083788289908136</v>
      </c>
      <c r="AI4" s="9">
        <f t="shared" ref="AI4:AK4" si="16">AI41</f>
        <v>2.5601418739729591</v>
      </c>
      <c r="AJ4" s="9">
        <f t="shared" si="16"/>
        <v>3.2171528094276978</v>
      </c>
      <c r="AK4" s="9">
        <f t="shared" si="16"/>
        <v>2.9497622121623168</v>
      </c>
      <c r="AL4" s="10">
        <f>AL41</f>
        <v>11.036384689400982</v>
      </c>
      <c r="AM4" s="9">
        <f>AM41</f>
        <v>2.9809898983294656</v>
      </c>
      <c r="AN4" s="9">
        <f t="shared" ref="AN4" si="17">AN41</f>
        <v>3.4935382011133171</v>
      </c>
      <c r="AO4" s="9">
        <f ca="1">AO41</f>
        <v>3.5833454580726518</v>
      </c>
      <c r="AP4" s="9">
        <f t="shared" ref="AP4:BT4" si="18">AP41</f>
        <v>3.6407892341052421</v>
      </c>
      <c r="AQ4" s="10">
        <f t="shared" ca="1" si="18"/>
        <v>13.705290166533203</v>
      </c>
      <c r="AR4" s="9">
        <f t="shared" si="18"/>
        <v>3.6702708286703065</v>
      </c>
      <c r="AS4" s="9">
        <f t="shared" si="18"/>
        <v>4.0492625420098562</v>
      </c>
      <c r="AT4" s="9">
        <f t="shared" si="18"/>
        <v>4.096208085239736</v>
      </c>
      <c r="AU4" s="9">
        <f t="shared" si="18"/>
        <v>4.4225315217770955</v>
      </c>
      <c r="AV4" s="10">
        <f t="shared" si="18"/>
        <v>16.232815540728378</v>
      </c>
      <c r="AW4" s="9">
        <f t="shared" si="18"/>
        <v>0.45487040428229447</v>
      </c>
      <c r="AX4" s="9">
        <f t="shared" si="18"/>
        <v>3.7110840612917078</v>
      </c>
      <c r="AY4" s="9">
        <f t="shared" si="18"/>
        <v>4.3052315242904875</v>
      </c>
      <c r="AZ4" s="9">
        <f t="shared" si="18"/>
        <v>4.0003847902892939</v>
      </c>
      <c r="BA4" s="10">
        <f t="shared" si="18"/>
        <v>12.456114586005855</v>
      </c>
      <c r="BB4" s="9">
        <f t="shared" ref="BB4:BE4" si="19">BB41</f>
        <v>3.9186032572397362</v>
      </c>
      <c r="BC4" s="9">
        <f t="shared" si="19"/>
        <v>0</v>
      </c>
      <c r="BD4" s="9">
        <f t="shared" si="19"/>
        <v>0</v>
      </c>
      <c r="BE4" s="9">
        <f t="shared" si="19"/>
        <v>0</v>
      </c>
      <c r="BF4" s="10">
        <f t="shared" ca="1" si="18"/>
        <v>11.786561061084024</v>
      </c>
      <c r="BG4" s="10">
        <f t="shared" ca="1" si="18"/>
        <v>13.398841359576833</v>
      </c>
      <c r="BH4" s="10">
        <f t="shared" ca="1" si="18"/>
        <v>15.130726941158965</v>
      </c>
      <c r="BI4" s="10">
        <f t="shared" ca="1" si="18"/>
        <v>17.152689025313613</v>
      </c>
      <c r="BJ4" s="10">
        <f t="shared" ca="1" si="18"/>
        <v>17.046322141608862</v>
      </c>
      <c r="BK4" s="10">
        <f t="shared" ca="1" si="18"/>
        <v>16.766349151175806</v>
      </c>
      <c r="BL4" s="10">
        <f t="shared" ca="1" si="18"/>
        <v>18.24648660089316</v>
      </c>
      <c r="BM4" s="10">
        <f t="shared" ca="1" si="18"/>
        <v>17.55053482428993</v>
      </c>
      <c r="BN4" s="10">
        <f t="shared" ca="1" si="18"/>
        <v>17.232680773522155</v>
      </c>
      <c r="BO4" s="10">
        <f t="shared" ca="1" si="18"/>
        <v>16.368060944341067</v>
      </c>
      <c r="BP4" s="10">
        <f t="shared" ca="1" si="18"/>
        <v>15.33706537820499</v>
      </c>
      <c r="BQ4" s="10">
        <f t="shared" ca="1" si="18"/>
        <v>12.95946432804049</v>
      </c>
      <c r="BR4" s="10">
        <f t="shared" ca="1" si="18"/>
        <v>11.588247509853908</v>
      </c>
      <c r="BS4" s="10">
        <f t="shared" ca="1" si="18"/>
        <v>8.8401168021888683</v>
      </c>
      <c r="BT4" s="10">
        <f t="shared" ca="1" si="18"/>
        <v>7.6854608423178172</v>
      </c>
    </row>
    <row r="5" spans="1:428">
      <c r="A5" s="11"/>
    </row>
    <row r="6" spans="1:428">
      <c r="B6" s="173"/>
      <c r="C6" s="174" t="s">
        <v>44</v>
      </c>
      <c r="D6" s="173"/>
      <c r="E6" s="173"/>
      <c r="F6" s="173"/>
      <c r="G6" s="173"/>
      <c r="H6" s="175"/>
      <c r="I6" s="173"/>
      <c r="J6" s="173"/>
      <c r="K6" s="173"/>
      <c r="L6" s="173"/>
      <c r="M6" s="175"/>
      <c r="N6" s="173"/>
      <c r="O6" s="173"/>
      <c r="P6" s="173"/>
      <c r="Q6" s="173"/>
      <c r="R6" s="175"/>
      <c r="S6" s="173"/>
      <c r="T6" s="173"/>
      <c r="U6" s="173"/>
      <c r="V6" s="173"/>
      <c r="W6" s="175"/>
      <c r="X6" s="173"/>
      <c r="Y6" s="173"/>
      <c r="Z6" s="173"/>
      <c r="AA6" s="173"/>
      <c r="AB6" s="175"/>
      <c r="AC6" s="173"/>
      <c r="AD6" s="173"/>
      <c r="AE6" s="173"/>
      <c r="AF6" s="173"/>
      <c r="AG6" s="175"/>
      <c r="AH6" s="173"/>
      <c r="AI6" s="173"/>
      <c r="AJ6" s="173"/>
      <c r="AK6" s="173"/>
      <c r="AL6" s="175"/>
      <c r="AM6" s="173"/>
      <c r="AN6" s="173"/>
      <c r="AO6" s="173"/>
      <c r="AP6" s="173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</row>
    <row r="7" spans="1:428" s="2" customFormat="1">
      <c r="B7" s="1"/>
      <c r="C7" s="539"/>
      <c r="D7" s="13"/>
      <c r="E7" s="13"/>
      <c r="F7" s="13"/>
      <c r="G7" s="13"/>
      <c r="H7" s="14"/>
      <c r="I7" s="13"/>
      <c r="J7" s="13"/>
      <c r="K7" s="13"/>
      <c r="L7" s="13"/>
      <c r="M7" s="14"/>
      <c r="N7" s="13"/>
      <c r="O7" s="13"/>
      <c r="P7" s="13"/>
      <c r="Q7" s="13"/>
      <c r="R7" s="14"/>
      <c r="S7" s="13"/>
      <c r="T7" s="13"/>
      <c r="U7" s="13"/>
      <c r="V7" s="13"/>
      <c r="W7" s="14"/>
      <c r="X7" s="13"/>
      <c r="Y7" s="13"/>
      <c r="Z7" s="13"/>
      <c r="AA7" s="13"/>
      <c r="AB7" s="14"/>
      <c r="AC7" s="13"/>
      <c r="AD7" s="13"/>
      <c r="AE7" s="13"/>
      <c r="AF7" s="13"/>
      <c r="AG7" s="14"/>
      <c r="AH7" s="13"/>
      <c r="AI7" s="13"/>
      <c r="AJ7" s="13"/>
      <c r="AK7" s="13"/>
      <c r="AL7" s="14"/>
      <c r="AM7" s="13"/>
      <c r="AN7" s="13"/>
      <c r="AO7" s="13"/>
      <c r="AP7" s="13"/>
      <c r="AQ7" s="14"/>
      <c r="AR7" s="15"/>
      <c r="AS7" s="15"/>
      <c r="AT7" s="15"/>
      <c r="AU7" s="15"/>
      <c r="AV7" s="14"/>
      <c r="AW7" s="15"/>
      <c r="AX7" s="15"/>
      <c r="AY7" s="15"/>
      <c r="AZ7" s="15"/>
      <c r="BA7" s="14"/>
      <c r="BB7" s="15"/>
      <c r="BC7" s="15"/>
      <c r="BD7" s="15"/>
      <c r="BE7" s="15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</row>
    <row r="8" spans="1:428" ht="14.4">
      <c r="C8" s="536" t="s">
        <v>405</v>
      </c>
      <c r="D8" s="13"/>
      <c r="E8" s="13"/>
      <c r="F8" s="13"/>
      <c r="G8" s="13"/>
      <c r="H8" s="14"/>
      <c r="I8" s="13"/>
      <c r="J8" s="13"/>
      <c r="K8" s="13"/>
      <c r="L8" s="13"/>
      <c r="M8" s="14"/>
      <c r="N8" s="13"/>
      <c r="O8" s="13"/>
      <c r="P8" s="13"/>
      <c r="Q8" s="13"/>
      <c r="R8" s="14"/>
      <c r="S8" s="13"/>
      <c r="T8" s="13"/>
      <c r="U8" s="13"/>
      <c r="V8" s="13"/>
      <c r="W8" s="14"/>
      <c r="X8" s="13"/>
      <c r="Y8" s="13"/>
      <c r="Z8" s="13"/>
      <c r="AA8" s="13"/>
      <c r="AB8" s="14"/>
      <c r="AC8" s="13"/>
      <c r="AD8" s="13"/>
      <c r="AE8" s="13"/>
      <c r="AF8" s="13"/>
      <c r="AG8" s="14"/>
      <c r="AH8" s="13"/>
      <c r="AI8" s="13"/>
      <c r="AJ8" s="13"/>
      <c r="AK8" s="13"/>
      <c r="AL8" s="14"/>
      <c r="AM8" s="13"/>
      <c r="AN8" s="13"/>
      <c r="AO8" s="13"/>
      <c r="AP8" s="13"/>
      <c r="AQ8" s="14"/>
      <c r="AR8" s="15"/>
      <c r="AS8" s="15"/>
      <c r="AT8" s="15"/>
      <c r="AU8" s="15"/>
      <c r="AV8" s="14"/>
      <c r="AW8" s="15"/>
      <c r="AX8" s="15"/>
      <c r="AY8" s="15"/>
      <c r="AZ8" s="15"/>
      <c r="BA8" s="14"/>
      <c r="BB8" s="15"/>
      <c r="BC8" s="15"/>
      <c r="BD8" s="15"/>
      <c r="BE8" s="15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2"/>
      <c r="EO8" s="12"/>
      <c r="EP8" s="13"/>
      <c r="EQ8" s="13"/>
      <c r="ER8" s="13"/>
      <c r="ES8" s="13"/>
      <c r="ET8" s="14"/>
      <c r="EU8" s="13"/>
      <c r="EV8" s="13"/>
      <c r="EW8" s="13"/>
      <c r="EX8" s="13"/>
      <c r="EY8" s="14"/>
      <c r="EZ8" s="13"/>
      <c r="FA8" s="13"/>
      <c r="FB8" s="13"/>
      <c r="FC8" s="13"/>
      <c r="FD8" s="14"/>
      <c r="FE8" s="13"/>
      <c r="FF8" s="13"/>
      <c r="FG8" s="13"/>
      <c r="FH8" s="13"/>
      <c r="FI8" s="14"/>
      <c r="FJ8" s="13"/>
      <c r="FK8" s="13"/>
      <c r="FL8" s="13"/>
      <c r="FM8" s="13"/>
      <c r="FN8" s="14"/>
      <c r="FO8" s="13"/>
      <c r="FP8" s="13"/>
      <c r="FQ8" s="13"/>
      <c r="FR8" s="13"/>
      <c r="FS8" s="14"/>
      <c r="FT8" s="13"/>
      <c r="FU8" s="13"/>
      <c r="FV8" s="13"/>
      <c r="FW8" s="13"/>
      <c r="FX8" s="14"/>
      <c r="FY8" s="13"/>
      <c r="FZ8" s="13"/>
      <c r="GA8" s="13"/>
      <c r="GB8" s="13"/>
      <c r="GC8" s="14"/>
      <c r="GD8" s="15"/>
      <c r="GE8" s="15"/>
      <c r="GF8" s="15"/>
      <c r="GG8" s="15"/>
      <c r="GH8" s="14"/>
      <c r="GI8" s="15"/>
      <c r="GJ8" s="15"/>
      <c r="GK8" s="15"/>
      <c r="GL8" s="15"/>
      <c r="GM8" s="14"/>
      <c r="GN8" s="15"/>
      <c r="GO8" s="15"/>
      <c r="GP8" s="15"/>
      <c r="GQ8" s="15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</row>
    <row r="9" spans="1:428" ht="14.4">
      <c r="C9" s="537" t="s">
        <v>406</v>
      </c>
      <c r="D9" s="13"/>
      <c r="E9" s="13"/>
      <c r="F9" s="13"/>
      <c r="G9" s="13"/>
      <c r="H9" s="14"/>
      <c r="I9" s="13"/>
      <c r="J9" s="13"/>
      <c r="K9" s="13"/>
      <c r="L9" s="13"/>
      <c r="M9" s="14"/>
      <c r="N9" s="13"/>
      <c r="O9" s="13"/>
      <c r="P9" s="13"/>
      <c r="Q9" s="13"/>
      <c r="R9" s="14"/>
      <c r="S9" s="13"/>
      <c r="T9" s="13"/>
      <c r="U9" s="13"/>
      <c r="V9" s="13"/>
      <c r="W9" s="14"/>
      <c r="X9" s="13"/>
      <c r="Y9" s="13"/>
      <c r="Z9" s="13"/>
      <c r="AA9" s="13"/>
      <c r="AB9" s="14"/>
      <c r="AC9" s="13"/>
      <c r="AD9" s="13"/>
      <c r="AE9" s="13"/>
      <c r="AF9" s="13"/>
      <c r="AG9" s="14"/>
      <c r="AH9" s="13"/>
      <c r="AI9" s="13"/>
      <c r="AJ9" s="13"/>
      <c r="AK9" s="13"/>
      <c r="AL9" s="14"/>
      <c r="AM9" s="13"/>
      <c r="AN9" s="13"/>
      <c r="AO9" s="13"/>
      <c r="AP9" s="13"/>
      <c r="AQ9" s="14"/>
      <c r="AR9" s="15"/>
      <c r="AS9" s="15"/>
      <c r="AT9" s="15"/>
      <c r="AU9" s="15"/>
      <c r="AV9" s="14"/>
      <c r="AW9" s="15"/>
      <c r="AX9" s="15"/>
      <c r="AY9" s="15"/>
      <c r="AZ9" s="15"/>
      <c r="BA9" s="14"/>
      <c r="BB9" s="15"/>
      <c r="BC9" s="15"/>
      <c r="BD9" s="15"/>
      <c r="BE9" s="15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2"/>
    </row>
    <row r="10" spans="1:428" ht="14.4">
      <c r="C10" s="537" t="s">
        <v>407</v>
      </c>
      <c r="D10" s="13"/>
      <c r="E10" s="13"/>
      <c r="F10" s="13"/>
      <c r="G10" s="13"/>
      <c r="H10" s="14"/>
      <c r="I10" s="13"/>
      <c r="J10" s="13"/>
      <c r="K10" s="13"/>
      <c r="L10" s="13"/>
      <c r="M10" s="14"/>
      <c r="N10" s="13"/>
      <c r="O10" s="13"/>
      <c r="P10" s="13"/>
      <c r="Q10" s="13"/>
      <c r="R10" s="14"/>
      <c r="S10" s="13"/>
      <c r="T10" s="13"/>
      <c r="U10" s="13"/>
      <c r="V10" s="13"/>
      <c r="W10" s="14"/>
      <c r="X10" s="13"/>
      <c r="Y10" s="13"/>
      <c r="Z10" s="13"/>
      <c r="AA10" s="13"/>
      <c r="AB10" s="14"/>
      <c r="AC10" s="13"/>
      <c r="AD10" s="13"/>
      <c r="AE10" s="13"/>
      <c r="AF10" s="13"/>
      <c r="AG10" s="14"/>
      <c r="AH10" s="13"/>
      <c r="AI10" s="13"/>
      <c r="AJ10" s="13"/>
      <c r="AK10" s="13"/>
      <c r="AL10" s="14"/>
      <c r="AM10" s="13"/>
      <c r="AN10" s="13"/>
      <c r="AO10" s="13"/>
      <c r="AP10" s="13"/>
      <c r="AQ10" s="14"/>
      <c r="AR10" s="15"/>
      <c r="AS10" s="15"/>
      <c r="AT10" s="15"/>
      <c r="AU10" s="15"/>
      <c r="AV10" s="14"/>
      <c r="AW10" s="15"/>
      <c r="AX10" s="15"/>
      <c r="AY10" s="15"/>
      <c r="AZ10" s="15"/>
      <c r="BA10" s="14"/>
      <c r="BB10" s="15"/>
      <c r="BC10" s="15"/>
      <c r="BD10" s="15"/>
      <c r="BE10" s="15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2"/>
    </row>
    <row r="11" spans="1:428" ht="14.4">
      <c r="C11" s="536" t="s">
        <v>408</v>
      </c>
    </row>
    <row r="12" spans="1:428" ht="14.4">
      <c r="C12" s="537" t="s">
        <v>211</v>
      </c>
    </row>
    <row r="13" spans="1:428" ht="14.4">
      <c r="C13" s="537" t="s">
        <v>407</v>
      </c>
    </row>
    <row r="14" spans="1:428" ht="14.4">
      <c r="C14" s="538" t="s">
        <v>409</v>
      </c>
    </row>
    <row r="15" spans="1:428" ht="14.4">
      <c r="C15" s="537" t="s">
        <v>211</v>
      </c>
    </row>
    <row r="16" spans="1:428" ht="14.4">
      <c r="C16" s="537" t="s">
        <v>407</v>
      </c>
    </row>
    <row r="17" spans="2:73" ht="14.4">
      <c r="C17" s="536" t="s">
        <v>410</v>
      </c>
    </row>
    <row r="18" spans="2:73" ht="14.4">
      <c r="C18" s="537" t="s">
        <v>211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2:73" ht="14.4">
      <c r="C19" s="537" t="s">
        <v>407</v>
      </c>
      <c r="D19" s="13"/>
      <c r="E19" s="13"/>
      <c r="F19" s="13"/>
      <c r="G19" s="13"/>
      <c r="H19" s="14"/>
      <c r="I19" s="13"/>
      <c r="J19" s="13"/>
      <c r="K19" s="13"/>
      <c r="L19" s="13"/>
      <c r="M19" s="14"/>
      <c r="N19" s="13"/>
      <c r="O19" s="13"/>
      <c r="P19" s="13"/>
      <c r="Q19" s="13"/>
      <c r="R19" s="14"/>
      <c r="S19" s="13"/>
      <c r="T19" s="13"/>
      <c r="U19" s="13"/>
      <c r="V19" s="13"/>
      <c r="W19" s="14"/>
      <c r="X19" s="13"/>
      <c r="Y19" s="13"/>
      <c r="Z19" s="13"/>
      <c r="AA19" s="13"/>
      <c r="AB19" s="14"/>
      <c r="AC19" s="13"/>
      <c r="AD19" s="13"/>
      <c r="AE19" s="13"/>
      <c r="AF19" s="13"/>
      <c r="AG19" s="14"/>
      <c r="AH19" s="13"/>
      <c r="AI19" s="13"/>
      <c r="AJ19" s="13"/>
      <c r="AK19" s="13"/>
      <c r="AL19" s="14"/>
      <c r="AM19" s="13"/>
      <c r="AN19" s="13"/>
      <c r="AO19" s="13"/>
      <c r="AP19" s="13"/>
      <c r="AQ19" s="14"/>
      <c r="AR19" s="15"/>
      <c r="AS19" s="15"/>
      <c r="AT19" s="15"/>
      <c r="AU19" s="15"/>
      <c r="AV19" s="14"/>
      <c r="AW19" s="15"/>
      <c r="AX19" s="15"/>
      <c r="AY19" s="15"/>
      <c r="AZ19" s="15"/>
      <c r="BA19" s="14"/>
      <c r="BB19" s="15"/>
      <c r="BC19" s="15"/>
      <c r="BD19" s="15"/>
      <c r="BE19" s="15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2"/>
    </row>
    <row r="20" spans="2:73" ht="14.4">
      <c r="C20" s="536" t="s">
        <v>411</v>
      </c>
      <c r="D20" s="13"/>
      <c r="E20" s="13"/>
      <c r="F20" s="13"/>
      <c r="G20" s="13"/>
      <c r="H20" s="14"/>
      <c r="I20" s="13"/>
      <c r="J20" s="13"/>
      <c r="K20" s="13"/>
      <c r="L20" s="13"/>
      <c r="M20" s="14"/>
      <c r="N20" s="13"/>
      <c r="O20" s="13"/>
      <c r="P20" s="13"/>
      <c r="Q20" s="13"/>
      <c r="R20" s="14"/>
      <c r="S20" s="13"/>
      <c r="T20" s="13"/>
      <c r="U20" s="13"/>
      <c r="V20" s="13"/>
      <c r="W20" s="14"/>
      <c r="X20" s="13"/>
      <c r="Y20" s="13"/>
      <c r="Z20" s="13"/>
      <c r="AA20" s="13"/>
      <c r="AB20" s="14"/>
      <c r="AC20" s="13"/>
      <c r="AD20" s="13"/>
      <c r="AE20" s="13"/>
      <c r="AF20" s="13"/>
      <c r="AG20" s="14"/>
      <c r="AH20" s="13"/>
      <c r="AI20" s="13"/>
      <c r="AJ20" s="13"/>
      <c r="AK20" s="13"/>
      <c r="AL20" s="14"/>
      <c r="AM20" s="13"/>
      <c r="AN20" s="13"/>
      <c r="AO20" s="13"/>
      <c r="AP20" s="13"/>
      <c r="AQ20" s="14"/>
      <c r="AR20" s="15"/>
      <c r="AS20" s="15"/>
      <c r="AT20" s="15"/>
      <c r="AU20" s="15"/>
      <c r="AV20" s="14"/>
      <c r="AW20" s="15"/>
      <c r="AX20" s="15"/>
      <c r="AY20" s="15"/>
      <c r="AZ20" s="15"/>
      <c r="BA20" s="14"/>
      <c r="BB20" s="15"/>
      <c r="BC20" s="15"/>
      <c r="BD20" s="15"/>
      <c r="BE20" s="15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2"/>
    </row>
    <row r="21" spans="2:73" ht="14.4">
      <c r="C21" s="537" t="s">
        <v>211</v>
      </c>
      <c r="D21" s="17">
        <f>D57</f>
        <v>49.902999999999999</v>
      </c>
      <c r="E21" s="17">
        <f>E57</f>
        <v>63.463999999999999</v>
      </c>
      <c r="F21" s="17">
        <f>F57</f>
        <v>72.215999999999994</v>
      </c>
      <c r="G21" s="17">
        <f>G57</f>
        <v>80.935000000000002</v>
      </c>
      <c r="H21" s="18">
        <f>SUM(D21:G21)</f>
        <v>266.51799999999997</v>
      </c>
      <c r="I21" s="17">
        <f t="shared" ref="I21:L22" si="20">I57</f>
        <v>101.452</v>
      </c>
      <c r="J21" s="17">
        <f t="shared" si="20"/>
        <v>128.31</v>
      </c>
      <c r="K21" s="17">
        <f t="shared" si="20"/>
        <v>174.13</v>
      </c>
      <c r="L21" s="17">
        <f t="shared" si="20"/>
        <v>181.94300000000001</v>
      </c>
      <c r="M21" s="18">
        <f>SUM(I21:L21)</f>
        <v>585.83500000000004</v>
      </c>
      <c r="N21" s="17">
        <f t="shared" ref="N21:Q22" si="21">N57</f>
        <v>194.65199999999999</v>
      </c>
      <c r="O21" s="17">
        <f t="shared" si="21"/>
        <v>206.56399999999999</v>
      </c>
      <c r="P21" s="17">
        <f t="shared" si="21"/>
        <v>230.386</v>
      </c>
      <c r="Q21" s="17">
        <f t="shared" si="21"/>
        <v>233.79599999999999</v>
      </c>
      <c r="R21" s="18">
        <f>SUM(N21:Q21)</f>
        <v>865.39799999999991</v>
      </c>
      <c r="S21" s="17">
        <f t="shared" ref="S21:V22" si="22">S57</f>
        <v>244.98599999999999</v>
      </c>
      <c r="T21" s="17">
        <f t="shared" si="22"/>
        <v>289.10000000000002</v>
      </c>
      <c r="U21" s="17">
        <f t="shared" si="22"/>
        <v>304.40699999999998</v>
      </c>
      <c r="V21" s="17">
        <f t="shared" si="22"/>
        <v>324.22300000000001</v>
      </c>
      <c r="W21" s="18">
        <f>SUM(S21:V21)</f>
        <v>1162.7159999999999</v>
      </c>
      <c r="X21" s="17">
        <f t="shared" ref="X21:AA22" si="23">X57</f>
        <v>307.03500000000003</v>
      </c>
      <c r="Y21" s="17">
        <f t="shared" si="23"/>
        <v>332.10599999999999</v>
      </c>
      <c r="Z21" s="17">
        <f t="shared" si="23"/>
        <v>338.75400000000002</v>
      </c>
      <c r="AA21" s="17">
        <f t="shared" si="23"/>
        <v>338.92399999999998</v>
      </c>
      <c r="AB21" s="18">
        <f>SUM(X21:AA21)</f>
        <v>1316.819</v>
      </c>
      <c r="AC21" s="17">
        <f t="shared" ref="AC21:AF22" si="24">AC57</f>
        <v>333.916</v>
      </c>
      <c r="AD21" s="17">
        <f t="shared" si="24"/>
        <v>379.11</v>
      </c>
      <c r="AE21" s="17">
        <f t="shared" si="24"/>
        <v>371.62099999999998</v>
      </c>
      <c r="AF21" s="17">
        <f t="shared" si="24"/>
        <v>392.61399999999998</v>
      </c>
      <c r="AG21" s="18">
        <f>SUM(AC21:AF21)</f>
        <v>1477.261</v>
      </c>
      <c r="AH21" s="17">
        <f t="shared" ref="AH21:AK22" si="25">AH57</f>
        <v>373.678</v>
      </c>
      <c r="AI21" s="17">
        <f t="shared" si="25"/>
        <v>389.65499999999997</v>
      </c>
      <c r="AJ21" s="17">
        <f t="shared" si="25"/>
        <v>407.971</v>
      </c>
      <c r="AK21" s="17">
        <f t="shared" si="25"/>
        <v>430.09500000000003</v>
      </c>
      <c r="AL21" s="18">
        <f>SUM(AH21:AK21)</f>
        <v>1601.3990000000001</v>
      </c>
      <c r="AM21" s="17">
        <f t="shared" ref="AM21:AT22" si="26">AM57</f>
        <v>440.84699999999998</v>
      </c>
      <c r="AN21" s="17">
        <f t="shared" si="26"/>
        <v>496.09500000000003</v>
      </c>
      <c r="AO21" s="17">
        <f t="shared" si="26"/>
        <v>465.197</v>
      </c>
      <c r="AP21" s="17">
        <f t="shared" si="26"/>
        <v>467.334</v>
      </c>
      <c r="AQ21" s="19">
        <f>SUM(AM21:AP21)</f>
        <v>1869.4730000000002</v>
      </c>
      <c r="AR21" s="17">
        <f t="shared" si="26"/>
        <v>503.33100000000002</v>
      </c>
      <c r="AS21" s="17">
        <f t="shared" si="26"/>
        <v>523.423</v>
      </c>
      <c r="AT21" s="17">
        <f t="shared" si="26"/>
        <v>532.32100000000003</v>
      </c>
      <c r="AU21" s="17">
        <f>AU57</f>
        <v>576.52599999999995</v>
      </c>
      <c r="AV21" s="19">
        <f>SUM(AR21:AU21)</f>
        <v>2135.6009999999997</v>
      </c>
      <c r="AW21" s="17">
        <f>AW57</f>
        <v>530.20500000000004</v>
      </c>
      <c r="AX21" s="17">
        <f>AX57</f>
        <v>558.20299999999997</v>
      </c>
      <c r="AY21" s="17">
        <f t="shared" ref="AY21:AZ22" si="27">AY57</f>
        <v>596.94899999999996</v>
      </c>
      <c r="AZ21" s="17">
        <f t="shared" si="27"/>
        <v>661.303</v>
      </c>
      <c r="BA21" s="19">
        <f>SUM(AW21:AZ21)</f>
        <v>2346.66</v>
      </c>
      <c r="BB21" s="17">
        <f t="shared" ref="BB21" si="28">BB57</f>
        <v>603.53099999999995</v>
      </c>
      <c r="BC21" s="29"/>
      <c r="BD21" s="29"/>
      <c r="BE21" s="29"/>
      <c r="BF21" s="21">
        <v>2487.5790785220302</v>
      </c>
      <c r="BG21" s="21">
        <v>2739.2493792817477</v>
      </c>
      <c r="BH21" s="21">
        <v>2385.9256184757542</v>
      </c>
      <c r="BI21" s="21">
        <v>2342.7753430177299</v>
      </c>
      <c r="BJ21" s="21">
        <v>2354.2258978959403</v>
      </c>
      <c r="BK21" s="21">
        <v>2366.393442864703</v>
      </c>
      <c r="BL21" s="21">
        <v>2353.8092138262846</v>
      </c>
      <c r="BM21" s="21">
        <v>2291.8749289401571</v>
      </c>
      <c r="BN21" s="21">
        <v>2252.5749662576809</v>
      </c>
      <c r="BO21" s="21">
        <v>2144.1770774542738</v>
      </c>
      <c r="BP21" s="21">
        <v>2014.7044055609886</v>
      </c>
      <c r="BQ21" s="21">
        <v>1715.189232248217</v>
      </c>
      <c r="BR21" s="21">
        <v>1542.6455542599988</v>
      </c>
      <c r="BS21" s="21">
        <v>1196.2463209551559</v>
      </c>
      <c r="BT21" s="21">
        <v>1050.9357632357423</v>
      </c>
      <c r="BU21" s="22"/>
    </row>
    <row r="22" spans="2:73" ht="15.6">
      <c r="C22" s="537" t="s">
        <v>407</v>
      </c>
      <c r="D22" s="23">
        <f>D58-0.285</f>
        <v>0.69300000000000006</v>
      </c>
      <c r="E22" s="23">
        <f>E58+-0.284</f>
        <v>0.81899999999999995</v>
      </c>
      <c r="F22" s="23">
        <f>F58-0.285</f>
        <v>0.79200000000000004</v>
      </c>
      <c r="G22" s="23">
        <f>G58+-0.284</f>
        <v>2.3170000000000002</v>
      </c>
      <c r="H22" s="24">
        <f t="shared" ref="H22:H36" si="29">SUM(D22:G22)</f>
        <v>4.6210000000000004</v>
      </c>
      <c r="I22" s="23">
        <f t="shared" si="20"/>
        <v>1.0780000000000001</v>
      </c>
      <c r="J22" s="23">
        <f t="shared" si="20"/>
        <v>1.2290000000000001</v>
      </c>
      <c r="K22" s="23">
        <f t="shared" si="20"/>
        <v>1.385</v>
      </c>
      <c r="L22" s="23">
        <f t="shared" si="20"/>
        <v>1.76</v>
      </c>
      <c r="M22" s="24">
        <f t="shared" ref="M22:M36" si="30">SUM(I22:L22)</f>
        <v>5.452</v>
      </c>
      <c r="N22" s="23">
        <f t="shared" si="21"/>
        <v>1.585</v>
      </c>
      <c r="O22" s="23">
        <f t="shared" si="21"/>
        <v>1.6879999999999999</v>
      </c>
      <c r="P22" s="23">
        <f t="shared" si="21"/>
        <v>1.774</v>
      </c>
      <c r="Q22" s="23">
        <f t="shared" si="21"/>
        <v>1.978</v>
      </c>
      <c r="R22" s="24">
        <f t="shared" ref="R22:R36" si="31">SUM(N22:Q22)</f>
        <v>7.0249999999999995</v>
      </c>
      <c r="S22" s="23">
        <f t="shared" si="22"/>
        <v>1.9330000000000001</v>
      </c>
      <c r="T22" s="23">
        <f t="shared" si="22"/>
        <v>2.13</v>
      </c>
      <c r="U22" s="23">
        <f t="shared" si="22"/>
        <v>2.177</v>
      </c>
      <c r="V22" s="23">
        <f t="shared" si="22"/>
        <v>3.919</v>
      </c>
      <c r="W22" s="24">
        <f t="shared" ref="W22:W36" si="32">SUM(S22:V22)</f>
        <v>10.159000000000001</v>
      </c>
      <c r="X22" s="23">
        <f t="shared" si="23"/>
        <v>2.2679999999999998</v>
      </c>
      <c r="Y22" s="23">
        <f t="shared" si="23"/>
        <v>1.641</v>
      </c>
      <c r="Z22" s="23">
        <f t="shared" si="23"/>
        <v>2.1179999999999999</v>
      </c>
      <c r="AA22" s="23">
        <f t="shared" si="23"/>
        <v>1.9570000000000001</v>
      </c>
      <c r="AB22" s="24">
        <f t="shared" ref="AB22:AB36" si="33">SUM(X22:AA22)</f>
        <v>7.9839999999999991</v>
      </c>
      <c r="AC22" s="23">
        <f t="shared" si="24"/>
        <v>2.0939999999999999</v>
      </c>
      <c r="AD22" s="23">
        <f t="shared" si="24"/>
        <v>2.0510000000000002</v>
      </c>
      <c r="AE22" s="23">
        <f t="shared" si="24"/>
        <v>2.56</v>
      </c>
      <c r="AF22" s="23">
        <f t="shared" si="24"/>
        <v>4.0069999999999997</v>
      </c>
      <c r="AG22" s="24">
        <f t="shared" ref="AG22:AG36" si="34">SUM(AC22:AF22)</f>
        <v>10.712</v>
      </c>
      <c r="AH22" s="23">
        <f t="shared" si="25"/>
        <v>2.375</v>
      </c>
      <c r="AI22" s="23">
        <f t="shared" si="25"/>
        <v>4.7309999999999999</v>
      </c>
      <c r="AJ22" s="23">
        <f t="shared" si="25"/>
        <v>3.8839999999999999</v>
      </c>
      <c r="AK22" s="23">
        <f t="shared" si="25"/>
        <v>6.3040000000000003</v>
      </c>
      <c r="AL22" s="24">
        <f t="shared" ref="AL22:AL36" si="35">SUM(AH22:AK22)</f>
        <v>17.294</v>
      </c>
      <c r="AM22" s="23">
        <f t="shared" si="26"/>
        <v>3.766</v>
      </c>
      <c r="AN22" s="23">
        <f t="shared" si="26"/>
        <v>4.3840000000000003</v>
      </c>
      <c r="AO22" s="23">
        <f t="shared" si="26"/>
        <v>4.1760000000000002</v>
      </c>
      <c r="AP22" s="23">
        <f>AP58</f>
        <v>9.1229999999999993</v>
      </c>
      <c r="AQ22" s="25">
        <f>SUM(AM22:AP22)</f>
        <v>21.448999999999998</v>
      </c>
      <c r="AR22" s="26">
        <f>AR58</f>
        <v>4.8550000000000004</v>
      </c>
      <c r="AS22" s="26">
        <f>AS58</f>
        <v>10.71</v>
      </c>
      <c r="AT22" s="26">
        <f>AT58</f>
        <v>5.3810000000000002</v>
      </c>
      <c r="AU22" s="26">
        <f>AU58</f>
        <v>5.2140000000000004</v>
      </c>
      <c r="AV22" s="25">
        <f>SUM(AR22:AU22)</f>
        <v>26.160000000000004</v>
      </c>
      <c r="AW22" s="26">
        <f>AW58</f>
        <v>4.5209999999999999</v>
      </c>
      <c r="AX22" s="26">
        <f>AX58</f>
        <v>4.2329999999999997</v>
      </c>
      <c r="AY22" s="26">
        <f t="shared" si="27"/>
        <v>3.9390000000000001</v>
      </c>
      <c r="AZ22" s="26">
        <f t="shared" si="27"/>
        <v>4.2140000000000004</v>
      </c>
      <c r="BA22" s="25">
        <f>SUM(AW22:AZ22)</f>
        <v>16.907</v>
      </c>
      <c r="BB22" s="26">
        <f t="shared" ref="BB22" si="36">BB58</f>
        <v>4.05</v>
      </c>
      <c r="BC22" s="190"/>
      <c r="BD22" s="190"/>
      <c r="BE22" s="190"/>
      <c r="BF22" s="28">
        <v>17.171955000000001</v>
      </c>
      <c r="BG22" s="28">
        <v>15.454759500000002</v>
      </c>
      <c r="BH22" s="28">
        <v>63.909283549999998</v>
      </c>
      <c r="BI22" s="28">
        <v>137.518355195</v>
      </c>
      <c r="BJ22" s="28">
        <v>111.26651967550001</v>
      </c>
      <c r="BK22" s="28">
        <v>60.139867707950003</v>
      </c>
      <c r="BL22" s="28">
        <v>34.125880937155003</v>
      </c>
      <c r="BM22" s="28">
        <v>8.2132928434395005</v>
      </c>
      <c r="BN22" s="28">
        <v>7.3919635590955508</v>
      </c>
      <c r="BO22" s="28">
        <v>6.6527672031859959</v>
      </c>
      <c r="BP22" s="28">
        <v>5.987490482867396</v>
      </c>
      <c r="BQ22" s="28">
        <v>5.3887414345806564</v>
      </c>
      <c r="BR22" s="28">
        <v>4.8498672911225906</v>
      </c>
      <c r="BS22" s="28">
        <v>4.3648805620103319</v>
      </c>
      <c r="BT22" s="28">
        <v>3.928392505809299</v>
      </c>
      <c r="BU22" s="22"/>
    </row>
    <row r="23" spans="2:73">
      <c r="C23" s="1" t="s">
        <v>47</v>
      </c>
      <c r="D23" s="29">
        <f>SUM(D21:D22)</f>
        <v>50.595999999999997</v>
      </c>
      <c r="E23" s="29">
        <f>SUM(E21:E22)</f>
        <v>64.283000000000001</v>
      </c>
      <c r="F23" s="29">
        <f>SUM(F21:F22)</f>
        <v>73.007999999999996</v>
      </c>
      <c r="G23" s="29">
        <f>SUM(G21:G22)</f>
        <v>83.25200000000001</v>
      </c>
      <c r="H23" s="18">
        <f t="shared" si="29"/>
        <v>271.13900000000001</v>
      </c>
      <c r="I23" s="29">
        <f>SUM(I21:I22)</f>
        <v>102.53</v>
      </c>
      <c r="J23" s="29">
        <f>SUM(J21:J22)</f>
        <v>129.53900000000002</v>
      </c>
      <c r="K23" s="29">
        <f>SUM(K21:K22)</f>
        <v>175.51499999999999</v>
      </c>
      <c r="L23" s="29">
        <f>SUM(L21:L22)</f>
        <v>183.703</v>
      </c>
      <c r="M23" s="18">
        <f t="shared" si="30"/>
        <v>591.28700000000003</v>
      </c>
      <c r="N23" s="29">
        <f>SUM(N21:N22)</f>
        <v>196.23699999999999</v>
      </c>
      <c r="O23" s="29">
        <f>SUM(O21:O22)</f>
        <v>208.25199999999998</v>
      </c>
      <c r="P23" s="29">
        <f>SUM(P21:P22)</f>
        <v>232.16</v>
      </c>
      <c r="Q23" s="29">
        <f>SUM(Q21:Q22)</f>
        <v>235.774</v>
      </c>
      <c r="R23" s="18">
        <f t="shared" si="31"/>
        <v>872.423</v>
      </c>
      <c r="S23" s="29">
        <f>SUM(S21:S22)</f>
        <v>246.91899999999998</v>
      </c>
      <c r="T23" s="29">
        <f>SUM(T21:T22)</f>
        <v>291.23</v>
      </c>
      <c r="U23" s="29">
        <f>SUM(U21:U22)</f>
        <v>306.584</v>
      </c>
      <c r="V23" s="29">
        <f>SUM(V21:V22)</f>
        <v>328.142</v>
      </c>
      <c r="W23" s="18">
        <f t="shared" si="32"/>
        <v>1172.875</v>
      </c>
      <c r="X23" s="29">
        <f>SUM(X21:X22)</f>
        <v>309.303</v>
      </c>
      <c r="Y23" s="29">
        <f>SUM(Y21:Y22)</f>
        <v>333.74700000000001</v>
      </c>
      <c r="Z23" s="29">
        <f>SUM(Z21:Z22)</f>
        <v>340.87200000000001</v>
      </c>
      <c r="AA23" s="29">
        <f>SUM(AA21:AA22)</f>
        <v>340.88099999999997</v>
      </c>
      <c r="AB23" s="18">
        <f t="shared" si="33"/>
        <v>1324.8029999999999</v>
      </c>
      <c r="AC23" s="29">
        <f>SUM(AC21:AC22)</f>
        <v>336.01</v>
      </c>
      <c r="AD23" s="29">
        <f>SUM(AD21:AD22)</f>
        <v>381.161</v>
      </c>
      <c r="AE23" s="29">
        <f>SUM(AE21:AE22)</f>
        <v>374.18099999999998</v>
      </c>
      <c r="AF23" s="29">
        <f>SUM(AF21:AF22)</f>
        <v>396.62099999999998</v>
      </c>
      <c r="AG23" s="18">
        <f t="shared" si="34"/>
        <v>1487.973</v>
      </c>
      <c r="AH23" s="29">
        <f>SUM(AH21:AH22)</f>
        <v>376.053</v>
      </c>
      <c r="AI23" s="29">
        <f>SUM(AI21:AI22)</f>
        <v>394.38599999999997</v>
      </c>
      <c r="AJ23" s="29">
        <f>SUM(AJ21:AJ22)</f>
        <v>411.85500000000002</v>
      </c>
      <c r="AK23" s="29">
        <f>SUM(AK21:AK22)</f>
        <v>436.399</v>
      </c>
      <c r="AL23" s="18">
        <f t="shared" si="35"/>
        <v>1618.6929999999998</v>
      </c>
      <c r="AM23" s="29">
        <f t="shared" ref="AM23:AW23" si="37">SUM(AM21:AM22)</f>
        <v>444.613</v>
      </c>
      <c r="AN23" s="29">
        <f t="shared" si="37"/>
        <v>500.47900000000004</v>
      </c>
      <c r="AO23" s="29">
        <f t="shared" si="37"/>
        <v>469.37299999999999</v>
      </c>
      <c r="AP23" s="29">
        <f t="shared" si="37"/>
        <v>476.45699999999999</v>
      </c>
      <c r="AQ23" s="19">
        <f t="shared" si="37"/>
        <v>1890.9220000000003</v>
      </c>
      <c r="AR23" s="29">
        <f t="shared" si="37"/>
        <v>508.18600000000004</v>
      </c>
      <c r="AS23" s="29">
        <f t="shared" si="37"/>
        <v>534.13300000000004</v>
      </c>
      <c r="AT23" s="29">
        <f t="shared" si="37"/>
        <v>537.702</v>
      </c>
      <c r="AU23" s="29">
        <f t="shared" si="37"/>
        <v>581.74</v>
      </c>
      <c r="AV23" s="19">
        <f t="shared" si="37"/>
        <v>2161.7609999999995</v>
      </c>
      <c r="AW23" s="29">
        <f t="shared" si="37"/>
        <v>534.726</v>
      </c>
      <c r="AX23" s="29">
        <f>SUM(AX21:AX22)</f>
        <v>562.43599999999992</v>
      </c>
      <c r="AY23" s="29">
        <f>SUM(AY21:AY22)</f>
        <v>600.88799999999992</v>
      </c>
      <c r="AZ23" s="29">
        <f>SUM(AZ21:AZ22)</f>
        <v>665.51700000000005</v>
      </c>
      <c r="BA23" s="19">
        <f t="shared" ref="BA23" si="38">SUM(BA21:BA22)</f>
        <v>2363.567</v>
      </c>
      <c r="BB23" s="29">
        <f>SUM(BB21:BB22)</f>
        <v>607.5809999999999</v>
      </c>
      <c r="BC23" s="29"/>
      <c r="BD23" s="29"/>
      <c r="BE23" s="29"/>
      <c r="BF23" s="30">
        <f>SUM(BF21:BF22)</f>
        <v>2504.75103352203</v>
      </c>
      <c r="BG23" s="30">
        <f t="shared" ref="BG23:BT23" si="39">SUM(BG21:BG22)</f>
        <v>2754.7041387817476</v>
      </c>
      <c r="BH23" s="30">
        <f t="shared" si="39"/>
        <v>2449.8349020257542</v>
      </c>
      <c r="BI23" s="30">
        <f t="shared" si="39"/>
        <v>2480.2936982127299</v>
      </c>
      <c r="BJ23" s="30">
        <f t="shared" si="39"/>
        <v>2465.4924175714405</v>
      </c>
      <c r="BK23" s="30">
        <f t="shared" si="39"/>
        <v>2426.5333105726531</v>
      </c>
      <c r="BL23" s="30">
        <f t="shared" si="39"/>
        <v>2387.9350947634398</v>
      </c>
      <c r="BM23" s="30">
        <f t="shared" si="39"/>
        <v>2300.0882217835965</v>
      </c>
      <c r="BN23" s="30">
        <f t="shared" si="39"/>
        <v>2259.9669298167764</v>
      </c>
      <c r="BO23" s="30">
        <f t="shared" si="39"/>
        <v>2150.8298446574599</v>
      </c>
      <c r="BP23" s="30">
        <f t="shared" si="39"/>
        <v>2020.6918960438559</v>
      </c>
      <c r="BQ23" s="30">
        <f t="shared" si="39"/>
        <v>1720.5779736827976</v>
      </c>
      <c r="BR23" s="30">
        <f t="shared" si="39"/>
        <v>1547.4954215511214</v>
      </c>
      <c r="BS23" s="30">
        <f t="shared" si="39"/>
        <v>1200.6112015171661</v>
      </c>
      <c r="BT23" s="30">
        <f t="shared" si="39"/>
        <v>1054.8641557415517</v>
      </c>
      <c r="BU23" s="22"/>
    </row>
    <row r="24" spans="2:73" ht="15.6">
      <c r="C24" s="16" t="s">
        <v>48</v>
      </c>
      <c r="D24" s="23">
        <f>D87</f>
        <v>2.8090000000000002</v>
      </c>
      <c r="E24" s="23">
        <f>E87</f>
        <v>3.2210000000000001</v>
      </c>
      <c r="F24" s="23">
        <f>F87</f>
        <v>3.6999999999999997</v>
      </c>
      <c r="G24" s="23">
        <f>G87</f>
        <v>3.6680000000000001</v>
      </c>
      <c r="H24" s="24">
        <f t="shared" si="29"/>
        <v>13.398</v>
      </c>
      <c r="I24" s="23">
        <f>I87</f>
        <v>6.0749999999999993</v>
      </c>
      <c r="J24" s="23">
        <f>J87</f>
        <v>11.065</v>
      </c>
      <c r="K24" s="23">
        <f>K87</f>
        <v>21.857999999999997</v>
      </c>
      <c r="L24" s="23">
        <f>L87</f>
        <v>23.149000000000001</v>
      </c>
      <c r="M24" s="24">
        <f t="shared" si="30"/>
        <v>62.146999999999998</v>
      </c>
      <c r="N24" s="23">
        <f>N87</f>
        <v>24.923999999999999</v>
      </c>
      <c r="O24" s="23">
        <f>O87</f>
        <v>23.398</v>
      </c>
      <c r="P24" s="23">
        <f>P87</f>
        <v>23.148999999999997</v>
      </c>
      <c r="Q24" s="23">
        <f>Q87</f>
        <v>24.493000000000002</v>
      </c>
      <c r="R24" s="24">
        <f t="shared" si="31"/>
        <v>95.963999999999999</v>
      </c>
      <c r="S24" s="23">
        <f>S87</f>
        <v>22.716000000000001</v>
      </c>
      <c r="T24" s="23">
        <f>T87</f>
        <v>26.618000000000002</v>
      </c>
      <c r="U24" s="23">
        <f>U87</f>
        <v>26.754000000000001</v>
      </c>
      <c r="V24" s="23">
        <f>V87</f>
        <v>28.137</v>
      </c>
      <c r="W24" s="24">
        <f t="shared" si="32"/>
        <v>104.22500000000001</v>
      </c>
      <c r="X24" s="23">
        <f>X87</f>
        <v>27.602999999999998</v>
      </c>
      <c r="Y24" s="23">
        <f>Y87</f>
        <v>21.041</v>
      </c>
      <c r="Z24" s="23">
        <f>Z87</f>
        <v>27.599</v>
      </c>
      <c r="AA24" s="23">
        <f>AA87</f>
        <v>22.209</v>
      </c>
      <c r="AB24" s="24">
        <f t="shared" si="33"/>
        <v>98.451999999999998</v>
      </c>
      <c r="AC24" s="23">
        <f>AC87</f>
        <v>22.64</v>
      </c>
      <c r="AD24" s="23">
        <f>AD87</f>
        <v>23.016999999999999</v>
      </c>
      <c r="AE24" s="23">
        <f>AE87</f>
        <v>22.963000000000001</v>
      </c>
      <c r="AF24" s="23">
        <f>AF87</f>
        <v>32.177</v>
      </c>
      <c r="AG24" s="24">
        <f t="shared" si="34"/>
        <v>100.797</v>
      </c>
      <c r="AH24" s="23">
        <f>AH87</f>
        <v>23.819000000000003</v>
      </c>
      <c r="AI24" s="23">
        <f>AI87</f>
        <v>27.145</v>
      </c>
      <c r="AJ24" s="23">
        <f>AJ87</f>
        <v>29.63</v>
      </c>
      <c r="AK24" s="23">
        <f>AK87</f>
        <v>23.782</v>
      </c>
      <c r="AL24" s="24">
        <f t="shared" si="35"/>
        <v>104.37599999999999</v>
      </c>
      <c r="AM24" s="23">
        <f>AM87</f>
        <v>32.224999999999994</v>
      </c>
      <c r="AN24" s="23">
        <f>AN87</f>
        <v>32.911000000000001</v>
      </c>
      <c r="AO24" s="23">
        <f>AO87</f>
        <v>25.049000000000003</v>
      </c>
      <c r="AP24" s="23">
        <f>AP87</f>
        <v>24.725000000000001</v>
      </c>
      <c r="AQ24" s="31">
        <f>SUM(AM24:AP24)</f>
        <v>114.91</v>
      </c>
      <c r="AR24" s="23">
        <f>AR87</f>
        <v>31.847000000000001</v>
      </c>
      <c r="AS24" s="23">
        <f>AS87</f>
        <v>25.968</v>
      </c>
      <c r="AT24" s="23">
        <f>AT87</f>
        <v>29.414999999999999</v>
      </c>
      <c r="AU24" s="23">
        <f>AU87</f>
        <v>34.063000000000002</v>
      </c>
      <c r="AV24" s="31">
        <f>SUM(AR24:AU24)</f>
        <v>121.29299999999999</v>
      </c>
      <c r="AW24" s="23">
        <f>AW87</f>
        <v>26.984000000000002</v>
      </c>
      <c r="AX24" s="23">
        <f>AX87</f>
        <v>26.087</v>
      </c>
      <c r="AY24" s="23">
        <f>AY87</f>
        <v>40.176000000000002</v>
      </c>
      <c r="AZ24" s="23">
        <f>AZ87</f>
        <v>48.297999999999995</v>
      </c>
      <c r="BA24" s="31">
        <f>SUM(AW24:AZ24)</f>
        <v>141.54499999999999</v>
      </c>
      <c r="BB24" s="31">
        <f>BB87</f>
        <v>38.192999999999998</v>
      </c>
      <c r="BC24" s="31"/>
      <c r="BD24" s="31"/>
      <c r="BE24" s="31"/>
      <c r="BF24" s="31">
        <f>BF$23*(1-BF48)</f>
        <v>154.78695184144775</v>
      </c>
      <c r="BG24" s="31">
        <f t="shared" ref="BG24:BT24" si="40">BG$23*(1-BG48)</f>
        <v>170.23338893186525</v>
      </c>
      <c r="BH24" s="31">
        <f t="shared" si="40"/>
        <v>151.39328097856759</v>
      </c>
      <c r="BI24" s="31">
        <f t="shared" si="40"/>
        <v>153.27555356991272</v>
      </c>
      <c r="BJ24" s="31">
        <f t="shared" si="40"/>
        <v>152.36087379409744</v>
      </c>
      <c r="BK24" s="31">
        <f t="shared" si="40"/>
        <v>149.95330460334733</v>
      </c>
      <c r="BL24" s="31">
        <f t="shared" si="40"/>
        <v>147.56803752822989</v>
      </c>
      <c r="BM24" s="31">
        <f t="shared" si="40"/>
        <v>142.13933442945014</v>
      </c>
      <c r="BN24" s="31">
        <f t="shared" si="40"/>
        <v>139.65994529880575</v>
      </c>
      <c r="BO24" s="31">
        <f t="shared" si="40"/>
        <v>132.91556371413498</v>
      </c>
      <c r="BP24" s="31">
        <f t="shared" si="40"/>
        <v>124.87338462519217</v>
      </c>
      <c r="BQ24" s="31">
        <f t="shared" si="40"/>
        <v>106.32714245351865</v>
      </c>
      <c r="BR24" s="31">
        <f t="shared" si="40"/>
        <v>95.631101089387997</v>
      </c>
      <c r="BS24" s="31">
        <f t="shared" si="40"/>
        <v>74.194578919176962</v>
      </c>
      <c r="BT24" s="31">
        <f t="shared" si="40"/>
        <v>65.187799142034336</v>
      </c>
      <c r="BU24" s="22"/>
    </row>
    <row r="25" spans="2:73">
      <c r="C25" s="1" t="s">
        <v>0</v>
      </c>
      <c r="D25" s="32">
        <f>D23-D24</f>
        <v>47.786999999999999</v>
      </c>
      <c r="E25" s="32">
        <f>E23-E24</f>
        <v>61.061999999999998</v>
      </c>
      <c r="F25" s="32">
        <f>F23-F24</f>
        <v>69.307999999999993</v>
      </c>
      <c r="G25" s="32">
        <f>G23-G24</f>
        <v>79.584000000000003</v>
      </c>
      <c r="H25" s="18">
        <f t="shared" si="29"/>
        <v>257.74099999999999</v>
      </c>
      <c r="I25" s="32">
        <f>I23-I24</f>
        <v>96.454999999999998</v>
      </c>
      <c r="J25" s="32">
        <f>J23-J24</f>
        <v>118.47400000000002</v>
      </c>
      <c r="K25" s="32">
        <f>K23-K24</f>
        <v>153.65699999999998</v>
      </c>
      <c r="L25" s="32">
        <f>L23-L24</f>
        <v>160.554</v>
      </c>
      <c r="M25" s="18">
        <f t="shared" si="30"/>
        <v>529.14</v>
      </c>
      <c r="N25" s="32">
        <f>N23-N24</f>
        <v>171.31299999999999</v>
      </c>
      <c r="O25" s="32">
        <f>O23-O24</f>
        <v>184.85399999999998</v>
      </c>
      <c r="P25" s="32">
        <f>P23-P24</f>
        <v>209.011</v>
      </c>
      <c r="Q25" s="32">
        <f>Q23-Q24</f>
        <v>211.28100000000001</v>
      </c>
      <c r="R25" s="18">
        <f t="shared" si="31"/>
        <v>776.45900000000006</v>
      </c>
      <c r="S25" s="32">
        <f>S23-S24</f>
        <v>224.20299999999997</v>
      </c>
      <c r="T25" s="32">
        <f>T23-T24</f>
        <v>264.61200000000002</v>
      </c>
      <c r="U25" s="32">
        <f>U23-U24</f>
        <v>279.83</v>
      </c>
      <c r="V25" s="32">
        <f>V23-V24</f>
        <v>300.005</v>
      </c>
      <c r="W25" s="18">
        <f t="shared" si="32"/>
        <v>1068.6500000000001</v>
      </c>
      <c r="X25" s="32">
        <f>X23-X24</f>
        <v>281.7</v>
      </c>
      <c r="Y25" s="32">
        <f>Y23-Y24</f>
        <v>312.70600000000002</v>
      </c>
      <c r="Z25" s="32">
        <f>Z23-Z24</f>
        <v>313.27300000000002</v>
      </c>
      <c r="AA25" s="32">
        <f>AA23-AA24</f>
        <v>318.67199999999997</v>
      </c>
      <c r="AB25" s="18">
        <f t="shared" si="33"/>
        <v>1226.3509999999999</v>
      </c>
      <c r="AC25" s="32">
        <f>AC23-AC24</f>
        <v>313.37</v>
      </c>
      <c r="AD25" s="32">
        <f>AD23-AD24</f>
        <v>358.14400000000001</v>
      </c>
      <c r="AE25" s="32">
        <f>AE23-AE24</f>
        <v>351.21799999999996</v>
      </c>
      <c r="AF25" s="32">
        <f>AF23-AF24</f>
        <v>364.44399999999996</v>
      </c>
      <c r="AG25" s="18">
        <f t="shared" si="34"/>
        <v>1387.1759999999999</v>
      </c>
      <c r="AH25" s="32">
        <f>AH23-AH24</f>
        <v>352.23399999999998</v>
      </c>
      <c r="AI25" s="32">
        <f>AI23-AI24</f>
        <v>367.24099999999999</v>
      </c>
      <c r="AJ25" s="32">
        <f>AJ23-AJ24</f>
        <v>382.22500000000002</v>
      </c>
      <c r="AK25" s="32">
        <f>AK23-AK24</f>
        <v>412.61700000000002</v>
      </c>
      <c r="AL25" s="18">
        <f t="shared" si="35"/>
        <v>1514.3169999999998</v>
      </c>
      <c r="AM25" s="32">
        <f t="shared" ref="AM25:AV25" si="41">AM23-AM24</f>
        <v>412.38800000000003</v>
      </c>
      <c r="AN25" s="32">
        <f t="shared" si="41"/>
        <v>467.56800000000004</v>
      </c>
      <c r="AO25" s="32">
        <f t="shared" si="41"/>
        <v>444.32400000000001</v>
      </c>
      <c r="AP25" s="32">
        <f t="shared" si="41"/>
        <v>451.73199999999997</v>
      </c>
      <c r="AQ25" s="30">
        <f t="shared" si="41"/>
        <v>1776.0120000000002</v>
      </c>
      <c r="AR25" s="32">
        <f t="shared" si="41"/>
        <v>476.33900000000006</v>
      </c>
      <c r="AS25" s="32">
        <f t="shared" si="41"/>
        <v>508.16500000000002</v>
      </c>
      <c r="AT25" s="32">
        <f t="shared" si="41"/>
        <v>508.28699999999998</v>
      </c>
      <c r="AU25" s="32">
        <f t="shared" si="41"/>
        <v>547.67700000000002</v>
      </c>
      <c r="AV25" s="30">
        <f t="shared" si="41"/>
        <v>2040.4679999999996</v>
      </c>
      <c r="AW25" s="32">
        <f>AW23-AW24</f>
        <v>507.74200000000002</v>
      </c>
      <c r="AX25" s="32">
        <f>AX23-AX24</f>
        <v>536.34899999999993</v>
      </c>
      <c r="AY25" s="32">
        <f>AY23-AY24</f>
        <v>560.71199999999988</v>
      </c>
      <c r="AZ25" s="32">
        <f>AZ23-AZ24</f>
        <v>617.21900000000005</v>
      </c>
      <c r="BA25" s="30">
        <f t="shared" ref="BA25" si="42">BA23-BA24</f>
        <v>2222.0219999999999</v>
      </c>
      <c r="BB25" s="30">
        <f>BB23-BB24</f>
        <v>569.38799999999992</v>
      </c>
      <c r="BC25" s="30"/>
      <c r="BD25" s="30"/>
      <c r="BE25" s="30"/>
      <c r="BF25" s="30">
        <f>BF23-BF24</f>
        <v>2349.9640816805822</v>
      </c>
      <c r="BG25" s="30">
        <f t="shared" ref="BG25:BT25" si="43">BG23-BG24</f>
        <v>2584.4707498498824</v>
      </c>
      <c r="BH25" s="30">
        <f t="shared" si="43"/>
        <v>2298.4416210471868</v>
      </c>
      <c r="BI25" s="30">
        <f t="shared" si="43"/>
        <v>2327.0181446428173</v>
      </c>
      <c r="BJ25" s="30">
        <f t="shared" si="43"/>
        <v>2313.1315437773428</v>
      </c>
      <c r="BK25" s="30">
        <f t="shared" si="43"/>
        <v>2276.5800059693056</v>
      </c>
      <c r="BL25" s="30">
        <f t="shared" si="43"/>
        <v>2240.3670572352098</v>
      </c>
      <c r="BM25" s="30">
        <f t="shared" si="43"/>
        <v>2157.9488873541463</v>
      </c>
      <c r="BN25" s="30">
        <f t="shared" si="43"/>
        <v>2120.3069845179707</v>
      </c>
      <c r="BO25" s="30">
        <f t="shared" si="43"/>
        <v>2017.9142809433249</v>
      </c>
      <c r="BP25" s="30">
        <f t="shared" si="43"/>
        <v>1895.8185114186638</v>
      </c>
      <c r="BQ25" s="30">
        <f t="shared" si="43"/>
        <v>1614.2508312292789</v>
      </c>
      <c r="BR25" s="30">
        <f t="shared" si="43"/>
        <v>1451.8643204617333</v>
      </c>
      <c r="BS25" s="30">
        <f t="shared" si="43"/>
        <v>1126.4166225979891</v>
      </c>
      <c r="BT25" s="30">
        <f t="shared" si="43"/>
        <v>989.67635659951736</v>
      </c>
      <c r="BU25" s="22"/>
    </row>
    <row r="26" spans="2:73">
      <c r="C26" s="16" t="s">
        <v>49</v>
      </c>
      <c r="D26" s="17">
        <f>D95</f>
        <v>17.499000000000002</v>
      </c>
      <c r="E26" s="17">
        <f>E95</f>
        <v>19.676000000000002</v>
      </c>
      <c r="F26" s="17">
        <f>F95</f>
        <v>22.417000000000002</v>
      </c>
      <c r="G26" s="17">
        <f>G95</f>
        <v>22.506999999999998</v>
      </c>
      <c r="H26" s="18">
        <f t="shared" si="29"/>
        <v>82.099000000000004</v>
      </c>
      <c r="I26" s="17">
        <f>I95</f>
        <v>35.856000000000002</v>
      </c>
      <c r="J26" s="17">
        <f>J95</f>
        <v>45.354999999999997</v>
      </c>
      <c r="K26" s="17">
        <f>K95</f>
        <v>51.649000000000001</v>
      </c>
      <c r="L26" s="17">
        <f>L95</f>
        <v>54.136000000000003</v>
      </c>
      <c r="M26" s="18">
        <f t="shared" si="30"/>
        <v>186.99600000000001</v>
      </c>
      <c r="N26" s="17">
        <f>N95</f>
        <v>56.540000000000006</v>
      </c>
      <c r="O26" s="17">
        <f>O95</f>
        <v>62.886000000000003</v>
      </c>
      <c r="P26" s="17">
        <f>P95</f>
        <v>59.625</v>
      </c>
      <c r="Q26" s="17">
        <f>Q95</f>
        <v>64.481000000000009</v>
      </c>
      <c r="R26" s="18">
        <f t="shared" si="31"/>
        <v>243.53200000000004</v>
      </c>
      <c r="S26" s="17">
        <f>S95</f>
        <v>76.472999999999999</v>
      </c>
      <c r="T26" s="17">
        <f>T95</f>
        <v>80.435999999999993</v>
      </c>
      <c r="U26" s="17">
        <f>U95</f>
        <v>78.667000000000002</v>
      </c>
      <c r="V26" s="17">
        <f>V95</f>
        <v>83.477000000000004</v>
      </c>
      <c r="W26" s="18">
        <f t="shared" si="32"/>
        <v>319.053</v>
      </c>
      <c r="X26" s="17">
        <f>X95</f>
        <v>95.040999999999997</v>
      </c>
      <c r="Y26" s="17">
        <f>Y95</f>
        <v>88.47</v>
      </c>
      <c r="Z26" s="17">
        <f>Z95</f>
        <v>84.501999999999995</v>
      </c>
      <c r="AA26" s="17">
        <f>AA95</f>
        <v>87.409000000000006</v>
      </c>
      <c r="AB26" s="18">
        <f t="shared" si="33"/>
        <v>355.42199999999997</v>
      </c>
      <c r="AC26" s="17">
        <f>AC95</f>
        <v>102.61099999999999</v>
      </c>
      <c r="AD26" s="17">
        <f>AD95</f>
        <v>99.488</v>
      </c>
      <c r="AE26" s="17">
        <f>AE95</f>
        <v>94.533999999999992</v>
      </c>
      <c r="AF26" s="17">
        <f>AF95</f>
        <v>108.20400000000001</v>
      </c>
      <c r="AG26" s="18">
        <f t="shared" si="34"/>
        <v>404.83699999999999</v>
      </c>
      <c r="AH26" s="17">
        <f>AH95</f>
        <v>118.44999999999999</v>
      </c>
      <c r="AI26" s="17">
        <f>AI95</f>
        <v>111.45400000000001</v>
      </c>
      <c r="AJ26" s="17">
        <f>AJ95</f>
        <v>103.62</v>
      </c>
      <c r="AK26" s="17">
        <f>AK95</f>
        <v>121.41400000000002</v>
      </c>
      <c r="AL26" s="18">
        <f t="shared" si="35"/>
        <v>454.93799999999999</v>
      </c>
      <c r="AM26" s="17">
        <f>AM95</f>
        <v>131.97899999999998</v>
      </c>
      <c r="AN26" s="17">
        <f>AN95</f>
        <v>137.70600000000002</v>
      </c>
      <c r="AO26" s="17">
        <f>AO95</f>
        <v>136.89499999999998</v>
      </c>
      <c r="AP26" s="17">
        <f>AP95</f>
        <v>142.107</v>
      </c>
      <c r="AQ26" s="33">
        <f>SUM(AM26:AP26)</f>
        <v>548.68700000000001</v>
      </c>
      <c r="AR26" s="17">
        <f>AR95</f>
        <v>147.577</v>
      </c>
      <c r="AS26" s="17">
        <f>AS95</f>
        <v>155.32900000000001</v>
      </c>
      <c r="AT26" s="17">
        <f>AT95</f>
        <v>158.404</v>
      </c>
      <c r="AU26" s="17">
        <f>AU95</f>
        <v>196.935</v>
      </c>
      <c r="AV26" s="33">
        <f>SUM(AR26:AU26)</f>
        <v>658.245</v>
      </c>
      <c r="AW26" s="17">
        <f>AW95</f>
        <v>187.804</v>
      </c>
      <c r="AX26" s="17">
        <f>AX95</f>
        <v>170.386</v>
      </c>
      <c r="AY26" s="17">
        <f>AY95</f>
        <v>186.28100000000001</v>
      </c>
      <c r="AZ26" s="17">
        <f>AZ95</f>
        <v>225.37799999999999</v>
      </c>
      <c r="BA26" s="33">
        <f>SUM(AW26:AZ26)</f>
        <v>769.84899999999993</v>
      </c>
      <c r="BB26" s="33">
        <f>BB95</f>
        <v>228.39999999999998</v>
      </c>
      <c r="BC26" s="33"/>
      <c r="BD26" s="33"/>
      <c r="BE26" s="33"/>
      <c r="BF26" s="33">
        <f>BF$23*BF50</f>
        <v>876.66286173271044</v>
      </c>
      <c r="BG26" s="33">
        <f t="shared" ref="BG26:BT26" si="44">BG$23*BG50</f>
        <v>964.14644857361156</v>
      </c>
      <c r="BH26" s="33">
        <f t="shared" si="44"/>
        <v>857.44221570901391</v>
      </c>
      <c r="BI26" s="33">
        <f t="shared" si="44"/>
        <v>806.09545191913719</v>
      </c>
      <c r="BJ26" s="33">
        <f t="shared" si="44"/>
        <v>801.28503571071815</v>
      </c>
      <c r="BK26" s="33">
        <f t="shared" si="44"/>
        <v>788.62332593611234</v>
      </c>
      <c r="BL26" s="33">
        <f t="shared" si="44"/>
        <v>716.38052842903187</v>
      </c>
      <c r="BM26" s="33">
        <f t="shared" si="44"/>
        <v>690.02646653507895</v>
      </c>
      <c r="BN26" s="33">
        <f t="shared" si="44"/>
        <v>677.99007894503291</v>
      </c>
      <c r="BO26" s="33">
        <f t="shared" si="44"/>
        <v>645.24895339723798</v>
      </c>
      <c r="BP26" s="33">
        <f t="shared" si="44"/>
        <v>606.20756881315674</v>
      </c>
      <c r="BQ26" s="33">
        <f t="shared" si="44"/>
        <v>516.17339210483931</v>
      </c>
      <c r="BR26" s="33">
        <f t="shared" si="44"/>
        <v>464.24862646533637</v>
      </c>
      <c r="BS26" s="33">
        <f t="shared" si="44"/>
        <v>360.18336045514985</v>
      </c>
      <c r="BT26" s="33">
        <f t="shared" si="44"/>
        <v>316.45924672246548</v>
      </c>
      <c r="BU26" s="22"/>
    </row>
    <row r="27" spans="2:73">
      <c r="C27" s="16" t="s">
        <v>50</v>
      </c>
      <c r="D27" s="17">
        <f>D91</f>
        <v>3.0389999999999997</v>
      </c>
      <c r="E27" s="17">
        <f>E91</f>
        <v>2.5340000000000003</v>
      </c>
      <c r="F27" s="17">
        <f>F91</f>
        <v>2.4409999999999998</v>
      </c>
      <c r="G27" s="17">
        <f>G91</f>
        <v>1.6179999999999999</v>
      </c>
      <c r="H27" s="18">
        <f t="shared" si="29"/>
        <v>9.6319999999999997</v>
      </c>
      <c r="I27" s="17">
        <f>I91</f>
        <v>3.444</v>
      </c>
      <c r="J27" s="17">
        <f>J91</f>
        <v>1.7990000000000002</v>
      </c>
      <c r="K27" s="17">
        <f>K91</f>
        <v>6.2389999999999999</v>
      </c>
      <c r="L27" s="17">
        <f>L91</f>
        <v>6.3550000000000004</v>
      </c>
      <c r="M27" s="18">
        <f t="shared" si="30"/>
        <v>17.837</v>
      </c>
      <c r="N27" s="17">
        <f>N91</f>
        <v>5.6829999999999998</v>
      </c>
      <c r="O27" s="17">
        <f>O91</f>
        <v>7.6970000000000001</v>
      </c>
      <c r="P27" s="17">
        <f>P91</f>
        <v>9.8780000000000001</v>
      </c>
      <c r="Q27" s="17">
        <f>Q91</f>
        <v>11.004</v>
      </c>
      <c r="R27" s="18">
        <f t="shared" si="31"/>
        <v>34.262</v>
      </c>
      <c r="S27" s="17">
        <f>S91</f>
        <v>15.328000000000001</v>
      </c>
      <c r="T27" s="17">
        <f>T91</f>
        <v>16.509999999999998</v>
      </c>
      <c r="U27" s="17">
        <f>U91</f>
        <v>18.367999999999999</v>
      </c>
      <c r="V27" s="17">
        <f>V91</f>
        <v>21.164000000000001</v>
      </c>
      <c r="W27" s="18">
        <f t="shared" si="32"/>
        <v>71.37</v>
      </c>
      <c r="X27" s="17">
        <f>X91</f>
        <v>23.696000000000002</v>
      </c>
      <c r="Y27" s="17">
        <f>Y91</f>
        <v>23.966999999999999</v>
      </c>
      <c r="Z27" s="17">
        <f>Z91</f>
        <v>22.997999999999998</v>
      </c>
      <c r="AA27" s="17">
        <f>AA91</f>
        <v>26.016999999999999</v>
      </c>
      <c r="AB27" s="18">
        <f t="shared" si="33"/>
        <v>96.677999999999997</v>
      </c>
      <c r="AC27" s="17">
        <f>AC91</f>
        <v>27.962</v>
      </c>
      <c r="AD27" s="17">
        <f>AD91</f>
        <v>35.561999999999998</v>
      </c>
      <c r="AE27" s="17">
        <f>AE91</f>
        <v>43.323</v>
      </c>
      <c r="AF27" s="17">
        <f>AF91</f>
        <v>39.619</v>
      </c>
      <c r="AG27" s="18">
        <f t="shared" si="34"/>
        <v>146.46600000000001</v>
      </c>
      <c r="AH27" s="17">
        <f>AH91</f>
        <v>40.785999999999994</v>
      </c>
      <c r="AI27" s="17">
        <f>AI91</f>
        <v>35.297999999999995</v>
      </c>
      <c r="AJ27" s="17">
        <f>AJ91</f>
        <v>42.712000000000003</v>
      </c>
      <c r="AK27" s="17">
        <f>AK91</f>
        <v>43.276000000000003</v>
      </c>
      <c r="AL27" s="18">
        <f t="shared" si="35"/>
        <v>162.072</v>
      </c>
      <c r="AM27" s="17">
        <f>AM91</f>
        <v>47.292000000000002</v>
      </c>
      <c r="AN27" s="17">
        <f>AN91</f>
        <v>51.423000000000002</v>
      </c>
      <c r="AO27" s="17">
        <f>AO91</f>
        <v>46.559999999999995</v>
      </c>
      <c r="AP27" s="17">
        <f>AP91</f>
        <v>51.303999999999995</v>
      </c>
      <c r="AQ27" s="33">
        <f>SUM(AM27:AP27)</f>
        <v>196.57900000000001</v>
      </c>
      <c r="AR27" s="17">
        <f>AR91</f>
        <v>54.581999999999994</v>
      </c>
      <c r="AS27" s="17">
        <f>AS91</f>
        <v>56.488</v>
      </c>
      <c r="AT27" s="17">
        <f>AT91</f>
        <v>73.356999999999999</v>
      </c>
      <c r="AU27" s="17">
        <f>AU91</f>
        <v>90.070000000000007</v>
      </c>
      <c r="AV27" s="33">
        <f>SUM(AR27:AU27)</f>
        <v>274.49700000000001</v>
      </c>
      <c r="AW27" s="17">
        <f>AW91</f>
        <v>79.721999999999994</v>
      </c>
      <c r="AX27" s="17">
        <f>AX91</f>
        <v>71.259</v>
      </c>
      <c r="AY27" s="17">
        <f>AY91</f>
        <v>71.184000000000012</v>
      </c>
      <c r="AZ27" s="17">
        <f>AZ91</f>
        <v>83.968000000000004</v>
      </c>
      <c r="BA27" s="33">
        <f>SUM(AW27:AZ27)</f>
        <v>306.13300000000004</v>
      </c>
      <c r="BB27" s="33">
        <f>BB91</f>
        <v>67.929999999999993</v>
      </c>
      <c r="BC27" s="33"/>
      <c r="BD27" s="33"/>
      <c r="BE27" s="33"/>
      <c r="BF27" s="33">
        <f>BF$23*BF51</f>
        <v>375.71265502830448</v>
      </c>
      <c r="BG27" s="33">
        <f t="shared" ref="BG27:BT27" si="45">BG$23*BG51</f>
        <v>413.20562081726212</v>
      </c>
      <c r="BH27" s="33">
        <f t="shared" si="45"/>
        <v>367.47523530386314</v>
      </c>
      <c r="BI27" s="33">
        <f t="shared" si="45"/>
        <v>310.03671227659123</v>
      </c>
      <c r="BJ27" s="33">
        <f t="shared" si="45"/>
        <v>308.18655219643006</v>
      </c>
      <c r="BK27" s="33">
        <f t="shared" si="45"/>
        <v>303.31666382158164</v>
      </c>
      <c r="BL27" s="33">
        <f t="shared" si="45"/>
        <v>238.79350947634398</v>
      </c>
      <c r="BM27" s="33">
        <f t="shared" si="45"/>
        <v>230.00882217835965</v>
      </c>
      <c r="BN27" s="33">
        <f t="shared" si="45"/>
        <v>225.99669298167765</v>
      </c>
      <c r="BO27" s="33">
        <f t="shared" si="45"/>
        <v>215.08298446574599</v>
      </c>
      <c r="BP27" s="33">
        <f t="shared" si="45"/>
        <v>202.0691896043856</v>
      </c>
      <c r="BQ27" s="33">
        <f t="shared" si="45"/>
        <v>172.05779736827978</v>
      </c>
      <c r="BR27" s="33">
        <f t="shared" si="45"/>
        <v>154.74954215511215</v>
      </c>
      <c r="BS27" s="33">
        <f t="shared" si="45"/>
        <v>120.06112015171662</v>
      </c>
      <c r="BT27" s="33">
        <f t="shared" si="45"/>
        <v>105.48641557415517</v>
      </c>
      <c r="BU27" s="22"/>
    </row>
    <row r="28" spans="2:73" ht="15.6">
      <c r="C28" s="16" t="s">
        <v>51</v>
      </c>
      <c r="D28" s="23">
        <f>D101</f>
        <v>0</v>
      </c>
      <c r="E28" s="23">
        <f>E101</f>
        <v>0</v>
      </c>
      <c r="F28" s="23">
        <f>F101</f>
        <v>0</v>
      </c>
      <c r="G28" s="23">
        <f>G101</f>
        <v>0</v>
      </c>
      <c r="H28" s="24">
        <f t="shared" si="29"/>
        <v>0</v>
      </c>
      <c r="I28" s="23">
        <f>I101</f>
        <v>0</v>
      </c>
      <c r="J28" s="23">
        <f>J101</f>
        <v>0</v>
      </c>
      <c r="K28" s="23">
        <f>K101</f>
        <v>0</v>
      </c>
      <c r="L28" s="23">
        <f>L101</f>
        <v>0</v>
      </c>
      <c r="M28" s="24">
        <f t="shared" si="30"/>
        <v>0</v>
      </c>
      <c r="N28" s="23">
        <f>N101</f>
        <v>0</v>
      </c>
      <c r="O28" s="23">
        <f>O101</f>
        <v>0</v>
      </c>
      <c r="P28" s="23">
        <f>P101</f>
        <v>0</v>
      </c>
      <c r="Q28" s="23">
        <f>Q101</f>
        <v>0</v>
      </c>
      <c r="R28" s="24">
        <f t="shared" si="31"/>
        <v>0</v>
      </c>
      <c r="S28" s="23">
        <f>S101</f>
        <v>0</v>
      </c>
      <c r="T28" s="23">
        <f>T101</f>
        <v>0</v>
      </c>
      <c r="U28" s="23">
        <f>U101</f>
        <v>0</v>
      </c>
      <c r="V28" s="23">
        <f>V101</f>
        <v>0</v>
      </c>
      <c r="W28" s="24">
        <f t="shared" si="32"/>
        <v>0</v>
      </c>
      <c r="X28" s="23">
        <f>X101</f>
        <v>0</v>
      </c>
      <c r="Y28" s="23">
        <f>Y101</f>
        <v>0</v>
      </c>
      <c r="Z28" s="23">
        <f>Z101</f>
        <v>0</v>
      </c>
      <c r="AA28" s="23">
        <f>AA101</f>
        <v>0</v>
      </c>
      <c r="AB28" s="24">
        <f t="shared" si="33"/>
        <v>0</v>
      </c>
      <c r="AC28" s="23">
        <f>AC101</f>
        <v>0</v>
      </c>
      <c r="AD28" s="23">
        <f>AD101</f>
        <v>0</v>
      </c>
      <c r="AE28" s="23">
        <f>AE101</f>
        <v>0</v>
      </c>
      <c r="AF28" s="23">
        <f>AF101</f>
        <v>0</v>
      </c>
      <c r="AG28" s="24">
        <f t="shared" si="34"/>
        <v>0</v>
      </c>
      <c r="AH28" s="23">
        <f>AH101</f>
        <v>0</v>
      </c>
      <c r="AI28" s="23">
        <f>AI101</f>
        <v>2</v>
      </c>
      <c r="AJ28" s="23">
        <f>AJ101</f>
        <v>0</v>
      </c>
      <c r="AK28" s="23">
        <f>AK101</f>
        <v>0</v>
      </c>
      <c r="AL28" s="24">
        <f t="shared" si="35"/>
        <v>2</v>
      </c>
      <c r="AM28" s="23">
        <f>AM101</f>
        <v>0</v>
      </c>
      <c r="AN28" s="23">
        <f>AN101</f>
        <v>0</v>
      </c>
      <c r="AO28" s="23">
        <f>AO101</f>
        <v>0</v>
      </c>
      <c r="AP28" s="23">
        <f>AP101</f>
        <v>0</v>
      </c>
      <c r="AQ28" s="25">
        <f>SUM(AM28:AP28)</f>
        <v>0</v>
      </c>
      <c r="AR28" s="23">
        <f>AR101</f>
        <v>0</v>
      </c>
      <c r="AS28" s="23">
        <f>AS101</f>
        <v>2.2000000000000028</v>
      </c>
      <c r="AT28" s="23">
        <f>AT101</f>
        <v>3.5</v>
      </c>
      <c r="AU28" s="23">
        <f>AU101</f>
        <v>0</v>
      </c>
      <c r="AV28" s="25">
        <f>SUM(AR28:AU28)</f>
        <v>5.7000000000000028</v>
      </c>
      <c r="AW28" s="23">
        <f>AW101</f>
        <v>202.24999999999997</v>
      </c>
      <c r="AX28" s="23">
        <f>AX101</f>
        <v>2.9999999999999929</v>
      </c>
      <c r="AY28" s="23">
        <f>AY101</f>
        <v>10</v>
      </c>
      <c r="AZ28" s="23">
        <f>AZ101</f>
        <v>36</v>
      </c>
      <c r="BA28" s="25">
        <f>SUM(AW28:AZ28)</f>
        <v>251.24999999999997</v>
      </c>
      <c r="BB28" s="25">
        <f>BB101</f>
        <v>0</v>
      </c>
      <c r="BC28" s="25"/>
      <c r="BD28" s="25"/>
      <c r="BE28" s="25"/>
      <c r="BF28" s="25">
        <f>BA28</f>
        <v>251.24999999999997</v>
      </c>
      <c r="BG28" s="25">
        <f>BF28</f>
        <v>251.24999999999997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0</v>
      </c>
      <c r="BO28" s="25">
        <v>0</v>
      </c>
      <c r="BP28" s="25">
        <v>0</v>
      </c>
      <c r="BQ28" s="25">
        <v>0</v>
      </c>
      <c r="BR28" s="25">
        <v>0</v>
      </c>
      <c r="BS28" s="25">
        <v>0</v>
      </c>
      <c r="BT28" s="25">
        <v>0</v>
      </c>
      <c r="BU28" s="22"/>
    </row>
    <row r="29" spans="2:73" s="2" customFormat="1">
      <c r="B29" s="1"/>
      <c r="C29" s="1" t="s">
        <v>52</v>
      </c>
      <c r="D29" s="29">
        <f>D25-SUM(D26:D28)</f>
        <v>27.248999999999995</v>
      </c>
      <c r="E29" s="29">
        <f>E25-SUM(E26:E28)</f>
        <v>38.851999999999997</v>
      </c>
      <c r="F29" s="29">
        <f>F25-SUM(F26:F28)</f>
        <v>44.449999999999989</v>
      </c>
      <c r="G29" s="29">
        <f>G25-SUM(G26:G28)</f>
        <v>55.459000000000003</v>
      </c>
      <c r="H29" s="18">
        <f t="shared" si="29"/>
        <v>166.01</v>
      </c>
      <c r="I29" s="29">
        <f>I25-SUM(I26:I28)</f>
        <v>57.154999999999994</v>
      </c>
      <c r="J29" s="29">
        <f>J25-SUM(J26:J28)</f>
        <v>71.320000000000022</v>
      </c>
      <c r="K29" s="29">
        <f>K25-SUM(K26:K28)</f>
        <v>95.768999999999977</v>
      </c>
      <c r="L29" s="29">
        <f>L25-SUM(L26:L28)</f>
        <v>100.063</v>
      </c>
      <c r="M29" s="18">
        <f t="shared" si="30"/>
        <v>324.30700000000002</v>
      </c>
      <c r="N29" s="29">
        <f>N25-SUM(N26:N28)</f>
        <v>109.08999999999997</v>
      </c>
      <c r="O29" s="29">
        <f>O25-SUM(O26:O28)</f>
        <v>114.27099999999999</v>
      </c>
      <c r="P29" s="29">
        <f>P25-SUM(P26:P28)</f>
        <v>139.50799999999998</v>
      </c>
      <c r="Q29" s="29">
        <f>Q25-SUM(Q26:Q28)</f>
        <v>135.79599999999999</v>
      </c>
      <c r="R29" s="18">
        <f t="shared" si="31"/>
        <v>498.66499999999991</v>
      </c>
      <c r="S29" s="29">
        <f>S25-SUM(S26:S28)</f>
        <v>132.40199999999999</v>
      </c>
      <c r="T29" s="29">
        <f>T25-SUM(T26:T28)</f>
        <v>167.66600000000003</v>
      </c>
      <c r="U29" s="29">
        <f>U25-SUM(U26:U28)</f>
        <v>182.79499999999999</v>
      </c>
      <c r="V29" s="29">
        <f>V25-SUM(V26:V28)</f>
        <v>195.36399999999998</v>
      </c>
      <c r="W29" s="18">
        <f t="shared" si="32"/>
        <v>678.22699999999986</v>
      </c>
      <c r="X29" s="29">
        <f>X25-SUM(X26:X28)</f>
        <v>162.96299999999999</v>
      </c>
      <c r="Y29" s="29">
        <f>Y25-SUM(Y26:Y28)</f>
        <v>200.26900000000001</v>
      </c>
      <c r="Z29" s="29">
        <f>Z25-SUM(Z26:Z28)</f>
        <v>205.77300000000002</v>
      </c>
      <c r="AA29" s="29">
        <f>AA25-SUM(AA26:AA28)</f>
        <v>205.24599999999998</v>
      </c>
      <c r="AB29" s="18">
        <f t="shared" si="33"/>
        <v>774.25099999999998</v>
      </c>
      <c r="AC29" s="29">
        <f>AC25-SUM(AC26:AC28)</f>
        <v>182.79700000000003</v>
      </c>
      <c r="AD29" s="29">
        <f>AD25-SUM(AD26:AD28)</f>
        <v>223.09399999999999</v>
      </c>
      <c r="AE29" s="29">
        <f>AE25-SUM(AE26:AE28)</f>
        <v>213.36099999999996</v>
      </c>
      <c r="AF29" s="29">
        <f>AF25-SUM(AF26:AF28)</f>
        <v>216.62099999999995</v>
      </c>
      <c r="AG29" s="18">
        <f t="shared" si="34"/>
        <v>835.87299999999993</v>
      </c>
      <c r="AH29" s="29">
        <f>AH25-SUM(AH26:AH28)</f>
        <v>192.99799999999999</v>
      </c>
      <c r="AI29" s="29">
        <f>AI25-SUM(AI26:AI28)</f>
        <v>218.48899999999998</v>
      </c>
      <c r="AJ29" s="29">
        <f>AJ25-SUM(AJ26:AJ28)</f>
        <v>235.89300000000003</v>
      </c>
      <c r="AK29" s="29">
        <f>AK25-SUM(AK26:AK28)</f>
        <v>247.92699999999999</v>
      </c>
      <c r="AL29" s="18">
        <f t="shared" si="35"/>
        <v>895.30700000000002</v>
      </c>
      <c r="AM29" s="29">
        <f>AM25-SUM(AM26:AM28)</f>
        <v>233.11700000000005</v>
      </c>
      <c r="AN29" s="29">
        <f>AN25-SUM(AN26:AN28)</f>
        <v>278.43900000000002</v>
      </c>
      <c r="AO29" s="29">
        <f>AO25-SUM(AO26:AO28)</f>
        <v>260.86900000000003</v>
      </c>
      <c r="AP29" s="29">
        <f>AP25-SUM(AP26:AP28)</f>
        <v>258.32099999999997</v>
      </c>
      <c r="AQ29" s="19">
        <f t="shared" ref="AQ29" si="46">AQ25-SUM(AQ26:AQ28)</f>
        <v>1030.7460000000001</v>
      </c>
      <c r="AR29" s="29">
        <f>AR25-SUM(AR26:AR28)</f>
        <v>274.18000000000006</v>
      </c>
      <c r="AS29" s="29">
        <f>AS25-SUM(AS26:AS28)</f>
        <v>294.14800000000002</v>
      </c>
      <c r="AT29" s="29">
        <f>AT25-SUM(AT26:AT28)</f>
        <v>273.02599999999995</v>
      </c>
      <c r="AU29" s="29">
        <f>AU25-SUM(AU26:AU28)</f>
        <v>260.67200000000003</v>
      </c>
      <c r="AV29" s="19">
        <f t="shared" ref="AV29" si="47">AV25-SUM(AV26:AV28)</f>
        <v>1102.0259999999996</v>
      </c>
      <c r="AW29" s="29">
        <f>AW25-SUM(AW26:AW28)</f>
        <v>37.966000000000065</v>
      </c>
      <c r="AX29" s="29">
        <f>AX25-SUM(AX26:AX28)</f>
        <v>291.70399999999995</v>
      </c>
      <c r="AY29" s="29">
        <f>AY25-SUM(AY26:AY28)</f>
        <v>293.24699999999984</v>
      </c>
      <c r="AZ29" s="29">
        <f>AZ25-SUM(AZ26:AZ28)</f>
        <v>271.87300000000005</v>
      </c>
      <c r="BA29" s="19">
        <f t="shared" ref="BA29:BT29" si="48">BA25-SUM(BA26:BA28)</f>
        <v>894.79</v>
      </c>
      <c r="BB29" s="19">
        <f t="shared" si="48"/>
        <v>273.05799999999994</v>
      </c>
      <c r="BC29" s="19">
        <f t="shared" si="48"/>
        <v>0</v>
      </c>
      <c r="BD29" s="19">
        <f t="shared" si="48"/>
        <v>0</v>
      </c>
      <c r="BE29" s="19">
        <f t="shared" si="48"/>
        <v>0</v>
      </c>
      <c r="BF29" s="19">
        <f t="shared" si="48"/>
        <v>846.33856491956726</v>
      </c>
      <c r="BG29" s="19">
        <f t="shared" si="48"/>
        <v>955.86868045900883</v>
      </c>
      <c r="BH29" s="19">
        <f t="shared" si="48"/>
        <v>1073.5241700343097</v>
      </c>
      <c r="BI29" s="19">
        <f t="shared" si="48"/>
        <v>1210.885980447089</v>
      </c>
      <c r="BJ29" s="19">
        <f t="shared" si="48"/>
        <v>1203.6599558701946</v>
      </c>
      <c r="BK29" s="19">
        <f t="shared" si="48"/>
        <v>1184.6400162116115</v>
      </c>
      <c r="BL29" s="19">
        <f t="shared" si="48"/>
        <v>1285.193019329834</v>
      </c>
      <c r="BM29" s="19">
        <f t="shared" si="48"/>
        <v>1237.9135986407077</v>
      </c>
      <c r="BN29" s="19">
        <f t="shared" si="48"/>
        <v>1216.3202125912601</v>
      </c>
      <c r="BO29" s="19">
        <f t="shared" si="48"/>
        <v>1157.5823430803409</v>
      </c>
      <c r="BP29" s="19">
        <f t="shared" si="48"/>
        <v>1087.5417530011214</v>
      </c>
      <c r="BQ29" s="19">
        <f t="shared" si="48"/>
        <v>926.01964175615979</v>
      </c>
      <c r="BR29" s="19">
        <f t="shared" si="48"/>
        <v>832.86615184128482</v>
      </c>
      <c r="BS29" s="19">
        <f t="shared" si="48"/>
        <v>646.17214199112254</v>
      </c>
      <c r="BT29" s="19">
        <f t="shared" si="48"/>
        <v>567.73069430289672</v>
      </c>
      <c r="BU29" s="22"/>
    </row>
    <row r="30" spans="2:73" s="2" customFormat="1">
      <c r="B30" s="1"/>
      <c r="C30" s="16" t="s">
        <v>192</v>
      </c>
      <c r="D30" s="17">
        <f>D105</f>
        <v>-0.57100000000000006</v>
      </c>
      <c r="E30" s="17">
        <f>E105</f>
        <v>-0.46900000000000003</v>
      </c>
      <c r="F30" s="17">
        <f>F105</f>
        <v>-0.125</v>
      </c>
      <c r="G30" s="17">
        <f>G105</f>
        <v>-4.1000000000000002E-2</v>
      </c>
      <c r="H30" s="18">
        <f t="shared" si="29"/>
        <v>-1.206</v>
      </c>
      <c r="I30" s="17">
        <f>I105</f>
        <v>4.3300000000000005E-2</v>
      </c>
      <c r="J30" s="17">
        <f>J105</f>
        <v>-1.214</v>
      </c>
      <c r="K30" s="17">
        <f>K105</f>
        <v>-6.4889999999999999</v>
      </c>
      <c r="L30" s="17">
        <f>L105</f>
        <v>-6.3789999999999996</v>
      </c>
      <c r="M30" s="18">
        <f t="shared" si="30"/>
        <v>-14.038699999999999</v>
      </c>
      <c r="N30" s="17">
        <f>N105</f>
        <v>-6.17</v>
      </c>
      <c r="O30" s="17">
        <f>O105</f>
        <v>-5.9489999999999998</v>
      </c>
      <c r="P30" s="17">
        <f>P105</f>
        <v>-5.1189999999999998</v>
      </c>
      <c r="Q30" s="17">
        <f>Q105</f>
        <v>-5.0880000000000001</v>
      </c>
      <c r="R30" s="18">
        <f t="shared" si="31"/>
        <v>-22.326000000000001</v>
      </c>
      <c r="S30" s="17">
        <f>S105</f>
        <v>-8.4380000000000006</v>
      </c>
      <c r="T30" s="17">
        <f>T105</f>
        <v>-9.5289999999999999</v>
      </c>
      <c r="U30" s="17">
        <f>U105</f>
        <v>-10.465</v>
      </c>
      <c r="V30" s="17">
        <f>V105</f>
        <v>-10.556000000000001</v>
      </c>
      <c r="W30" s="18">
        <f t="shared" si="32"/>
        <v>-38.988</v>
      </c>
      <c r="X30" s="17">
        <f>X105</f>
        <v>-10.229000000000001</v>
      </c>
      <c r="Y30" s="17">
        <f>Y105</f>
        <v>-9.7799999999999994</v>
      </c>
      <c r="Z30" s="17">
        <f>Z105</f>
        <v>-7.3500000000000005</v>
      </c>
      <c r="AA30" s="17">
        <f>AA105</f>
        <v>-6.8200000000000012</v>
      </c>
      <c r="AB30" s="18">
        <f t="shared" si="33"/>
        <v>-34.179000000000002</v>
      </c>
      <c r="AC30" s="17">
        <f>AC105</f>
        <v>-6.83</v>
      </c>
      <c r="AD30" s="17">
        <f>AD105</f>
        <v>-6.7070000000000007</v>
      </c>
      <c r="AE30" s="17">
        <f>AE105</f>
        <v>-12.856000000000002</v>
      </c>
      <c r="AF30" s="17">
        <f>AF105</f>
        <v>-13.416</v>
      </c>
      <c r="AG30" s="18">
        <f t="shared" si="34"/>
        <v>-39.808999999999997</v>
      </c>
      <c r="AH30" s="17">
        <f>AH105</f>
        <v>-13.229000000000001</v>
      </c>
      <c r="AI30" s="17">
        <f>AI105</f>
        <v>-12.530000000000001</v>
      </c>
      <c r="AJ30" s="17">
        <f>AJ105</f>
        <v>-11.337</v>
      </c>
      <c r="AK30" s="17">
        <f>AK105</f>
        <v>-10.633999999999999</v>
      </c>
      <c r="AL30" s="18">
        <f t="shared" si="35"/>
        <v>-47.730000000000004</v>
      </c>
      <c r="AM30" s="17">
        <f>AM105</f>
        <v>-9.9879999999999995</v>
      </c>
      <c r="AN30" s="17">
        <f>AN105</f>
        <v>-8.7590000000000003</v>
      </c>
      <c r="AO30" s="17">
        <f>AO105</f>
        <v>-7.7550000000000026</v>
      </c>
      <c r="AP30" s="17">
        <f>AP105</f>
        <v>-6.6129999999999995</v>
      </c>
      <c r="AQ30" s="34">
        <f>SUM(AM30:AP30)</f>
        <v>-33.115000000000002</v>
      </c>
      <c r="AR30" s="17">
        <f>AR105</f>
        <v>-6.7890000000000015</v>
      </c>
      <c r="AS30" s="17">
        <f>AS105</f>
        <v>-6.7830000000000013</v>
      </c>
      <c r="AT30" s="17">
        <f>AT105</f>
        <v>-6.0300000000000011</v>
      </c>
      <c r="AU30" s="17">
        <f>AU105</f>
        <v>-6.2629999999999999</v>
      </c>
      <c r="AV30" s="34">
        <f>SUM(AR30:AU30)</f>
        <v>-25.865000000000002</v>
      </c>
      <c r="AW30" s="17">
        <f>AW105</f>
        <v>-6.4959999999999987</v>
      </c>
      <c r="AX30" s="17">
        <f>AX105</f>
        <v>-8.9420000000000002</v>
      </c>
      <c r="AY30" s="17">
        <f>AY105</f>
        <v>-11.608000000000001</v>
      </c>
      <c r="AZ30" s="17">
        <f>AZ105</f>
        <v>-11.527000000000001</v>
      </c>
      <c r="BA30" s="34">
        <f>SUM(AW30:AZ30)</f>
        <v>-38.573</v>
      </c>
      <c r="BB30" s="34">
        <f>BB105</f>
        <v>-11.688000000000001</v>
      </c>
      <c r="BC30" s="34"/>
      <c r="BD30" s="34"/>
      <c r="BE30" s="34"/>
      <c r="BF30" s="34">
        <f>BF52*AVERAGE('Cintas BS'!M41:N41)*-1</f>
        <v>-45.619610504474657</v>
      </c>
      <c r="BG30" s="34">
        <f>BG52*AVERAGE('Cintas BS'!N41:O41)*-1</f>
        <v>-45.619610504474657</v>
      </c>
      <c r="BH30" s="34">
        <f>BH52*AVERAGE('Cintas BS'!O41:P41)*-1</f>
        <v>-45.619610504474657</v>
      </c>
      <c r="BI30" s="34">
        <f>BI52*AVERAGE('Cintas BS'!P41:Q41)*-1</f>
        <v>-45.619610504474657</v>
      </c>
      <c r="BJ30" s="34">
        <f>BJ52*AVERAGE('Cintas BS'!Q41:R41)*-1</f>
        <v>-45.619610504474657</v>
      </c>
      <c r="BK30" s="34">
        <f>BK52*AVERAGE('Cintas BS'!R41:S41)*-1</f>
        <v>-45.619610504474657</v>
      </c>
      <c r="BL30" s="34">
        <f>BL52*AVERAGE('Cintas BS'!S41:T41)*-1</f>
        <v>-45.619610504474657</v>
      </c>
      <c r="BM30" s="34">
        <f>BM52*AVERAGE('Cintas BS'!T41:U41)*-1</f>
        <v>-45.619610504474657</v>
      </c>
      <c r="BN30" s="34">
        <f>BN52*AVERAGE('Cintas BS'!U41:V41)*-1</f>
        <v>-45.619610504474657</v>
      </c>
      <c r="BO30" s="34">
        <f>BO52*AVERAGE('Cintas BS'!V41:W41)*-1</f>
        <v>-45.619610504474657</v>
      </c>
      <c r="BP30" s="34">
        <f>BP52*AVERAGE('Cintas BS'!W41:X41)*-1</f>
        <v>-45.619610504474657</v>
      </c>
      <c r="BQ30" s="34">
        <f>BQ52*AVERAGE('Cintas BS'!X41:Y41)*-1</f>
        <v>-45.619610504474657</v>
      </c>
      <c r="BR30" s="34">
        <f>BR52*AVERAGE('Cintas BS'!Y41:Z41)*-1</f>
        <v>-45.619610504474657</v>
      </c>
      <c r="BS30" s="34">
        <f>BS52*AVERAGE('Cintas BS'!Z41:AA41)*-1</f>
        <v>-45.619610504474657</v>
      </c>
      <c r="BT30" s="34">
        <f>BT52*AVERAGE('Cintas BS'!AA41:AB41)*-1</f>
        <v>-45.619610504474657</v>
      </c>
      <c r="BU30" s="22"/>
    </row>
    <row r="31" spans="2:73" s="2" customFormat="1" ht="15" customHeight="1">
      <c r="B31" s="1"/>
      <c r="C31" s="16" t="s">
        <v>54</v>
      </c>
      <c r="D31" s="17">
        <f>D108+D67</f>
        <v>0</v>
      </c>
      <c r="E31" s="17">
        <f>E108+E67</f>
        <v>0</v>
      </c>
      <c r="F31" s="17">
        <f>F108+F67</f>
        <v>0</v>
      </c>
      <c r="G31" s="17">
        <f>G108+G67</f>
        <v>0</v>
      </c>
      <c r="H31" s="18">
        <f t="shared" si="29"/>
        <v>0</v>
      </c>
      <c r="I31" s="17">
        <f>I108+I67</f>
        <v>0</v>
      </c>
      <c r="J31" s="17">
        <f>J108+J67</f>
        <v>0</v>
      </c>
      <c r="K31" s="17">
        <f>K108+K67</f>
        <v>-1.099</v>
      </c>
      <c r="L31" s="17">
        <f>L108+L67</f>
        <v>-2.2629999999999999</v>
      </c>
      <c r="M31" s="18">
        <f t="shared" si="30"/>
        <v>-3.3620000000000001</v>
      </c>
      <c r="N31" s="17">
        <f>N108+N67</f>
        <v>0.27100000000000002</v>
      </c>
      <c r="O31" s="17">
        <f>O108+O67</f>
        <v>-0.38500000000000001</v>
      </c>
      <c r="P31" s="17">
        <f>P108+P67</f>
        <v>-0.61399999999999999</v>
      </c>
      <c r="Q31" s="17">
        <f>Q108+Q67</f>
        <v>-0.96899999999999997</v>
      </c>
      <c r="R31" s="18">
        <f t="shared" si="31"/>
        <v>-1.6970000000000001</v>
      </c>
      <c r="S31" s="17">
        <f>S108+S67</f>
        <v>0.123</v>
      </c>
      <c r="T31" s="17">
        <f>T108+T67</f>
        <v>7.3999999999999996E-2</v>
      </c>
      <c r="U31" s="17">
        <f>U108+U67</f>
        <v>6.4829999999999997</v>
      </c>
      <c r="V31" s="17">
        <f>V108+V67</f>
        <v>2.0030000000000001</v>
      </c>
      <c r="W31" s="18">
        <f t="shared" si="32"/>
        <v>8.6829999999999998</v>
      </c>
      <c r="X31" s="17">
        <f>X108+X67</f>
        <v>2.2450000000000001</v>
      </c>
      <c r="Y31" s="17">
        <f>Y108+Y67</f>
        <v>-1.9139999999999999</v>
      </c>
      <c r="Z31" s="17">
        <f>Z108+Z67</f>
        <v>-0.97699999999999998</v>
      </c>
      <c r="AA31" s="17">
        <f>AA108+AA67</f>
        <v>2.0910000000000002</v>
      </c>
      <c r="AB31" s="18">
        <f t="shared" si="33"/>
        <v>1.4450000000000003</v>
      </c>
      <c r="AC31" s="17">
        <f>AC108+AC67</f>
        <v>-0.81899999999999995</v>
      </c>
      <c r="AD31" s="17">
        <f>AD108+AD67</f>
        <v>0</v>
      </c>
      <c r="AE31" s="17">
        <f>AE108+AE67</f>
        <v>-0.749</v>
      </c>
      <c r="AF31" s="17">
        <f>AF108+AF67</f>
        <v>4.9400000000000004</v>
      </c>
      <c r="AG31" s="18">
        <f t="shared" si="34"/>
        <v>3.3720000000000003</v>
      </c>
      <c r="AH31" s="17">
        <f>AH108+AH67</f>
        <v>-1.464</v>
      </c>
      <c r="AI31" s="17">
        <f>AI108+AI67</f>
        <v>-5.4269999999999996</v>
      </c>
      <c r="AJ31" s="17">
        <f>AJ108+AJ67</f>
        <v>-2.2240000000000002</v>
      </c>
      <c r="AK31" s="17">
        <f>AK108+AK67</f>
        <v>-0.85399999999999998</v>
      </c>
      <c r="AL31" s="18">
        <f t="shared" si="35"/>
        <v>-9.9689999999999994</v>
      </c>
      <c r="AM31" s="17">
        <f>AM108+AM67</f>
        <v>-1.728</v>
      </c>
      <c r="AN31" s="17">
        <f>AN108+AN67</f>
        <v>-2.6970000000000001</v>
      </c>
      <c r="AO31" s="17">
        <f>AO108+AO67</f>
        <v>-0.75600000000000001</v>
      </c>
      <c r="AP31" s="17">
        <f>AP108+AP67</f>
        <v>-1.694</v>
      </c>
      <c r="AQ31" s="30">
        <f>SUM(AM31:AP31)</f>
        <v>-6.875</v>
      </c>
      <c r="AR31" s="17">
        <f>AR108+AR67</f>
        <v>-0.61099999999999999</v>
      </c>
      <c r="AS31" s="17">
        <f>AS108+AS67</f>
        <v>-1.9330000000000001</v>
      </c>
      <c r="AT31" s="17">
        <f>AT108+AT67</f>
        <v>-1.0329999999999999</v>
      </c>
      <c r="AU31" s="17">
        <f>AU108+AU67</f>
        <v>-2.234</v>
      </c>
      <c r="AV31" s="30">
        <f>SUM(AR31:AU31)</f>
        <v>-5.8109999999999999</v>
      </c>
      <c r="AW31" s="17">
        <f>AW108+AW67</f>
        <v>-1.1319999999999999</v>
      </c>
      <c r="AX31" s="17">
        <f>AX108+AX67</f>
        <v>-0.46400000000000002</v>
      </c>
      <c r="AY31" s="17">
        <f>AY108+AY67</f>
        <v>-0.63900000000000001</v>
      </c>
      <c r="AZ31" s="17">
        <f>AZ108+AZ67</f>
        <v>-1.036</v>
      </c>
      <c r="BA31" s="30">
        <f>SUM(AW31:AZ31)</f>
        <v>-3.2709999999999999</v>
      </c>
      <c r="BB31" s="30">
        <f>BB108+BB67</f>
        <v>0.94299999999999995</v>
      </c>
      <c r="BC31" s="30"/>
      <c r="BD31" s="30"/>
      <c r="BE31" s="30"/>
      <c r="BF31" s="30">
        <v>0</v>
      </c>
      <c r="BG31" s="30">
        <v>0</v>
      </c>
      <c r="BH31" s="30">
        <v>0</v>
      </c>
      <c r="BI31" s="30">
        <v>0</v>
      </c>
      <c r="BJ31" s="30">
        <v>0</v>
      </c>
      <c r="BK31" s="30">
        <v>0</v>
      </c>
      <c r="BL31" s="30">
        <v>0</v>
      </c>
      <c r="BM31" s="30">
        <v>0</v>
      </c>
      <c r="BN31" s="30">
        <v>0</v>
      </c>
      <c r="BO31" s="30">
        <v>0</v>
      </c>
      <c r="BP31" s="30">
        <v>0</v>
      </c>
      <c r="BQ31" s="30">
        <v>0</v>
      </c>
      <c r="BR31" s="30">
        <v>0</v>
      </c>
      <c r="BS31" s="30">
        <v>0</v>
      </c>
      <c r="BT31" s="30">
        <v>0</v>
      </c>
      <c r="BU31" s="22"/>
    </row>
    <row r="32" spans="2:73" ht="15.6">
      <c r="C32" s="16" t="s">
        <v>55</v>
      </c>
      <c r="D32" s="23">
        <f>D68-D109</f>
        <v>0</v>
      </c>
      <c r="E32" s="23">
        <f>E68-E109</f>
        <v>0</v>
      </c>
      <c r="F32" s="23">
        <f>F68-F109</f>
        <v>0</v>
      </c>
      <c r="G32" s="23">
        <f>G68-G109</f>
        <v>0</v>
      </c>
      <c r="H32" s="24">
        <f t="shared" si="29"/>
        <v>0</v>
      </c>
      <c r="I32" s="23">
        <f>I68-I109</f>
        <v>0</v>
      </c>
      <c r="J32" s="23">
        <f>J68-J109</f>
        <v>-0.24</v>
      </c>
      <c r="K32" s="23">
        <f>K68-K109</f>
        <v>0</v>
      </c>
      <c r="L32" s="23">
        <f>L68-L109</f>
        <v>0</v>
      </c>
      <c r="M32" s="24">
        <f t="shared" si="30"/>
        <v>-0.24</v>
      </c>
      <c r="N32" s="23">
        <f>N68-N109</f>
        <v>0</v>
      </c>
      <c r="O32" s="23">
        <f>O68-O109</f>
        <v>0</v>
      </c>
      <c r="P32" s="23">
        <f>P68-P109</f>
        <v>0</v>
      </c>
      <c r="Q32" s="23">
        <f>Q68-Q109</f>
        <v>0</v>
      </c>
      <c r="R32" s="24">
        <f t="shared" si="31"/>
        <v>0</v>
      </c>
      <c r="S32" s="23">
        <f>S68-S109</f>
        <v>0</v>
      </c>
      <c r="T32" s="23">
        <f>T68-T109</f>
        <v>0</v>
      </c>
      <c r="U32" s="23">
        <f>U68-U109</f>
        <v>0</v>
      </c>
      <c r="V32" s="23">
        <f>V68-V109</f>
        <v>0</v>
      </c>
      <c r="W32" s="24">
        <f t="shared" si="32"/>
        <v>0</v>
      </c>
      <c r="X32" s="23">
        <f>X68-X109</f>
        <v>0</v>
      </c>
      <c r="Y32" s="23">
        <f>Y68-Y109</f>
        <v>0</v>
      </c>
      <c r="Z32" s="23">
        <f>Z68-Z109</f>
        <v>0</v>
      </c>
      <c r="AA32" s="23">
        <f>AA68-AA109</f>
        <v>0</v>
      </c>
      <c r="AB32" s="24">
        <f t="shared" si="33"/>
        <v>0</v>
      </c>
      <c r="AC32" s="23">
        <f>AC68-AC109</f>
        <v>0</v>
      </c>
      <c r="AD32" s="23">
        <f>AD68-AD109</f>
        <v>0</v>
      </c>
      <c r="AE32" s="23">
        <f>AE68-AE109</f>
        <v>0</v>
      </c>
      <c r="AF32" s="23">
        <f>AF68-AF109</f>
        <v>0</v>
      </c>
      <c r="AG32" s="24">
        <f t="shared" si="34"/>
        <v>0</v>
      </c>
      <c r="AH32" s="23">
        <f>AH68-AH109</f>
        <v>0</v>
      </c>
      <c r="AI32" s="23">
        <f>AI68-AI109</f>
        <v>0</v>
      </c>
      <c r="AJ32" s="23">
        <f>AJ68-AJ109</f>
        <v>0</v>
      </c>
      <c r="AK32" s="23">
        <f>AK68-AK109</f>
        <v>0</v>
      </c>
      <c r="AL32" s="24">
        <f t="shared" si="35"/>
        <v>0</v>
      </c>
      <c r="AM32" s="23">
        <f>AM68-AM109</f>
        <v>0</v>
      </c>
      <c r="AN32" s="23">
        <f>AN68-AN109</f>
        <v>-1.425</v>
      </c>
      <c r="AO32" s="23">
        <f ca="1">AO68-AO109</f>
        <v>0</v>
      </c>
      <c r="AP32" s="23">
        <f>AP68-AP109</f>
        <v>0</v>
      </c>
      <c r="AQ32" s="31">
        <f ca="1">SUM(AM32:AP32)</f>
        <v>-1.425</v>
      </c>
      <c r="AR32" s="23">
        <f>AR68-AR109</f>
        <v>0</v>
      </c>
      <c r="AS32" s="23">
        <f>AS68-AS109</f>
        <v>0</v>
      </c>
      <c r="AT32" s="23">
        <f>AT68-AT109</f>
        <v>0</v>
      </c>
      <c r="AU32" s="23">
        <f>AU68-AU109</f>
        <v>0</v>
      </c>
      <c r="AV32" s="31">
        <f>SUM(AR32:AU32)</f>
        <v>0</v>
      </c>
      <c r="AW32" s="23">
        <f>AW68-AW109</f>
        <v>0</v>
      </c>
      <c r="AX32" s="23">
        <f>AX68-AX109</f>
        <v>0</v>
      </c>
      <c r="AY32" s="23">
        <f>AY68-AY109</f>
        <v>0</v>
      </c>
      <c r="AZ32" s="23">
        <f>AZ68-AZ109</f>
        <v>0</v>
      </c>
      <c r="BA32" s="31">
        <f>SUM(AW32:AZ32)</f>
        <v>0</v>
      </c>
      <c r="BB32" s="31">
        <f>BB68-BB109</f>
        <v>0</v>
      </c>
      <c r="BC32" s="31"/>
      <c r="BD32" s="31"/>
      <c r="BE32" s="31"/>
      <c r="BF32" s="31">
        <v>0</v>
      </c>
      <c r="BG32" s="31">
        <v>0</v>
      </c>
      <c r="BH32" s="31">
        <v>0</v>
      </c>
      <c r="BI32" s="31">
        <v>0</v>
      </c>
      <c r="BJ32" s="31">
        <v>0</v>
      </c>
      <c r="BK32" s="31">
        <v>0</v>
      </c>
      <c r="BL32" s="31">
        <v>0</v>
      </c>
      <c r="BM32" s="31">
        <v>0</v>
      </c>
      <c r="BN32" s="31">
        <v>0</v>
      </c>
      <c r="BO32" s="31">
        <v>0</v>
      </c>
      <c r="BP32" s="31">
        <v>0</v>
      </c>
      <c r="BQ32" s="31">
        <v>0</v>
      </c>
      <c r="BR32" s="31">
        <v>0</v>
      </c>
      <c r="BS32" s="31">
        <v>0</v>
      </c>
      <c r="BT32" s="31">
        <v>0</v>
      </c>
      <c r="BU32" s="22"/>
    </row>
    <row r="33" spans="2:73" s="2" customFormat="1">
      <c r="B33" s="1"/>
      <c r="C33" s="38" t="s">
        <v>56</v>
      </c>
      <c r="D33" s="29">
        <f>D29+SUM(D30:D32)</f>
        <v>26.677999999999994</v>
      </c>
      <c r="E33" s="29">
        <f>E29+SUM(E30:E32)</f>
        <v>38.382999999999996</v>
      </c>
      <c r="F33" s="29">
        <f>F29+SUM(F30:F32)</f>
        <v>44.324999999999989</v>
      </c>
      <c r="G33" s="29">
        <f>G29+SUM(G30:G32)</f>
        <v>55.418000000000006</v>
      </c>
      <c r="H33" s="18">
        <f t="shared" si="29"/>
        <v>164.80399999999997</v>
      </c>
      <c r="I33" s="29">
        <f>I29+SUM(I30:I32)</f>
        <v>57.198299999999996</v>
      </c>
      <c r="J33" s="29">
        <f>J29+SUM(J30:J32)</f>
        <v>69.866000000000028</v>
      </c>
      <c r="K33" s="29">
        <f>K29+SUM(K30:K32)</f>
        <v>88.180999999999983</v>
      </c>
      <c r="L33" s="29">
        <f>L29+SUM(L30:L32)</f>
        <v>91.421000000000006</v>
      </c>
      <c r="M33" s="18">
        <f t="shared" si="30"/>
        <v>306.66630000000004</v>
      </c>
      <c r="N33" s="29">
        <f>N29+SUM(N30:N32)</f>
        <v>103.19099999999997</v>
      </c>
      <c r="O33" s="29">
        <f>O29+SUM(O30:O32)</f>
        <v>107.93699999999998</v>
      </c>
      <c r="P33" s="29">
        <f>P29+SUM(P30:P32)</f>
        <v>133.77499999999998</v>
      </c>
      <c r="Q33" s="29">
        <f>Q29+SUM(Q30:Q32)</f>
        <v>129.739</v>
      </c>
      <c r="R33" s="18">
        <f t="shared" si="31"/>
        <v>474.64199999999994</v>
      </c>
      <c r="S33" s="29">
        <f>S29+SUM(S30:S32)</f>
        <v>124.08699999999999</v>
      </c>
      <c r="T33" s="29">
        <f>T29+SUM(T30:T32)</f>
        <v>158.21100000000001</v>
      </c>
      <c r="U33" s="29">
        <f>U29+SUM(U30:U32)</f>
        <v>178.81299999999999</v>
      </c>
      <c r="V33" s="29">
        <f>V29+SUM(V30:V32)</f>
        <v>186.81099999999998</v>
      </c>
      <c r="W33" s="18">
        <f t="shared" si="32"/>
        <v>647.92200000000003</v>
      </c>
      <c r="X33" s="29">
        <f>X29+SUM(X30:X32)</f>
        <v>154.97899999999998</v>
      </c>
      <c r="Y33" s="29">
        <f>Y29+SUM(Y30:Y32)</f>
        <v>188.57500000000002</v>
      </c>
      <c r="Z33" s="29">
        <f>Z29+SUM(Z30:Z32)</f>
        <v>197.44600000000003</v>
      </c>
      <c r="AA33" s="29">
        <f>AA29+SUM(AA30:AA32)</f>
        <v>200.51699999999997</v>
      </c>
      <c r="AB33" s="18">
        <f t="shared" si="33"/>
        <v>741.51699999999994</v>
      </c>
      <c r="AC33" s="29">
        <f>AC29+SUM(AC30:AC32)</f>
        <v>175.14800000000002</v>
      </c>
      <c r="AD33" s="29">
        <f>AD29+SUM(AD30:AD32)</f>
        <v>216.387</v>
      </c>
      <c r="AE33" s="29">
        <f>AE29+SUM(AE30:AE32)</f>
        <v>199.75599999999997</v>
      </c>
      <c r="AF33" s="29">
        <f>AF29+SUM(AF30:AF32)</f>
        <v>208.14499999999995</v>
      </c>
      <c r="AG33" s="18">
        <f t="shared" si="34"/>
        <v>799.43599999999992</v>
      </c>
      <c r="AH33" s="29">
        <f>AH29+SUM(AH30:AH32)</f>
        <v>178.30499999999998</v>
      </c>
      <c r="AI33" s="29">
        <f t="shared" ref="AI33" si="49">AI29+SUM(AI30:AI32)</f>
        <v>200.53199999999998</v>
      </c>
      <c r="AJ33" s="29">
        <f>AJ29+SUM(AJ30:AJ32)</f>
        <v>222.33200000000002</v>
      </c>
      <c r="AK33" s="29">
        <f>AK29+SUM(AK30:AK32)</f>
        <v>236.43899999999999</v>
      </c>
      <c r="AL33" s="18">
        <f t="shared" si="35"/>
        <v>837.60799999999995</v>
      </c>
      <c r="AM33" s="29">
        <f t="shared" ref="AM33:AY33" si="50">AM29+SUM(AM30:AM32)</f>
        <v>221.40100000000004</v>
      </c>
      <c r="AN33" s="29">
        <f t="shared" si="50"/>
        <v>265.55799999999999</v>
      </c>
      <c r="AO33" s="29">
        <f t="shared" ca="1" si="50"/>
        <v>252.35800000000003</v>
      </c>
      <c r="AP33" s="29">
        <f t="shared" si="50"/>
        <v>250.01399999999998</v>
      </c>
      <c r="AQ33" s="19">
        <f t="shared" ca="1" si="50"/>
        <v>989.33100000000013</v>
      </c>
      <c r="AR33" s="29">
        <f t="shared" si="50"/>
        <v>266.78000000000009</v>
      </c>
      <c r="AS33" s="29">
        <f t="shared" si="50"/>
        <v>285.43200000000002</v>
      </c>
      <c r="AT33" s="29">
        <f t="shared" si="50"/>
        <v>265.96299999999997</v>
      </c>
      <c r="AU33" s="29">
        <f t="shared" si="50"/>
        <v>252.17500000000001</v>
      </c>
      <c r="AV33" s="19">
        <f t="shared" si="50"/>
        <v>1070.3499999999997</v>
      </c>
      <c r="AW33" s="29">
        <f t="shared" si="50"/>
        <v>30.338000000000065</v>
      </c>
      <c r="AX33" s="29">
        <f t="shared" si="50"/>
        <v>282.29799999999994</v>
      </c>
      <c r="AY33" s="29">
        <f t="shared" si="50"/>
        <v>280.99999999999983</v>
      </c>
      <c r="AZ33" s="29">
        <f t="shared" ref="AZ33:BA33" si="51">AZ29+SUM(AZ30:AZ32)</f>
        <v>259.31000000000006</v>
      </c>
      <c r="BA33" s="19">
        <f t="shared" si="51"/>
        <v>852.94599999999991</v>
      </c>
      <c r="BB33" s="19">
        <f t="shared" ref="BB33" si="52">BB29+SUM(BB30:BB32)</f>
        <v>262.31299999999993</v>
      </c>
      <c r="BC33" s="19"/>
      <c r="BD33" s="19"/>
      <c r="BE33" s="19"/>
      <c r="BF33" s="19">
        <f t="shared" ref="BF33:BT33" si="53">BF29+SUM(BF30:BF32)</f>
        <v>800.71895441509264</v>
      </c>
      <c r="BG33" s="19">
        <f t="shared" si="53"/>
        <v>910.24906995453421</v>
      </c>
      <c r="BH33" s="19">
        <f t="shared" si="53"/>
        <v>1027.9045595298351</v>
      </c>
      <c r="BI33" s="19">
        <f t="shared" si="53"/>
        <v>1165.2663699426143</v>
      </c>
      <c r="BJ33" s="19">
        <f t="shared" si="53"/>
        <v>1158.04034536572</v>
      </c>
      <c r="BK33" s="19">
        <f t="shared" si="53"/>
        <v>1139.0204057071369</v>
      </c>
      <c r="BL33" s="19">
        <f t="shared" si="53"/>
        <v>1239.5734088253594</v>
      </c>
      <c r="BM33" s="19">
        <f t="shared" si="53"/>
        <v>1192.2939881362331</v>
      </c>
      <c r="BN33" s="19">
        <f t="shared" si="53"/>
        <v>1170.7006020867855</v>
      </c>
      <c r="BO33" s="19">
        <f t="shared" si="53"/>
        <v>1111.9627325758663</v>
      </c>
      <c r="BP33" s="19">
        <f t="shared" si="53"/>
        <v>1041.9221424966468</v>
      </c>
      <c r="BQ33" s="19">
        <f t="shared" si="53"/>
        <v>880.40003125168516</v>
      </c>
      <c r="BR33" s="19">
        <f t="shared" si="53"/>
        <v>787.2465413368102</v>
      </c>
      <c r="BS33" s="19">
        <f t="shared" si="53"/>
        <v>600.55253148664792</v>
      </c>
      <c r="BT33" s="19">
        <f t="shared" si="53"/>
        <v>522.1110837984221</v>
      </c>
      <c r="BU33" s="1"/>
    </row>
    <row r="34" spans="2:73" s="2" customFormat="1">
      <c r="B34" s="1"/>
      <c r="C34" s="16" t="s">
        <v>57</v>
      </c>
      <c r="D34" s="17">
        <f>D114</f>
        <v>0</v>
      </c>
      <c r="E34" s="17">
        <f>E114</f>
        <v>0</v>
      </c>
      <c r="F34" s="17">
        <f>F114</f>
        <v>0</v>
      </c>
      <c r="G34" s="17">
        <f>G114</f>
        <v>0</v>
      </c>
      <c r="H34" s="18">
        <f t="shared" si="29"/>
        <v>0</v>
      </c>
      <c r="I34" s="17">
        <f>I114</f>
        <v>5.5170000000000003</v>
      </c>
      <c r="J34" s="17">
        <f>J114</f>
        <v>3.6960000000000002</v>
      </c>
      <c r="K34" s="17">
        <f>K114</f>
        <v>9.593</v>
      </c>
      <c r="L34" s="17">
        <f>L114</f>
        <v>-2.5240000000000009</v>
      </c>
      <c r="M34" s="18">
        <f t="shared" si="30"/>
        <v>16.282</v>
      </c>
      <c r="N34" s="17">
        <f>N114</f>
        <v>18.766000000000002</v>
      </c>
      <c r="O34" s="17">
        <f>O114</f>
        <v>19.628</v>
      </c>
      <c r="P34" s="17">
        <f>P114</f>
        <v>24.378</v>
      </c>
      <c r="Q34" s="17">
        <f>Q114</f>
        <v>23.613</v>
      </c>
      <c r="R34" s="18">
        <f t="shared" si="31"/>
        <v>86.385000000000005</v>
      </c>
      <c r="S34" s="17">
        <f>S114</f>
        <v>22.971</v>
      </c>
      <c r="T34" s="17">
        <f>T114</f>
        <v>30.25</v>
      </c>
      <c r="U34" s="17">
        <f>U114</f>
        <v>34.869999999999997</v>
      </c>
      <c r="V34" s="17">
        <f>V114</f>
        <v>35.760000000000005</v>
      </c>
      <c r="W34" s="18">
        <f t="shared" si="32"/>
        <v>123.85100000000001</v>
      </c>
      <c r="X34" s="17">
        <f>X114</f>
        <v>29.910999999999998</v>
      </c>
      <c r="Y34" s="17">
        <f>Y114</f>
        <v>44.423000000000002</v>
      </c>
      <c r="Z34" s="17">
        <f>Z114</f>
        <v>38.106999999999999</v>
      </c>
      <c r="AA34" s="17">
        <f>AA114</f>
        <v>36.994999999999997</v>
      </c>
      <c r="AB34" s="18">
        <f t="shared" si="33"/>
        <v>149.43600000000001</v>
      </c>
      <c r="AC34" s="17">
        <f>AC114</f>
        <v>32.461999999999996</v>
      </c>
      <c r="AD34" s="17">
        <f>AD114</f>
        <v>50.582999999999998</v>
      </c>
      <c r="AE34" s="17">
        <f>AE114</f>
        <v>38.5</v>
      </c>
      <c r="AF34" s="17">
        <f>AF114</f>
        <v>42.231999999999999</v>
      </c>
      <c r="AG34" s="18">
        <f t="shared" si="34"/>
        <v>163.77699999999999</v>
      </c>
      <c r="AH34" s="17">
        <f>AH114</f>
        <v>36.921999999999997</v>
      </c>
      <c r="AI34" s="17">
        <f>AI114</f>
        <v>42.975000000000001</v>
      </c>
      <c r="AJ34" s="17">
        <f>AJ114</f>
        <v>24.41</v>
      </c>
      <c r="AK34" s="17">
        <f>AK114</f>
        <v>55.574000000000012</v>
      </c>
      <c r="AL34" s="18">
        <f t="shared" si="35"/>
        <v>159.881</v>
      </c>
      <c r="AM34" s="17">
        <f>AM114</f>
        <v>38.692999999999998</v>
      </c>
      <c r="AN34" s="17">
        <f>AN114</f>
        <v>50.335999999999999</v>
      </c>
      <c r="AO34" s="17">
        <f>AO114</f>
        <v>30.265999999999998</v>
      </c>
      <c r="AP34" s="17">
        <f>AP114</f>
        <v>29.22</v>
      </c>
      <c r="AQ34" s="30">
        <f>SUM(AM34:AP34)</f>
        <v>148.51499999999999</v>
      </c>
      <c r="AR34" s="17">
        <f>AR114</f>
        <v>52.713999999999999</v>
      </c>
      <c r="AS34" s="17">
        <f>AS114</f>
        <v>52.026999999999987</v>
      </c>
      <c r="AT34" s="17">
        <f>AT114</f>
        <v>29.655000000000001</v>
      </c>
      <c r="AU34" s="17">
        <f>AU114</f>
        <v>-2.3660000000000068</v>
      </c>
      <c r="AV34" s="30">
        <f>SUM(AR34:AU34)</f>
        <v>132.02999999999997</v>
      </c>
      <c r="AW34" s="17">
        <f>AW114</f>
        <v>4.6869999999999976</v>
      </c>
      <c r="AX34" s="17">
        <f>AX114</f>
        <v>73.084999999999994</v>
      </c>
      <c r="AY34" s="17">
        <f>AY114</f>
        <v>38.268000000000001</v>
      </c>
      <c r="AZ34" s="17">
        <f>AZ114</f>
        <v>29.968</v>
      </c>
      <c r="BA34" s="30">
        <f>SUM(AW34:AZ34)</f>
        <v>146.00799999999998</v>
      </c>
      <c r="BB34" s="30">
        <f>BB114</f>
        <v>37.658999999999999</v>
      </c>
      <c r="BC34" s="30"/>
      <c r="BD34" s="30"/>
      <c r="BE34" s="30"/>
      <c r="BF34" s="30">
        <f ca="1">BF33*BF53</f>
        <v>134.58377620633738</v>
      </c>
      <c r="BG34" s="30">
        <f t="shared" ref="BG34:BT34" ca="1" si="54">BG33*BG53</f>
        <v>152.99345225601004</v>
      </c>
      <c r="BH34" s="30">
        <f t="shared" ca="1" si="54"/>
        <v>172.76883035982439</v>
      </c>
      <c r="BI34" s="30">
        <f t="shared" ca="1" si="54"/>
        <v>195.85642064347758</v>
      </c>
      <c r="BJ34" s="30">
        <f t="shared" ca="1" si="54"/>
        <v>194.64188004948272</v>
      </c>
      <c r="BK34" s="30">
        <f t="shared" ca="1" si="54"/>
        <v>191.44503390470945</v>
      </c>
      <c r="BL34" s="30">
        <f t="shared" ca="1" si="54"/>
        <v>208.34584884598107</v>
      </c>
      <c r="BM34" s="30">
        <f t="shared" ca="1" si="54"/>
        <v>200.39918673925138</v>
      </c>
      <c r="BN34" s="30">
        <f t="shared" ca="1" si="54"/>
        <v>196.76979915002067</v>
      </c>
      <c r="BO34" s="30">
        <f t="shared" ca="1" si="54"/>
        <v>186.89721621501431</v>
      </c>
      <c r="BP34" s="30">
        <f t="shared" ca="1" si="54"/>
        <v>175.12488704932443</v>
      </c>
      <c r="BQ34" s="30">
        <f t="shared" ca="1" si="54"/>
        <v>147.97646555598493</v>
      </c>
      <c r="BR34" s="30">
        <f t="shared" ca="1" si="54"/>
        <v>132.31935094615181</v>
      </c>
      <c r="BS34" s="30">
        <f t="shared" ca="1" si="54"/>
        <v>100.94007023574082</v>
      </c>
      <c r="BT34" s="30">
        <f t="shared" ca="1" si="54"/>
        <v>87.755736103567159</v>
      </c>
      <c r="BU34" s="1"/>
    </row>
    <row r="35" spans="2:73" ht="15.6">
      <c r="C35" s="16" t="s">
        <v>51</v>
      </c>
      <c r="D35" s="23">
        <f>D71</f>
        <v>0</v>
      </c>
      <c r="E35" s="23">
        <f>E71</f>
        <v>0</v>
      </c>
      <c r="F35" s="23">
        <f>F71</f>
        <v>0</v>
      </c>
      <c r="G35" s="23">
        <f>G71</f>
        <v>0</v>
      </c>
      <c r="H35" s="24">
        <f t="shared" si="29"/>
        <v>0</v>
      </c>
      <c r="I35" s="23">
        <f>I71</f>
        <v>0</v>
      </c>
      <c r="J35" s="23">
        <f>J71</f>
        <v>0</v>
      </c>
      <c r="K35" s="23">
        <f>K71</f>
        <v>0</v>
      </c>
      <c r="L35" s="23">
        <f>L71</f>
        <v>0</v>
      </c>
      <c r="M35" s="24">
        <f t="shared" si="30"/>
        <v>0</v>
      </c>
      <c r="N35" s="23">
        <f>N71</f>
        <v>0</v>
      </c>
      <c r="O35" s="23">
        <f>O71</f>
        <v>0</v>
      </c>
      <c r="P35" s="23">
        <f>P71</f>
        <v>0</v>
      </c>
      <c r="Q35" s="23">
        <f>Q71</f>
        <v>0</v>
      </c>
      <c r="R35" s="24">
        <f t="shared" si="31"/>
        <v>0</v>
      </c>
      <c r="S35" s="23">
        <f>S71+1.258</f>
        <v>0.26900000000000002</v>
      </c>
      <c r="T35" s="23">
        <f>T71+0.244</f>
        <v>0.17099999999999999</v>
      </c>
      <c r="U35" s="23">
        <f>U71+0.002</f>
        <v>4.0000000000000001E-3</v>
      </c>
      <c r="V35" s="23">
        <f>V71</f>
        <v>-1E-3</v>
      </c>
      <c r="W35" s="24">
        <f t="shared" si="32"/>
        <v>0.443</v>
      </c>
      <c r="X35" s="23">
        <f>X71</f>
        <v>0</v>
      </c>
      <c r="Y35" s="23">
        <f>Y71+0.002</f>
        <v>1E-3</v>
      </c>
      <c r="Z35" s="23">
        <f>Z71</f>
        <v>0</v>
      </c>
      <c r="AA35" s="23">
        <f>AA71</f>
        <v>0</v>
      </c>
      <c r="AB35" s="24">
        <f t="shared" si="33"/>
        <v>1E-3</v>
      </c>
      <c r="AC35" s="23">
        <f>AC71</f>
        <v>0</v>
      </c>
      <c r="AD35" s="23">
        <f>AD71</f>
        <v>0</v>
      </c>
      <c r="AE35" s="23">
        <f>AE71</f>
        <v>0.10299999999999999</v>
      </c>
      <c r="AF35" s="23">
        <f>AF71</f>
        <v>0.27600000000000002</v>
      </c>
      <c r="AG35" s="24">
        <f t="shared" si="34"/>
        <v>0.379</v>
      </c>
      <c r="AH35" s="23">
        <f>AH71</f>
        <v>0.161</v>
      </c>
      <c r="AI35" s="23">
        <f t="shared" ref="AI35" si="55">AI71</f>
        <v>0.20300000000000001</v>
      </c>
      <c r="AJ35" s="23">
        <f>AJ71</f>
        <v>0.27300000000000002</v>
      </c>
      <c r="AK35" s="23">
        <f>AK71</f>
        <v>0.372</v>
      </c>
      <c r="AL35" s="24">
        <f t="shared" si="35"/>
        <v>1.0089999999999999</v>
      </c>
      <c r="AM35" s="23">
        <f>AM71</f>
        <v>0.33700000000000002</v>
      </c>
      <c r="AN35" s="23">
        <f>AN71</f>
        <v>0.58599999999999997</v>
      </c>
      <c r="AO35" s="23">
        <f>AO71</f>
        <v>0.437</v>
      </c>
      <c r="AP35" s="23">
        <f>AP71</f>
        <v>0.84299999999999997</v>
      </c>
      <c r="AQ35" s="31">
        <f>SUM(AM35:AP35)</f>
        <v>2.2030000000000003</v>
      </c>
      <c r="AR35" s="23">
        <f>AR71</f>
        <v>0.89300000000000002</v>
      </c>
      <c r="AS35" s="23">
        <f>AS71</f>
        <v>0.86799999999999999</v>
      </c>
      <c r="AT35" s="23">
        <f>AT71</f>
        <v>1.03</v>
      </c>
      <c r="AU35" s="23">
        <f>AU71</f>
        <v>1.298</v>
      </c>
      <c r="AV35" s="31">
        <f>SUM(AR35:AU35)</f>
        <v>4.0890000000000004</v>
      </c>
      <c r="AW35" s="23">
        <f>AW71</f>
        <v>-0.182</v>
      </c>
      <c r="AX35" s="23">
        <f>AX71</f>
        <v>1.897</v>
      </c>
      <c r="AY35" s="23">
        <f>AY71</f>
        <v>0.623</v>
      </c>
      <c r="AZ35" s="23">
        <f>AZ71</f>
        <v>0.624</v>
      </c>
      <c r="BA35" s="31">
        <f>SUM(AW35:AZ35)</f>
        <v>2.9620000000000002</v>
      </c>
      <c r="BB35" s="31">
        <f>BB71</f>
        <v>-4.165</v>
      </c>
      <c r="BC35" s="31"/>
      <c r="BD35" s="31"/>
      <c r="BE35" s="31"/>
      <c r="BF35" s="31">
        <v>0</v>
      </c>
      <c r="BG35" s="31">
        <v>0</v>
      </c>
      <c r="BH35" s="31">
        <v>0</v>
      </c>
      <c r="BI35" s="31">
        <v>0</v>
      </c>
      <c r="BJ35" s="31">
        <v>0</v>
      </c>
      <c r="BK35" s="31">
        <v>0</v>
      </c>
      <c r="BL35" s="31">
        <v>0</v>
      </c>
      <c r="BM35" s="31">
        <v>0</v>
      </c>
      <c r="BN35" s="31">
        <v>0</v>
      </c>
      <c r="BO35" s="31">
        <v>0</v>
      </c>
      <c r="BP35" s="31">
        <v>0</v>
      </c>
      <c r="BQ35" s="31">
        <v>0</v>
      </c>
      <c r="BR35" s="31">
        <v>0</v>
      </c>
      <c r="BS35" s="31">
        <v>0</v>
      </c>
      <c r="BT35" s="31">
        <v>0</v>
      </c>
    </row>
    <row r="36" spans="2:73">
      <c r="C36" s="41" t="s">
        <v>58</v>
      </c>
      <c r="D36" s="42">
        <f>D33-SUM(D34:D35)</f>
        <v>26.677999999999994</v>
      </c>
      <c r="E36" s="42">
        <f>E33-SUM(E34:E35)</f>
        <v>38.382999999999996</v>
      </c>
      <c r="F36" s="42">
        <f>F33-SUM(F34:F35)</f>
        <v>44.324999999999989</v>
      </c>
      <c r="G36" s="42">
        <f>G33-SUM(G34:G35)</f>
        <v>55.418000000000006</v>
      </c>
      <c r="H36" s="43">
        <f t="shared" si="29"/>
        <v>164.80399999999997</v>
      </c>
      <c r="I36" s="42">
        <f>I33-SUM(I34:I35)</f>
        <v>51.681299999999993</v>
      </c>
      <c r="J36" s="42">
        <f>J33-SUM(J34:J35)</f>
        <v>66.17000000000003</v>
      </c>
      <c r="K36" s="42">
        <f>K33-SUM(K34:K35)</f>
        <v>78.58799999999998</v>
      </c>
      <c r="L36" s="42">
        <f>L33-SUM(L34:L35)</f>
        <v>93.945000000000007</v>
      </c>
      <c r="M36" s="43">
        <f t="shared" si="30"/>
        <v>290.3843</v>
      </c>
      <c r="N36" s="42">
        <f>N33-SUM(N34:N35)</f>
        <v>84.424999999999969</v>
      </c>
      <c r="O36" s="42">
        <f>O33-SUM(O34:O35)</f>
        <v>88.308999999999983</v>
      </c>
      <c r="P36" s="42">
        <f>P33-SUM(P34:P35)</f>
        <v>109.39699999999998</v>
      </c>
      <c r="Q36" s="42">
        <f>Q33-SUM(Q34:Q35)</f>
        <v>106.126</v>
      </c>
      <c r="R36" s="43">
        <f t="shared" si="31"/>
        <v>388.25699999999995</v>
      </c>
      <c r="S36" s="42">
        <f>S33-SUM(S34:S35)</f>
        <v>100.84699999999999</v>
      </c>
      <c r="T36" s="42">
        <f>T33-SUM(T34:T35)</f>
        <v>127.79000000000002</v>
      </c>
      <c r="U36" s="42">
        <f>U33-SUM(U34:U35)</f>
        <v>143.93899999999999</v>
      </c>
      <c r="V36" s="42">
        <f>V33-SUM(V34:V35)</f>
        <v>151.05199999999996</v>
      </c>
      <c r="W36" s="43">
        <f t="shared" si="32"/>
        <v>523.62799999999993</v>
      </c>
      <c r="X36" s="42">
        <f>X33-SUM(X34:X35)</f>
        <v>125.06799999999998</v>
      </c>
      <c r="Y36" s="42">
        <f>Y33-SUM(Y34:Y35)</f>
        <v>144.15100000000001</v>
      </c>
      <c r="Z36" s="42">
        <f>Z33-SUM(Z34:Z35)</f>
        <v>159.33900000000003</v>
      </c>
      <c r="AA36" s="42">
        <f>AA33-SUM(AA34:AA35)</f>
        <v>163.52199999999996</v>
      </c>
      <c r="AB36" s="43">
        <f t="shared" si="33"/>
        <v>592.07999999999993</v>
      </c>
      <c r="AC36" s="42">
        <f>AC33-SUM(AC34:AC35)</f>
        <v>142.68600000000004</v>
      </c>
      <c r="AD36" s="42">
        <f>AD33-SUM(AD34:AD35)</f>
        <v>165.804</v>
      </c>
      <c r="AE36" s="42">
        <f>AE33-SUM(AE34:AE35)</f>
        <v>161.15299999999996</v>
      </c>
      <c r="AF36" s="42">
        <f>AF33-SUM(AF34:AF35)</f>
        <v>165.63699999999994</v>
      </c>
      <c r="AG36" s="43">
        <f t="shared" si="34"/>
        <v>635.28</v>
      </c>
      <c r="AH36" s="42">
        <f>AH33-SUM(AH34:AH35)</f>
        <v>141.22199999999998</v>
      </c>
      <c r="AI36" s="42">
        <f>AI33-SUM(AI34:AI35)</f>
        <v>157.35399999999998</v>
      </c>
      <c r="AJ36" s="42">
        <f>AJ33-SUM(AJ34:AJ35)</f>
        <v>197.64900000000003</v>
      </c>
      <c r="AK36" s="42">
        <f>AK33-SUM(AK34:AK35)</f>
        <v>180.49299999999999</v>
      </c>
      <c r="AL36" s="43">
        <f t="shared" si="35"/>
        <v>676.71800000000007</v>
      </c>
      <c r="AM36" s="42">
        <f>AM33-SUM(AM34:AM35)</f>
        <v>182.37100000000004</v>
      </c>
      <c r="AN36" s="42">
        <f>AN33-SUM(AN34:AN35)</f>
        <v>214.636</v>
      </c>
      <c r="AO36" s="42">
        <f ca="1">AO33-SUM(AO34:AO35)</f>
        <v>221.65500000000003</v>
      </c>
      <c r="AP36" s="42">
        <f>AP33-SUM(AP34:AP35)</f>
        <v>219.95099999999999</v>
      </c>
      <c r="AQ36" s="44">
        <f t="shared" ref="AQ36" ca="1" si="56">AQ33-SUM(AQ34:AQ35)</f>
        <v>838.61300000000017</v>
      </c>
      <c r="AR36" s="42">
        <f>AR33-SUM(AR34:AR35)</f>
        <v>213.17300000000009</v>
      </c>
      <c r="AS36" s="42">
        <f t="shared" ref="AS36:AY36" si="57">AS33-SUM(AS34:AS35)</f>
        <v>232.53700000000003</v>
      </c>
      <c r="AT36" s="42">
        <f t="shared" si="57"/>
        <v>235.27799999999996</v>
      </c>
      <c r="AU36" s="42">
        <f t="shared" si="57"/>
        <v>253.24300000000002</v>
      </c>
      <c r="AV36" s="45">
        <f t="shared" si="57"/>
        <v>934.23099999999977</v>
      </c>
      <c r="AW36" s="42">
        <f t="shared" si="57"/>
        <v>25.833000000000069</v>
      </c>
      <c r="AX36" s="42">
        <f t="shared" si="57"/>
        <v>207.31599999999995</v>
      </c>
      <c r="AY36" s="42">
        <f t="shared" si="57"/>
        <v>242.10899999999984</v>
      </c>
      <c r="AZ36" s="42">
        <f t="shared" ref="AZ36:BA36" si="58">AZ33-SUM(AZ34:AZ35)</f>
        <v>228.71800000000007</v>
      </c>
      <c r="BA36" s="45">
        <f t="shared" si="58"/>
        <v>703.97599999999989</v>
      </c>
      <c r="BB36" s="45">
        <f t="shared" ref="BB36" si="59">BB33-SUM(BB34:BB35)</f>
        <v>228.81899999999993</v>
      </c>
      <c r="BC36" s="45"/>
      <c r="BD36" s="45"/>
      <c r="BE36" s="45"/>
      <c r="BF36" s="45">
        <f t="shared" ref="BF36:BT36" ca="1" si="60">BF33-SUM(BF34:BF35)</f>
        <v>666.13517820875529</v>
      </c>
      <c r="BG36" s="45">
        <f t="shared" ca="1" si="60"/>
        <v>757.25561769852413</v>
      </c>
      <c r="BH36" s="45">
        <f t="shared" ca="1" si="60"/>
        <v>855.13572917001068</v>
      </c>
      <c r="BI36" s="45">
        <f t="shared" ca="1" si="60"/>
        <v>969.40994929913677</v>
      </c>
      <c r="BJ36" s="45">
        <f t="shared" ca="1" si="60"/>
        <v>963.39846531623721</v>
      </c>
      <c r="BK36" s="45">
        <f t="shared" ca="1" si="60"/>
        <v>947.57537180242741</v>
      </c>
      <c r="BL36" s="45">
        <f t="shared" ca="1" si="60"/>
        <v>1031.2275599793784</v>
      </c>
      <c r="BM36" s="45">
        <f t="shared" ca="1" si="60"/>
        <v>991.89480139698173</v>
      </c>
      <c r="BN36" s="45">
        <f t="shared" ca="1" si="60"/>
        <v>973.93080293676485</v>
      </c>
      <c r="BO36" s="45">
        <f t="shared" ca="1" si="60"/>
        <v>925.06551636085203</v>
      </c>
      <c r="BP36" s="45">
        <f t="shared" ca="1" si="60"/>
        <v>866.7972554473223</v>
      </c>
      <c r="BQ36" s="45">
        <f t="shared" ca="1" si="60"/>
        <v>732.42356569570029</v>
      </c>
      <c r="BR36" s="45">
        <f t="shared" ca="1" si="60"/>
        <v>654.92719039065832</v>
      </c>
      <c r="BS36" s="45">
        <f t="shared" ca="1" si="60"/>
        <v>499.61246125090713</v>
      </c>
      <c r="BT36" s="45">
        <f t="shared" ca="1" si="60"/>
        <v>434.35534769485491</v>
      </c>
    </row>
    <row r="37" spans="2:73">
      <c r="C37" s="41"/>
      <c r="D37" s="42"/>
      <c r="E37" s="42"/>
      <c r="F37" s="42"/>
      <c r="G37" s="42"/>
      <c r="H37" s="43"/>
      <c r="I37" s="42"/>
      <c r="J37" s="42"/>
      <c r="K37" s="42"/>
      <c r="L37" s="42"/>
      <c r="M37" s="43"/>
      <c r="N37" s="42"/>
      <c r="O37" s="42"/>
      <c r="P37" s="42"/>
      <c r="Q37" s="42"/>
      <c r="R37" s="43"/>
      <c r="S37" s="42"/>
      <c r="T37" s="42"/>
      <c r="U37" s="42"/>
      <c r="V37" s="42"/>
      <c r="W37" s="43"/>
      <c r="X37" s="42"/>
      <c r="Y37" s="42"/>
      <c r="Z37" s="42"/>
      <c r="AA37" s="42"/>
      <c r="AB37" s="43"/>
      <c r="AC37" s="42"/>
      <c r="AD37" s="42"/>
      <c r="AE37" s="42"/>
      <c r="AF37" s="42"/>
      <c r="AG37" s="43"/>
      <c r="AH37" s="42"/>
      <c r="AI37" s="42"/>
      <c r="AJ37" s="42"/>
      <c r="AK37" s="42"/>
      <c r="AL37" s="43"/>
      <c r="AM37" s="42"/>
      <c r="AN37" s="42"/>
      <c r="AO37" s="42"/>
      <c r="AP37" s="42"/>
      <c r="AQ37" s="44"/>
      <c r="AR37" s="42"/>
      <c r="AS37" s="42"/>
      <c r="AT37" s="42"/>
      <c r="AU37" s="42"/>
      <c r="AV37" s="45"/>
      <c r="AW37" s="42"/>
      <c r="AX37" s="42"/>
      <c r="AY37" s="42"/>
      <c r="AZ37" s="42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</row>
    <row r="38" spans="2:73">
      <c r="B38" s="2"/>
      <c r="C38" s="41" t="s">
        <v>300</v>
      </c>
      <c r="D38" s="42"/>
      <c r="E38" s="42"/>
      <c r="F38" s="42"/>
      <c r="G38" s="42"/>
      <c r="H38" s="43"/>
      <c r="I38" s="42"/>
      <c r="J38" s="42"/>
      <c r="K38" s="42"/>
      <c r="L38" s="42"/>
      <c r="M38" s="43"/>
      <c r="N38" s="42"/>
      <c r="O38" s="42"/>
      <c r="P38" s="42"/>
      <c r="Q38" s="42"/>
      <c r="R38" s="43"/>
      <c r="S38" s="42"/>
      <c r="T38" s="42"/>
      <c r="U38" s="42"/>
      <c r="V38" s="42"/>
      <c r="W38" s="43"/>
      <c r="X38" s="42"/>
      <c r="Y38" s="42"/>
      <c r="Z38" s="42"/>
      <c r="AA38" s="42"/>
      <c r="AB38" s="43"/>
      <c r="AC38" s="42"/>
      <c r="AD38" s="42"/>
      <c r="AE38" s="42"/>
      <c r="AF38" s="42"/>
      <c r="AG38" s="43">
        <f>'Cintas CF'!I11+'Cintas CF'!I12</f>
        <v>113.78</v>
      </c>
      <c r="AH38" s="42"/>
      <c r="AI38" s="42"/>
      <c r="AJ38" s="42"/>
      <c r="AK38" s="42"/>
      <c r="AL38" s="43">
        <f>'Cintas CF'!J11+'Cintas CF'!J12</f>
        <v>165.154</v>
      </c>
      <c r="AM38" s="42"/>
      <c r="AN38" s="42"/>
      <c r="AO38" s="42"/>
      <c r="AP38" s="42"/>
      <c r="AQ38" s="44">
        <f>'Cintas CF'!K11+'Cintas CF'!K12</f>
        <v>216.73099999999999</v>
      </c>
      <c r="AR38" s="42"/>
      <c r="AS38" s="42"/>
      <c r="AT38" s="42"/>
      <c r="AU38" s="42"/>
      <c r="AV38" s="45">
        <f>'Cintas CF'!L11+'Cintas CF'!L12</f>
        <v>370.15600000000001</v>
      </c>
      <c r="AW38" s="42"/>
      <c r="AX38" s="42"/>
      <c r="AY38" s="42"/>
      <c r="AZ38" s="42"/>
      <c r="BA38" s="45">
        <f>'Cintas CF'!M11+'Cintas CF'!M12</f>
        <v>278.25299999999999</v>
      </c>
      <c r="BB38" s="45"/>
      <c r="BC38" s="45"/>
      <c r="BD38" s="45"/>
      <c r="BE38" s="45"/>
      <c r="BF38" s="45">
        <f>'Cintas CF'!N11+'Cintas CF'!N12</f>
        <v>291.58660479003669</v>
      </c>
      <c r="BG38" s="45">
        <f>'Cintas CF'!O11+'Cintas CF'!O12</f>
        <v>320.68449769196076</v>
      </c>
      <c r="BH38" s="45">
        <f>'Cintas CF'!P11+'Cintas CF'!P12</f>
        <v>285.19363075114148</v>
      </c>
      <c r="BI38" s="45">
        <f>'Cintas CF'!Q11+'Cintas CF'!Q12</f>
        <v>288.73944302840545</v>
      </c>
      <c r="BJ38" s="45">
        <f>'Cintas CF'!R11+'Cintas CF'!R12</f>
        <v>287.01637550154248</v>
      </c>
      <c r="BK38" s="45">
        <f>'Cintas CF'!S11+'Cintas CF'!S12</f>
        <v>282.48101307094817</v>
      </c>
      <c r="BL38" s="45">
        <f>'Cintas CF'!T11+'Cintas CF'!T12</f>
        <v>277.98766321376263</v>
      </c>
      <c r="BM38" s="45">
        <f>'Cintas CF'!U11+'Cintas CF'!U12</f>
        <v>267.76110932046174</v>
      </c>
      <c r="BN38" s="45">
        <f>'Cintas CF'!V11+'Cintas CF'!V12</f>
        <v>263.09045297664755</v>
      </c>
      <c r="BO38" s="45">
        <f>'Cintas CF'!W11+'Cintas CF'!W12</f>
        <v>250.3854329198083</v>
      </c>
      <c r="BP38" s="45">
        <f>'Cintas CF'!X11+'Cintas CF'!X12</f>
        <v>235.23563077072086</v>
      </c>
      <c r="BQ38" s="45">
        <f>'Cintas CF'!Y11+'Cintas CF'!Y12</f>
        <v>200.29834618622004</v>
      </c>
      <c r="BR38" s="45">
        <f>'Cintas CF'!Z11+'Cintas CF'!Z12</f>
        <v>180.14921637290516</v>
      </c>
      <c r="BS38" s="45">
        <f>'Cintas CF'!AA11+'Cintas CF'!AA12</f>
        <v>139.76724202844727</v>
      </c>
      <c r="BT38" s="45">
        <f>'Cintas CF'!AB11+'Cintas CF'!AB12</f>
        <v>122.80033167802753</v>
      </c>
    </row>
    <row r="39" spans="2:73">
      <c r="B39" s="169"/>
      <c r="C39" s="41" t="s">
        <v>299</v>
      </c>
      <c r="D39" s="42"/>
      <c r="E39" s="42"/>
      <c r="F39" s="42"/>
      <c r="G39" s="42"/>
      <c r="H39" s="43"/>
      <c r="I39" s="42"/>
      <c r="J39" s="42"/>
      <c r="K39" s="42"/>
      <c r="L39" s="42"/>
      <c r="M39" s="43"/>
      <c r="N39" s="42"/>
      <c r="O39" s="42"/>
      <c r="P39" s="42"/>
      <c r="Q39" s="42"/>
      <c r="R39" s="43"/>
      <c r="S39" s="42"/>
      <c r="T39" s="42"/>
      <c r="U39" s="42"/>
      <c r="V39" s="42"/>
      <c r="W39" s="43"/>
      <c r="X39" s="42"/>
      <c r="Y39" s="42"/>
      <c r="Z39" s="42"/>
      <c r="AA39" s="42"/>
      <c r="AB39" s="43"/>
      <c r="AC39" s="42"/>
      <c r="AD39" s="42"/>
      <c r="AE39" s="42"/>
      <c r="AF39" s="42"/>
      <c r="AG39" s="43">
        <f>AG38+AG29</f>
        <v>949.65299999999991</v>
      </c>
      <c r="AH39" s="42">
        <f t="shared" ref="AH39:BT39" si="61">AH38+AH29</f>
        <v>192.99799999999999</v>
      </c>
      <c r="AI39" s="42">
        <f t="shared" si="61"/>
        <v>218.48899999999998</v>
      </c>
      <c r="AJ39" s="42">
        <f t="shared" si="61"/>
        <v>235.89300000000003</v>
      </c>
      <c r="AK39" s="42">
        <f t="shared" si="61"/>
        <v>247.92699999999999</v>
      </c>
      <c r="AL39" s="43">
        <f t="shared" si="61"/>
        <v>1060.461</v>
      </c>
      <c r="AM39" s="42">
        <f t="shared" si="61"/>
        <v>233.11700000000005</v>
      </c>
      <c r="AN39" s="42">
        <f t="shared" si="61"/>
        <v>278.43900000000002</v>
      </c>
      <c r="AO39" s="42">
        <f t="shared" si="61"/>
        <v>260.86900000000003</v>
      </c>
      <c r="AP39" s="42">
        <f t="shared" si="61"/>
        <v>258.32099999999997</v>
      </c>
      <c r="AQ39" s="44">
        <f t="shared" si="61"/>
        <v>1247.4770000000001</v>
      </c>
      <c r="AR39" s="42">
        <f t="shared" si="61"/>
        <v>274.18000000000006</v>
      </c>
      <c r="AS39" s="42">
        <f t="shared" si="61"/>
        <v>294.14800000000002</v>
      </c>
      <c r="AT39" s="42">
        <f t="shared" si="61"/>
        <v>273.02599999999995</v>
      </c>
      <c r="AU39" s="42">
        <f t="shared" si="61"/>
        <v>260.67200000000003</v>
      </c>
      <c r="AV39" s="45">
        <f t="shared" si="61"/>
        <v>1472.1819999999996</v>
      </c>
      <c r="AW39" s="42">
        <f t="shared" si="61"/>
        <v>37.966000000000065</v>
      </c>
      <c r="AX39" s="42">
        <f t="shared" si="61"/>
        <v>291.70399999999995</v>
      </c>
      <c r="AY39" s="42">
        <f t="shared" si="61"/>
        <v>293.24699999999984</v>
      </c>
      <c r="AZ39" s="42">
        <f t="shared" si="61"/>
        <v>271.87300000000005</v>
      </c>
      <c r="BA39" s="45">
        <f t="shared" si="61"/>
        <v>1173.0429999999999</v>
      </c>
      <c r="BB39" s="45">
        <f t="shared" si="61"/>
        <v>273.05799999999994</v>
      </c>
      <c r="BC39" s="45">
        <f t="shared" si="61"/>
        <v>0</v>
      </c>
      <c r="BD39" s="45">
        <f t="shared" si="61"/>
        <v>0</v>
      </c>
      <c r="BE39" s="45">
        <f t="shared" si="61"/>
        <v>0</v>
      </c>
      <c r="BF39" s="45">
        <f t="shared" si="61"/>
        <v>1137.925169709604</v>
      </c>
      <c r="BG39" s="45">
        <f t="shared" si="61"/>
        <v>1276.5531781509696</v>
      </c>
      <c r="BH39" s="45">
        <f t="shared" si="61"/>
        <v>1358.7178007854511</v>
      </c>
      <c r="BI39" s="45">
        <f t="shared" si="61"/>
        <v>1499.6254234754945</v>
      </c>
      <c r="BJ39" s="45">
        <f t="shared" si="61"/>
        <v>1490.676331371737</v>
      </c>
      <c r="BK39" s="45">
        <f t="shared" si="61"/>
        <v>1467.1210292825597</v>
      </c>
      <c r="BL39" s="45">
        <f t="shared" si="61"/>
        <v>1563.1806825435965</v>
      </c>
      <c r="BM39" s="45">
        <f t="shared" si="61"/>
        <v>1505.6747079611696</v>
      </c>
      <c r="BN39" s="45">
        <f t="shared" si="61"/>
        <v>1479.4106655679077</v>
      </c>
      <c r="BO39" s="45">
        <f t="shared" si="61"/>
        <v>1407.9677760001491</v>
      </c>
      <c r="BP39" s="45">
        <f t="shared" si="61"/>
        <v>1322.7773837718423</v>
      </c>
      <c r="BQ39" s="45">
        <f t="shared" si="61"/>
        <v>1126.3179879423799</v>
      </c>
      <c r="BR39" s="45">
        <f t="shared" si="61"/>
        <v>1013.0153682141899</v>
      </c>
      <c r="BS39" s="45">
        <f t="shared" si="61"/>
        <v>785.93938401956984</v>
      </c>
      <c r="BT39" s="45">
        <f t="shared" si="61"/>
        <v>690.53102598092426</v>
      </c>
    </row>
    <row r="40" spans="2:73">
      <c r="B40" s="11"/>
      <c r="C40" s="41"/>
      <c r="D40" s="42"/>
      <c r="E40" s="42"/>
      <c r="F40" s="42"/>
      <c r="G40" s="42"/>
      <c r="H40" s="43"/>
      <c r="I40" s="42"/>
      <c r="J40" s="42"/>
      <c r="K40" s="42"/>
      <c r="L40" s="42"/>
      <c r="M40" s="43"/>
      <c r="N40" s="42"/>
      <c r="O40" s="42"/>
      <c r="P40" s="42"/>
      <c r="Q40" s="42"/>
      <c r="R40" s="43"/>
      <c r="S40" s="42"/>
      <c r="T40" s="42"/>
      <c r="U40" s="42"/>
      <c r="V40" s="42"/>
      <c r="W40" s="43"/>
      <c r="X40" s="42"/>
      <c r="Y40" s="42"/>
      <c r="Z40" s="42"/>
      <c r="AA40" s="42"/>
      <c r="AB40" s="43"/>
      <c r="AC40" s="42"/>
      <c r="AD40" s="42"/>
      <c r="AE40" s="42"/>
      <c r="AF40" s="42"/>
      <c r="AG40" s="43"/>
      <c r="AH40" s="42"/>
      <c r="AI40" s="42"/>
      <c r="AJ40" s="42"/>
      <c r="AK40" s="42"/>
      <c r="AL40" s="43"/>
      <c r="AM40" s="42"/>
      <c r="AN40" s="42"/>
      <c r="AO40" s="42"/>
      <c r="AP40" s="42"/>
      <c r="AR40" s="42"/>
      <c r="AS40" s="46"/>
      <c r="AT40" s="46"/>
      <c r="AU40" s="46"/>
      <c r="AW40" s="46"/>
      <c r="AX40" s="46"/>
      <c r="AY40" s="46"/>
      <c r="AZ40" s="46"/>
      <c r="BB40" s="46"/>
      <c r="BC40" s="46"/>
      <c r="BD40" s="46"/>
      <c r="BE40" s="46"/>
    </row>
    <row r="41" spans="2:73" s="2" customFormat="1">
      <c r="B41" s="11"/>
      <c r="C41" s="176" t="s">
        <v>59</v>
      </c>
      <c r="D41" s="177">
        <f>IFERROR(D36/D43,0)</f>
        <v>0.58380200013129946</v>
      </c>
      <c r="E41" s="177">
        <f t="shared" ref="E41:AV41" si="62">IFERROR(E36/E43,0)</f>
        <v>0.82365185296452859</v>
      </c>
      <c r="F41" s="177">
        <f t="shared" si="62"/>
        <v>0.93827395694417959</v>
      </c>
      <c r="G41" s="177">
        <f t="shared" si="62"/>
        <v>1.1678995173968938</v>
      </c>
      <c r="H41" s="177">
        <f t="shared" si="62"/>
        <v>3.5216034873285178</v>
      </c>
      <c r="I41" s="177">
        <f t="shared" si="62"/>
        <v>0.88976826664830233</v>
      </c>
      <c r="J41" s="177">
        <f t="shared" si="62"/>
        <v>1.0927436668097901</v>
      </c>
      <c r="K41" s="177">
        <f t="shared" si="62"/>
        <v>1.2908036726179717</v>
      </c>
      <c r="L41" s="177">
        <f t="shared" si="62"/>
        <v>1.5341966881144462</v>
      </c>
      <c r="M41" s="177">
        <f t="shared" si="62"/>
        <v>4.8240601378852066</v>
      </c>
      <c r="N41" s="177">
        <f t="shared" si="62"/>
        <v>1.3725187364861564</v>
      </c>
      <c r="O41" s="177">
        <f t="shared" si="62"/>
        <v>1.43433277027027</v>
      </c>
      <c r="P41" s="177">
        <f t="shared" si="62"/>
        <v>1.7782636258716815</v>
      </c>
      <c r="Q41" s="177">
        <f t="shared" si="62"/>
        <v>1.7204785681862398</v>
      </c>
      <c r="R41" s="177">
        <f t="shared" si="62"/>
        <v>6.3060468742386577</v>
      </c>
      <c r="S41" s="177">
        <f t="shared" si="62"/>
        <v>1.6131132332005693</v>
      </c>
      <c r="T41" s="177">
        <f t="shared" si="62"/>
        <v>2.0486389432171603</v>
      </c>
      <c r="U41" s="177">
        <f t="shared" si="62"/>
        <v>2.2964103382259093</v>
      </c>
      <c r="V41" s="177">
        <f t="shared" si="62"/>
        <v>2.4032966333609109</v>
      </c>
      <c r="W41" s="177">
        <f t="shared" si="62"/>
        <v>8.3627942632638064</v>
      </c>
      <c r="X41" s="177">
        <f t="shared" si="62"/>
        <v>1.9863414014357408</v>
      </c>
      <c r="Y41" s="177">
        <f t="shared" si="62"/>
        <v>2.2848470439055317</v>
      </c>
      <c r="Z41" s="177">
        <f t="shared" si="62"/>
        <v>2.5230230864236631</v>
      </c>
      <c r="AA41" s="177">
        <f t="shared" si="62"/>
        <v>2.5985570811085679</v>
      </c>
      <c r="AB41" s="177">
        <f t="shared" si="62"/>
        <v>9.392727964972396</v>
      </c>
      <c r="AC41" s="177">
        <f t="shared" si="62"/>
        <v>2.2839261132631181</v>
      </c>
      <c r="AD41" s="177">
        <f t="shared" si="62"/>
        <v>2.6814807626995294</v>
      </c>
      <c r="AE41" s="177">
        <f t="shared" si="62"/>
        <v>2.6078647139736217</v>
      </c>
      <c r="AF41" s="177">
        <f t="shared" si="62"/>
        <v>2.7138924843936878</v>
      </c>
      <c r="AG41" s="177">
        <f t="shared" si="62"/>
        <v>10.267981251010182</v>
      </c>
      <c r="AH41" s="177">
        <f t="shared" si="62"/>
        <v>2.3083788289908136</v>
      </c>
      <c r="AI41" s="177">
        <f t="shared" si="62"/>
        <v>2.5601418739729591</v>
      </c>
      <c r="AJ41" s="177">
        <f t="shared" si="62"/>
        <v>3.2171528094276978</v>
      </c>
      <c r="AK41" s="177">
        <f t="shared" si="62"/>
        <v>2.9497622121623168</v>
      </c>
      <c r="AL41" s="177">
        <f t="shared" si="62"/>
        <v>11.036384689400982</v>
      </c>
      <c r="AM41" s="177">
        <f t="shared" si="62"/>
        <v>2.9809898983294656</v>
      </c>
      <c r="AN41" s="177">
        <f t="shared" si="62"/>
        <v>3.4935382011133171</v>
      </c>
      <c r="AO41" s="177">
        <f t="shared" ca="1" si="62"/>
        <v>3.5833454580726518</v>
      </c>
      <c r="AP41" s="177">
        <f t="shared" si="62"/>
        <v>3.6407892341052421</v>
      </c>
      <c r="AQ41" s="177">
        <f t="shared" ca="1" si="62"/>
        <v>13.705290166533203</v>
      </c>
      <c r="AR41" s="177">
        <f t="shared" si="62"/>
        <v>3.6702708286703065</v>
      </c>
      <c r="AS41" s="177">
        <f>IFERROR(AS36/AS43,0)</f>
        <v>4.0492625420098562</v>
      </c>
      <c r="AT41" s="177">
        <f>IFERROR(AT36/AT43,0)</f>
        <v>4.096208085239736</v>
      </c>
      <c r="AU41" s="177">
        <f>IFERROR(AU36/AU43,0)</f>
        <v>4.4225315217770955</v>
      </c>
      <c r="AV41" s="177">
        <f t="shared" si="62"/>
        <v>16.232815540728378</v>
      </c>
      <c r="AW41" s="177">
        <f>IFERROR(AW36/AW43,0)</f>
        <v>0.45487040428229447</v>
      </c>
      <c r="AX41" s="177">
        <f>IFERROR(AX36/AX43,0)</f>
        <v>3.7110840612917078</v>
      </c>
      <c r="AY41" s="177">
        <f>IFERROR(AY36/AY43,0)</f>
        <v>4.3052315242904875</v>
      </c>
      <c r="AZ41" s="177">
        <f>IFERROR(AZ36/AZ43,0)</f>
        <v>4.0003847902892939</v>
      </c>
      <c r="BA41" s="177">
        <f t="shared" ref="BA41:BT41" si="63">IFERROR(BA36/BA43,0)</f>
        <v>12.456114586005855</v>
      </c>
      <c r="BB41" s="177">
        <f t="shared" si="63"/>
        <v>3.9186032572397362</v>
      </c>
      <c r="BC41" s="177">
        <f t="shared" si="63"/>
        <v>0</v>
      </c>
      <c r="BD41" s="177">
        <f t="shared" si="63"/>
        <v>0</v>
      </c>
      <c r="BE41" s="177">
        <f t="shared" si="63"/>
        <v>0</v>
      </c>
      <c r="BF41" s="177">
        <f t="shared" ca="1" si="63"/>
        <v>11.786561061084024</v>
      </c>
      <c r="BG41" s="177">
        <f t="shared" ca="1" si="63"/>
        <v>13.398841359576833</v>
      </c>
      <c r="BH41" s="177">
        <f t="shared" ca="1" si="63"/>
        <v>15.130726941158965</v>
      </c>
      <c r="BI41" s="177">
        <f t="shared" ca="1" si="63"/>
        <v>17.152689025313613</v>
      </c>
      <c r="BJ41" s="177">
        <f t="shared" ca="1" si="63"/>
        <v>17.046322141608862</v>
      </c>
      <c r="BK41" s="177">
        <f t="shared" ca="1" si="63"/>
        <v>16.766349151175806</v>
      </c>
      <c r="BL41" s="177">
        <f t="shared" ca="1" si="63"/>
        <v>18.24648660089316</v>
      </c>
      <c r="BM41" s="177">
        <f t="shared" ca="1" si="63"/>
        <v>17.55053482428993</v>
      </c>
      <c r="BN41" s="177">
        <f t="shared" ca="1" si="63"/>
        <v>17.232680773522155</v>
      </c>
      <c r="BO41" s="177">
        <f t="shared" ca="1" si="63"/>
        <v>16.368060944341067</v>
      </c>
      <c r="BP41" s="177">
        <f t="shared" ca="1" si="63"/>
        <v>15.33706537820499</v>
      </c>
      <c r="BQ41" s="177">
        <f t="shared" ca="1" si="63"/>
        <v>12.95946432804049</v>
      </c>
      <c r="BR41" s="177">
        <f t="shared" ca="1" si="63"/>
        <v>11.588247509853908</v>
      </c>
      <c r="BS41" s="177">
        <f t="shared" ca="1" si="63"/>
        <v>8.8401168021888683</v>
      </c>
      <c r="BT41" s="177">
        <f t="shared" ca="1" si="63"/>
        <v>7.6854608423178172</v>
      </c>
      <c r="BU41" s="1"/>
    </row>
    <row r="42" spans="2:73">
      <c r="C42" s="47"/>
      <c r="D42" s="48"/>
      <c r="E42" s="48"/>
      <c r="F42" s="48"/>
      <c r="G42" s="48"/>
      <c r="H42" s="49"/>
      <c r="I42" s="48"/>
      <c r="J42" s="48"/>
      <c r="K42" s="48"/>
      <c r="L42" s="48"/>
      <c r="M42" s="49"/>
      <c r="N42" s="48"/>
      <c r="O42" s="48"/>
      <c r="P42" s="48"/>
      <c r="Q42" s="48"/>
      <c r="R42" s="49"/>
      <c r="S42" s="48"/>
      <c r="T42" s="48"/>
      <c r="U42" s="48"/>
      <c r="V42" s="48"/>
      <c r="W42" s="49"/>
      <c r="X42" s="48"/>
      <c r="Y42" s="48"/>
      <c r="Z42" s="48"/>
      <c r="AA42" s="48"/>
      <c r="AB42" s="49"/>
      <c r="AC42" s="48"/>
      <c r="AD42" s="48"/>
      <c r="AE42" s="48"/>
      <c r="AF42" s="48"/>
      <c r="AG42" s="49"/>
      <c r="AH42" s="48"/>
      <c r="AI42" s="48"/>
      <c r="AJ42" s="48"/>
      <c r="AK42" s="48"/>
      <c r="AL42" s="49"/>
      <c r="AM42" s="48"/>
      <c r="AN42" s="48"/>
      <c r="AO42" s="48"/>
      <c r="AP42" s="48"/>
      <c r="AQ42" s="50"/>
      <c r="AR42" s="48"/>
      <c r="AS42" s="48"/>
      <c r="AT42" s="48"/>
      <c r="AU42" s="48"/>
      <c r="AV42" s="50"/>
      <c r="AW42" s="48"/>
      <c r="AX42" s="48"/>
      <c r="AY42" s="48"/>
      <c r="AZ42" s="48"/>
      <c r="BA42" s="50"/>
      <c r="BB42" s="48"/>
      <c r="BC42" s="191"/>
      <c r="BD42" s="191"/>
      <c r="BE42" s="191"/>
      <c r="BF42" s="51"/>
      <c r="BG42" s="51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2"/>
    </row>
    <row r="43" spans="2:73" s="2" customFormat="1">
      <c r="B43" s="1"/>
      <c r="C43" s="47" t="s">
        <v>60</v>
      </c>
      <c r="D43" s="17">
        <f>D81</f>
        <v>45.697000000000003</v>
      </c>
      <c r="E43" s="17">
        <f t="shared" ref="E43:AS43" si="64">E81</f>
        <v>46.600999999999999</v>
      </c>
      <c r="F43" s="17">
        <f t="shared" si="64"/>
        <v>47.241</v>
      </c>
      <c r="G43" s="17">
        <f t="shared" si="64"/>
        <v>47.451000000000001</v>
      </c>
      <c r="H43" s="35">
        <f t="shared" si="64"/>
        <v>46.798000000000002</v>
      </c>
      <c r="I43" s="17">
        <f t="shared" si="64"/>
        <v>58.084000000000003</v>
      </c>
      <c r="J43" s="17">
        <f t="shared" si="64"/>
        <v>60.554000000000002</v>
      </c>
      <c r="K43" s="17">
        <f t="shared" si="64"/>
        <v>60.883000000000003</v>
      </c>
      <c r="L43" s="17">
        <f t="shared" si="64"/>
        <v>61.234000000000002</v>
      </c>
      <c r="M43" s="35">
        <f t="shared" si="64"/>
        <v>60.195</v>
      </c>
      <c r="N43" s="17">
        <f t="shared" si="64"/>
        <v>61.511000000000003</v>
      </c>
      <c r="O43" s="17">
        <f t="shared" si="64"/>
        <v>61.567999999999998</v>
      </c>
      <c r="P43" s="17">
        <f t="shared" si="64"/>
        <v>61.518999999999998</v>
      </c>
      <c r="Q43" s="17">
        <f t="shared" si="64"/>
        <v>61.683999999999997</v>
      </c>
      <c r="R43" s="35">
        <f t="shared" si="64"/>
        <v>61.569000000000003</v>
      </c>
      <c r="S43" s="17">
        <f t="shared" si="64"/>
        <v>62.517000000000003</v>
      </c>
      <c r="T43" s="17">
        <f t="shared" si="64"/>
        <v>62.378</v>
      </c>
      <c r="U43" s="17">
        <f t="shared" si="64"/>
        <v>62.68</v>
      </c>
      <c r="V43" s="17">
        <f t="shared" si="64"/>
        <v>62.851999999999997</v>
      </c>
      <c r="W43" s="35">
        <f t="shared" si="64"/>
        <v>62.613999999999997</v>
      </c>
      <c r="X43" s="17">
        <f t="shared" si="64"/>
        <v>62.963999999999999</v>
      </c>
      <c r="Y43" s="17">
        <f t="shared" si="64"/>
        <v>63.09</v>
      </c>
      <c r="Z43" s="17">
        <f t="shared" si="64"/>
        <v>63.154000000000003</v>
      </c>
      <c r="AA43" s="17">
        <f t="shared" si="64"/>
        <v>62.927999999999997</v>
      </c>
      <c r="AB43" s="35">
        <f t="shared" si="64"/>
        <v>63.036000000000001</v>
      </c>
      <c r="AC43" s="17">
        <f t="shared" si="64"/>
        <v>62.473999999999997</v>
      </c>
      <c r="AD43" s="17">
        <f t="shared" si="64"/>
        <v>61.832999999999998</v>
      </c>
      <c r="AE43" s="17">
        <f t="shared" si="64"/>
        <v>61.795000000000002</v>
      </c>
      <c r="AF43" s="17">
        <f t="shared" si="64"/>
        <v>61.033000000000001</v>
      </c>
      <c r="AG43" s="35">
        <f t="shared" si="64"/>
        <v>61.87</v>
      </c>
      <c r="AH43" s="17">
        <f t="shared" si="64"/>
        <v>61.177999999999997</v>
      </c>
      <c r="AI43" s="17">
        <f t="shared" si="64"/>
        <v>61.463000000000001</v>
      </c>
      <c r="AJ43" s="17">
        <f t="shared" si="64"/>
        <v>61.436</v>
      </c>
      <c r="AK43" s="17">
        <f t="shared" si="64"/>
        <v>61.189</v>
      </c>
      <c r="AL43" s="35">
        <f t="shared" si="64"/>
        <v>61.317</v>
      </c>
      <c r="AM43" s="17">
        <f t="shared" si="64"/>
        <v>61.177999999999997</v>
      </c>
      <c r="AN43" s="17">
        <f t="shared" si="64"/>
        <v>61.438000000000002</v>
      </c>
      <c r="AO43" s="17">
        <f t="shared" si="64"/>
        <v>61.856999999999999</v>
      </c>
      <c r="AP43" s="52">
        <f t="shared" si="64"/>
        <v>60.412999999999997</v>
      </c>
      <c r="AQ43" s="21">
        <v>61.189</v>
      </c>
      <c r="AR43" s="52">
        <f t="shared" ref="AR43" si="65">AR81</f>
        <v>58.081000000000003</v>
      </c>
      <c r="AS43" s="17">
        <f t="shared" si="64"/>
        <v>57.427</v>
      </c>
      <c r="AT43" s="17">
        <f>AT81</f>
        <v>57.438000000000002</v>
      </c>
      <c r="AU43" s="17">
        <f t="shared" ref="AU43" si="66">AU81</f>
        <v>57.262</v>
      </c>
      <c r="AV43" s="34">
        <f>AVERAGE(AR43:AU43)</f>
        <v>57.552000000000007</v>
      </c>
      <c r="AW43" s="17">
        <f>AW81</f>
        <v>56.792000000000002</v>
      </c>
      <c r="AX43" s="17">
        <f>AX81</f>
        <v>55.863999999999997</v>
      </c>
      <c r="AY43" s="17">
        <f>AY81</f>
        <v>56.235999999999997</v>
      </c>
      <c r="AZ43" s="17">
        <f>AZ81</f>
        <v>57.173999999999999</v>
      </c>
      <c r="BA43" s="34">
        <f>AVERAGE(AW43:AZ43)</f>
        <v>56.516500000000001</v>
      </c>
      <c r="BB43" s="17">
        <f>BB81</f>
        <v>58.393000000000001</v>
      </c>
      <c r="BC43" s="17"/>
      <c r="BD43" s="17"/>
      <c r="BE43" s="17"/>
      <c r="BF43" s="35">
        <f>BA43</f>
        <v>56.516500000000001</v>
      </c>
      <c r="BG43" s="35">
        <f>BF43</f>
        <v>56.516500000000001</v>
      </c>
      <c r="BH43" s="35">
        <f t="shared" ref="BH43:BT43" si="67">BG43</f>
        <v>56.516500000000001</v>
      </c>
      <c r="BI43" s="35">
        <f t="shared" si="67"/>
        <v>56.516500000000001</v>
      </c>
      <c r="BJ43" s="35">
        <f t="shared" si="67"/>
        <v>56.516500000000001</v>
      </c>
      <c r="BK43" s="35">
        <f t="shared" si="67"/>
        <v>56.516500000000001</v>
      </c>
      <c r="BL43" s="35">
        <f t="shared" si="67"/>
        <v>56.516500000000001</v>
      </c>
      <c r="BM43" s="35">
        <f t="shared" si="67"/>
        <v>56.516500000000001</v>
      </c>
      <c r="BN43" s="35">
        <f t="shared" si="67"/>
        <v>56.516500000000001</v>
      </c>
      <c r="BO43" s="35">
        <f t="shared" si="67"/>
        <v>56.516500000000001</v>
      </c>
      <c r="BP43" s="35">
        <f t="shared" si="67"/>
        <v>56.516500000000001</v>
      </c>
      <c r="BQ43" s="35">
        <f t="shared" si="67"/>
        <v>56.516500000000001</v>
      </c>
      <c r="BR43" s="35">
        <f t="shared" si="67"/>
        <v>56.516500000000001</v>
      </c>
      <c r="BS43" s="35">
        <f t="shared" si="67"/>
        <v>56.516500000000001</v>
      </c>
      <c r="BT43" s="35">
        <f t="shared" si="67"/>
        <v>56.516500000000001</v>
      </c>
    </row>
    <row r="44" spans="2:73">
      <c r="C44" s="2"/>
      <c r="D44" s="53"/>
      <c r="E44" s="53"/>
      <c r="F44" s="53"/>
      <c r="G44" s="53"/>
      <c r="H44" s="54"/>
      <c r="I44" s="53"/>
      <c r="J44" s="53"/>
      <c r="K44" s="53"/>
      <c r="L44" s="53"/>
      <c r="M44" s="54"/>
      <c r="N44" s="53"/>
      <c r="O44" s="53"/>
      <c r="P44" s="53"/>
      <c r="Q44" s="53"/>
      <c r="R44" s="54"/>
      <c r="S44" s="53"/>
      <c r="T44" s="53"/>
      <c r="U44" s="53"/>
      <c r="V44" s="53"/>
      <c r="W44" s="54"/>
      <c r="X44" s="53"/>
      <c r="Y44" s="53"/>
      <c r="Z44" s="53"/>
      <c r="AA44" s="53"/>
      <c r="AB44" s="54"/>
      <c r="AC44" s="53"/>
      <c r="AD44" s="53"/>
      <c r="AE44" s="53"/>
      <c r="AF44" s="53"/>
      <c r="AG44" s="54"/>
      <c r="AH44" s="53"/>
      <c r="AI44" s="53"/>
      <c r="AJ44" s="53"/>
      <c r="AK44" s="53"/>
      <c r="AL44" s="54"/>
      <c r="AM44" s="53"/>
      <c r="AN44" s="53"/>
      <c r="AO44" s="53"/>
      <c r="AP44" s="29"/>
      <c r="AQ44" s="54"/>
      <c r="AR44" s="53"/>
      <c r="AS44" s="53"/>
      <c r="AT44" s="53"/>
      <c r="AU44" s="53"/>
      <c r="AV44" s="55"/>
      <c r="AW44" s="56"/>
      <c r="AX44" s="56"/>
      <c r="AY44" s="56"/>
      <c r="AZ44" s="56"/>
      <c r="BA44" s="55"/>
      <c r="BB44" s="53"/>
      <c r="BC44" s="53"/>
      <c r="BD44" s="53"/>
      <c r="BE44" s="53"/>
      <c r="BF44" s="54"/>
      <c r="BG44" s="54"/>
      <c r="BH44" s="54"/>
      <c r="BI44" s="54"/>
      <c r="BJ44" s="54"/>
      <c r="BK44" s="54"/>
      <c r="BL44" s="54"/>
      <c r="BM44" s="54"/>
      <c r="BN44" s="54"/>
      <c r="BO44" s="54"/>
      <c r="BP44" s="54"/>
      <c r="BQ44" s="54"/>
      <c r="BR44" s="54"/>
      <c r="BS44" s="54"/>
      <c r="BT44" s="54"/>
      <c r="BU44" s="2"/>
    </row>
    <row r="45" spans="2:73">
      <c r="C45" s="171" t="s">
        <v>61</v>
      </c>
      <c r="D45" s="169"/>
      <c r="E45" s="169"/>
      <c r="F45" s="169"/>
      <c r="G45" s="169"/>
      <c r="H45" s="172"/>
      <c r="I45" s="169"/>
      <c r="J45" s="169"/>
      <c r="K45" s="169"/>
      <c r="L45" s="169"/>
      <c r="M45" s="172"/>
      <c r="N45" s="169"/>
      <c r="O45" s="169"/>
      <c r="P45" s="169"/>
      <c r="Q45" s="169"/>
      <c r="R45" s="172"/>
      <c r="S45" s="169"/>
      <c r="T45" s="169"/>
      <c r="U45" s="169"/>
      <c r="V45" s="169"/>
      <c r="W45" s="172"/>
      <c r="X45" s="169"/>
      <c r="Y45" s="169"/>
      <c r="Z45" s="169"/>
      <c r="AA45" s="169"/>
      <c r="AB45" s="172"/>
      <c r="AC45" s="169"/>
      <c r="AD45" s="169"/>
      <c r="AE45" s="169"/>
      <c r="AF45" s="169"/>
      <c r="AG45" s="172"/>
      <c r="AH45" s="169"/>
      <c r="AI45" s="169"/>
      <c r="AJ45" s="169"/>
      <c r="AK45" s="169"/>
      <c r="AL45" s="172"/>
      <c r="AM45" s="169"/>
      <c r="AN45" s="169"/>
      <c r="AO45" s="169"/>
      <c r="AP45" s="169"/>
      <c r="AQ45" s="172"/>
      <c r="AR45" s="172"/>
      <c r="AS45" s="172"/>
      <c r="AT45" s="172"/>
      <c r="AU45" s="172"/>
      <c r="AV45" s="172"/>
      <c r="AW45" s="172"/>
      <c r="AX45" s="172"/>
      <c r="AY45" s="172"/>
      <c r="AZ45" s="172"/>
      <c r="BA45" s="172"/>
      <c r="BB45" s="172"/>
      <c r="BC45" s="172"/>
      <c r="BD45" s="172"/>
      <c r="BE45" s="172"/>
      <c r="BF45" s="172"/>
      <c r="BG45" s="172"/>
      <c r="BH45" s="172"/>
      <c r="BI45" s="172"/>
      <c r="BJ45" s="172"/>
      <c r="BK45" s="172"/>
      <c r="BL45" s="172"/>
      <c r="BM45" s="172"/>
      <c r="BN45" s="172"/>
      <c r="BO45" s="172"/>
      <c r="BP45" s="172"/>
      <c r="BQ45" s="172"/>
      <c r="BR45" s="172"/>
      <c r="BS45" s="172"/>
      <c r="BT45" s="172"/>
    </row>
    <row r="46" spans="2:73">
      <c r="C46" s="12"/>
      <c r="D46" s="13"/>
      <c r="E46" s="13"/>
      <c r="F46" s="13"/>
      <c r="G46" s="13"/>
      <c r="H46" s="57"/>
      <c r="I46" s="13"/>
      <c r="J46" s="13"/>
      <c r="K46" s="13"/>
      <c r="L46" s="13"/>
      <c r="M46" s="14"/>
      <c r="N46" s="13"/>
      <c r="O46" s="13"/>
      <c r="P46" s="13"/>
      <c r="Q46" s="13"/>
      <c r="R46" s="14"/>
      <c r="S46" s="13"/>
      <c r="T46" s="13"/>
      <c r="U46" s="13"/>
      <c r="V46" s="13"/>
      <c r="W46" s="14"/>
      <c r="X46" s="13"/>
      <c r="Y46" s="13"/>
      <c r="Z46" s="13"/>
      <c r="AA46" s="13"/>
      <c r="AB46" s="14"/>
      <c r="AC46" s="13"/>
      <c r="AD46" s="13"/>
      <c r="AE46" s="13"/>
      <c r="AF46" s="13"/>
      <c r="AG46" s="14"/>
      <c r="AH46" s="13"/>
      <c r="AI46" s="13"/>
      <c r="AJ46" s="13"/>
      <c r="AK46" s="13"/>
      <c r="AL46" s="14"/>
      <c r="AM46" s="13"/>
      <c r="AN46" s="13"/>
      <c r="AO46" s="13"/>
      <c r="AP46" s="13"/>
      <c r="AQ46" s="14"/>
      <c r="AR46" s="15"/>
      <c r="AS46" s="15"/>
      <c r="AT46" s="15"/>
      <c r="AU46" s="15"/>
      <c r="AV46" s="14"/>
      <c r="AW46" s="15"/>
      <c r="AX46" s="15"/>
      <c r="AY46" s="15"/>
      <c r="AZ46" s="15"/>
      <c r="BA46" s="14"/>
      <c r="BB46" s="15"/>
      <c r="BC46" s="15"/>
      <c r="BD46" s="15"/>
      <c r="BE46" s="15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2"/>
    </row>
    <row r="47" spans="2:73">
      <c r="C47" s="58" t="s">
        <v>62</v>
      </c>
      <c r="D47" s="59" t="s">
        <v>63</v>
      </c>
      <c r="E47" s="59" t="s">
        <v>63</v>
      </c>
      <c r="F47" s="59" t="s">
        <v>63</v>
      </c>
      <c r="G47" s="59" t="s">
        <v>63</v>
      </c>
      <c r="H47" s="57" t="s">
        <v>63</v>
      </c>
      <c r="I47" s="60">
        <f t="shared" ref="I47:AT47" si="68">I23/D23-1</f>
        <v>1.0264447782433397</v>
      </c>
      <c r="J47" s="60">
        <f t="shared" si="68"/>
        <v>1.0151361946393296</v>
      </c>
      <c r="K47" s="60">
        <f t="shared" si="68"/>
        <v>1.4040516107823802</v>
      </c>
      <c r="L47" s="60">
        <f t="shared" si="68"/>
        <v>1.2065896314803246</v>
      </c>
      <c r="M47" s="57">
        <f t="shared" si="68"/>
        <v>1.1807523078568556</v>
      </c>
      <c r="N47" s="60">
        <f t="shared" si="68"/>
        <v>0.91394713742319311</v>
      </c>
      <c r="O47" s="60">
        <f t="shared" si="68"/>
        <v>0.60763939817352264</v>
      </c>
      <c r="P47" s="60">
        <f t="shared" si="68"/>
        <v>0.32273594849443077</v>
      </c>
      <c r="Q47" s="60">
        <f t="shared" si="68"/>
        <v>0.28345209386890802</v>
      </c>
      <c r="R47" s="57">
        <f t="shared" si="68"/>
        <v>0.47546453752577</v>
      </c>
      <c r="S47" s="60">
        <f t="shared" si="68"/>
        <v>0.25826933758669357</v>
      </c>
      <c r="T47" s="60">
        <f t="shared" si="68"/>
        <v>0.39844995486237855</v>
      </c>
      <c r="U47" s="60">
        <f t="shared" si="68"/>
        <v>0.32057201929703649</v>
      </c>
      <c r="V47" s="60">
        <f t="shared" si="68"/>
        <v>0.39176499529210163</v>
      </c>
      <c r="W47" s="57">
        <f t="shared" si="68"/>
        <v>0.34438798610307164</v>
      </c>
      <c r="X47" s="60">
        <f t="shared" si="68"/>
        <v>0.25264965434008735</v>
      </c>
      <c r="Y47" s="60">
        <f t="shared" si="68"/>
        <v>0.14599114102255939</v>
      </c>
      <c r="Z47" s="60">
        <f t="shared" si="68"/>
        <v>0.1118388435143387</v>
      </c>
      <c r="AA47" s="60">
        <f t="shared" si="68"/>
        <v>3.8821607718609652E-2</v>
      </c>
      <c r="AB47" s="57">
        <f t="shared" si="68"/>
        <v>0.12953469039752741</v>
      </c>
      <c r="AC47" s="60">
        <f t="shared" si="68"/>
        <v>8.6345751576932583E-2</v>
      </c>
      <c r="AD47" s="60">
        <f t="shared" si="68"/>
        <v>0.1420656964706799</v>
      </c>
      <c r="AE47" s="60">
        <f t="shared" si="68"/>
        <v>9.7717031613039351E-2</v>
      </c>
      <c r="AF47" s="60">
        <f t="shared" si="68"/>
        <v>0.16351747383984438</v>
      </c>
      <c r="AG47" s="57">
        <f t="shared" si="68"/>
        <v>0.12316548196222388</v>
      </c>
      <c r="AH47" s="60">
        <f t="shared" si="68"/>
        <v>0.11917204845093887</v>
      </c>
      <c r="AI47" s="60">
        <f t="shared" si="68"/>
        <v>3.4696624261138842E-2</v>
      </c>
      <c r="AJ47" s="60">
        <f t="shared" si="68"/>
        <v>0.10068389362367425</v>
      </c>
      <c r="AK47" s="60">
        <f t="shared" si="68"/>
        <v>0.10029221851591319</v>
      </c>
      <c r="AL47" s="57">
        <f t="shared" si="68"/>
        <v>8.7851056437179942E-2</v>
      </c>
      <c r="AM47" s="60">
        <f t="shared" si="68"/>
        <v>0.18231472691349349</v>
      </c>
      <c r="AN47" s="60">
        <f t="shared" si="68"/>
        <v>0.2690080276683251</v>
      </c>
      <c r="AO47" s="60">
        <f t="shared" si="68"/>
        <v>0.13965594687450666</v>
      </c>
      <c r="AP47" s="60">
        <f t="shared" si="68"/>
        <v>9.179214434496874E-2</v>
      </c>
      <c r="AQ47" s="61">
        <f t="shared" si="68"/>
        <v>0.1681782771655902</v>
      </c>
      <c r="AR47" s="60">
        <f t="shared" si="68"/>
        <v>0.14298502293005377</v>
      </c>
      <c r="AS47" s="60">
        <f t="shared" si="68"/>
        <v>6.7243580649737567E-2</v>
      </c>
      <c r="AT47" s="60">
        <f t="shared" si="68"/>
        <v>0.14557505438105722</v>
      </c>
      <c r="AU47" s="60">
        <f t="shared" ref="AU47:BB47" si="69">AU23/AP23-1</f>
        <v>0.22097062274245105</v>
      </c>
      <c r="AV47" s="61">
        <f t="shared" si="69"/>
        <v>0.14323118563325155</v>
      </c>
      <c r="AW47" s="60">
        <f t="shared" si="69"/>
        <v>5.2224972746199194E-2</v>
      </c>
      <c r="AX47" s="60">
        <f t="shared" si="69"/>
        <v>5.2988675105263727E-2</v>
      </c>
      <c r="AY47" s="60">
        <f t="shared" si="69"/>
        <v>0.11751118649363379</v>
      </c>
      <c r="AZ47" s="60">
        <f t="shared" si="69"/>
        <v>0.14401107023756321</v>
      </c>
      <c r="BA47" s="61">
        <f t="shared" si="69"/>
        <v>9.3352595407170558E-2</v>
      </c>
      <c r="BB47" s="60">
        <f t="shared" si="69"/>
        <v>0.13624734910963721</v>
      </c>
      <c r="BC47" s="62"/>
      <c r="BD47" s="62"/>
      <c r="BE47" s="62"/>
      <c r="BF47" s="61">
        <f>BF23/BA23-1</f>
        <v>5.9733459437379954E-2</v>
      </c>
      <c r="BG47" s="61">
        <f>BG23/BF23-1</f>
        <v>9.9791596815212769E-2</v>
      </c>
      <c r="BH47" s="61">
        <f t="shared" ref="BH47:BT47" si="70">BH23/BG23-1</f>
        <v>-0.11067222518161968</v>
      </c>
      <c r="BI47" s="61">
        <f t="shared" si="70"/>
        <v>1.2432999530617161E-2</v>
      </c>
      <c r="BJ47" s="61">
        <f t="shared" si="70"/>
        <v>-5.9675516056646449E-3</v>
      </c>
      <c r="BK47" s="61">
        <f t="shared" si="70"/>
        <v>-1.580175494401348E-2</v>
      </c>
      <c r="BL47" s="61">
        <f t="shared" si="70"/>
        <v>-1.5906732308613725E-2</v>
      </c>
      <c r="BM47" s="61">
        <f t="shared" si="70"/>
        <v>-3.6787797613295647E-2</v>
      </c>
      <c r="BN47" s="61">
        <f t="shared" si="70"/>
        <v>-1.744337090501169E-2</v>
      </c>
      <c r="BO47" s="61">
        <f t="shared" si="70"/>
        <v>-4.8291452286058245E-2</v>
      </c>
      <c r="BP47" s="61">
        <f t="shared" si="70"/>
        <v>-6.0505924695465563E-2</v>
      </c>
      <c r="BQ47" s="61">
        <f t="shared" si="70"/>
        <v>-0.14852037707907195</v>
      </c>
      <c r="BR47" s="61">
        <f t="shared" si="70"/>
        <v>-0.10059558751714293</v>
      </c>
      <c r="BS47" s="61">
        <f t="shared" si="70"/>
        <v>-0.22415847905143282</v>
      </c>
      <c r="BT47" s="61">
        <f t="shared" si="70"/>
        <v>-0.12139404129450027</v>
      </c>
      <c r="BU47" s="2"/>
    </row>
    <row r="48" spans="2:73">
      <c r="B48" s="2"/>
      <c r="C48" s="58" t="s">
        <v>64</v>
      </c>
      <c r="D48" s="63">
        <f t="shared" ref="D48:AP48" si="71">D25/D23</f>
        <v>0.94448177721559023</v>
      </c>
      <c r="E48" s="63">
        <f t="shared" si="71"/>
        <v>0.94989343994524211</v>
      </c>
      <c r="F48" s="63">
        <f t="shared" si="71"/>
        <v>0.94932062239754544</v>
      </c>
      <c r="G48" s="63">
        <f t="shared" si="71"/>
        <v>0.95594099841445246</v>
      </c>
      <c r="H48" s="64">
        <f t="shared" si="71"/>
        <v>0.95058623067872927</v>
      </c>
      <c r="I48" s="63">
        <f t="shared" si="71"/>
        <v>0.94074904905881207</v>
      </c>
      <c r="J48" s="63">
        <f t="shared" si="71"/>
        <v>0.91458170898339497</v>
      </c>
      <c r="K48" s="63">
        <f t="shared" si="71"/>
        <v>0.87546363558670193</v>
      </c>
      <c r="L48" s="63">
        <f t="shared" si="71"/>
        <v>0.87398681567530201</v>
      </c>
      <c r="M48" s="64">
        <f t="shared" si="71"/>
        <v>0.89489537229805483</v>
      </c>
      <c r="N48" s="63">
        <f t="shared" si="71"/>
        <v>0.87299031273409189</v>
      </c>
      <c r="O48" s="63">
        <f t="shared" si="71"/>
        <v>0.88764573689568405</v>
      </c>
      <c r="P48" s="63">
        <f t="shared" si="71"/>
        <v>0.90028859407305306</v>
      </c>
      <c r="Q48" s="63">
        <f t="shared" si="71"/>
        <v>0.8961166201531976</v>
      </c>
      <c r="R48" s="64">
        <f t="shared" si="71"/>
        <v>0.89000289996939563</v>
      </c>
      <c r="S48" s="63">
        <f t="shared" si="71"/>
        <v>0.90800221935128522</v>
      </c>
      <c r="T48" s="63">
        <f t="shared" si="71"/>
        <v>0.90860144902654261</v>
      </c>
      <c r="U48" s="63">
        <f t="shared" si="71"/>
        <v>0.91273517208986765</v>
      </c>
      <c r="V48" s="63">
        <f t="shared" si="71"/>
        <v>0.9142535853380549</v>
      </c>
      <c r="W48" s="64">
        <f t="shared" si="71"/>
        <v>0.91113716295427905</v>
      </c>
      <c r="X48" s="63">
        <f t="shared" si="71"/>
        <v>0.91075741263421306</v>
      </c>
      <c r="Y48" s="63">
        <f t="shared" si="71"/>
        <v>0.93695523854896079</v>
      </c>
      <c r="Z48" s="63">
        <f t="shared" si="71"/>
        <v>0.91903412424605135</v>
      </c>
      <c r="AA48" s="63">
        <f t="shared" si="71"/>
        <v>0.93484823149427509</v>
      </c>
      <c r="AB48" s="64">
        <f t="shared" si="71"/>
        <v>0.92568555475795267</v>
      </c>
      <c r="AC48" s="63">
        <f t="shared" si="71"/>
        <v>0.93262105294485287</v>
      </c>
      <c r="AD48" s="63">
        <f t="shared" si="71"/>
        <v>0.93961344418762671</v>
      </c>
      <c r="AE48" s="63">
        <f t="shared" si="71"/>
        <v>0.93863130410149098</v>
      </c>
      <c r="AF48" s="63">
        <f t="shared" si="71"/>
        <v>0.91887217267870325</v>
      </c>
      <c r="AG48" s="64">
        <f t="shared" si="71"/>
        <v>0.93225885147109522</v>
      </c>
      <c r="AH48" s="63">
        <f t="shared" si="71"/>
        <v>0.93666052391551191</v>
      </c>
      <c r="AI48" s="63">
        <f t="shared" si="71"/>
        <v>0.93117149188865733</v>
      </c>
      <c r="AJ48" s="63">
        <f t="shared" si="71"/>
        <v>0.92805720459870589</v>
      </c>
      <c r="AK48" s="63">
        <f t="shared" si="71"/>
        <v>0.94550399978001787</v>
      </c>
      <c r="AL48" s="64">
        <f t="shared" si="71"/>
        <v>0.93551834720975502</v>
      </c>
      <c r="AM48" s="63">
        <f t="shared" si="71"/>
        <v>0.92752123757065141</v>
      </c>
      <c r="AN48" s="63">
        <f t="shared" si="71"/>
        <v>0.9342409971247545</v>
      </c>
      <c r="AO48" s="63">
        <f t="shared" si="71"/>
        <v>0.94663306155232618</v>
      </c>
      <c r="AP48" s="63">
        <f t="shared" si="71"/>
        <v>0.94810654476689393</v>
      </c>
      <c r="AQ48" s="65">
        <f>AQ25/AQ23</f>
        <v>0.93923070332885228</v>
      </c>
      <c r="AR48" s="63">
        <f t="shared" ref="AR48:AT48" si="72">AR25/AR23</f>
        <v>0.93733200048801035</v>
      </c>
      <c r="AS48" s="63">
        <f t="shared" si="72"/>
        <v>0.95138289527140241</v>
      </c>
      <c r="AT48" s="63">
        <f t="shared" si="72"/>
        <v>0.94529497751542668</v>
      </c>
      <c r="AU48" s="63">
        <f t="shared" ref="AU48:BB48" si="73">AU25/AU23</f>
        <v>0.94144635060336235</v>
      </c>
      <c r="AV48" s="65">
        <f t="shared" si="73"/>
        <v>0.94389157728352024</v>
      </c>
      <c r="AW48" s="63">
        <f t="shared" si="73"/>
        <v>0.94953677210384391</v>
      </c>
      <c r="AX48" s="63">
        <f t="shared" si="73"/>
        <v>0.95361783385131815</v>
      </c>
      <c r="AY48" s="63">
        <f t="shared" si="73"/>
        <v>0.93313895434756555</v>
      </c>
      <c r="AZ48" s="63">
        <f t="shared" si="73"/>
        <v>0.92742784932616296</v>
      </c>
      <c r="BA48" s="65">
        <f t="shared" si="73"/>
        <v>0.94011381949401052</v>
      </c>
      <c r="BB48" s="63">
        <f t="shared" si="73"/>
        <v>0.93713924563144668</v>
      </c>
      <c r="BC48" s="192"/>
      <c r="BD48" s="192"/>
      <c r="BE48" s="192"/>
      <c r="BF48" s="66">
        <f>AVERAGE(BA48,AV48,AQ48,AL48,AG48)</f>
        <v>0.93820265975744677</v>
      </c>
      <c r="BG48" s="66">
        <f>BF48</f>
        <v>0.93820265975744677</v>
      </c>
      <c r="BH48" s="66">
        <f t="shared" ref="BH48:BT48" si="74">BG48</f>
        <v>0.93820265975744677</v>
      </c>
      <c r="BI48" s="66">
        <f t="shared" si="74"/>
        <v>0.93820265975744677</v>
      </c>
      <c r="BJ48" s="66">
        <f t="shared" si="74"/>
        <v>0.93820265975744677</v>
      </c>
      <c r="BK48" s="66">
        <f t="shared" si="74"/>
        <v>0.93820265975744677</v>
      </c>
      <c r="BL48" s="66">
        <f t="shared" si="74"/>
        <v>0.93820265975744677</v>
      </c>
      <c r="BM48" s="66">
        <f t="shared" si="74"/>
        <v>0.93820265975744677</v>
      </c>
      <c r="BN48" s="66">
        <f t="shared" si="74"/>
        <v>0.93820265975744677</v>
      </c>
      <c r="BO48" s="66">
        <f t="shared" si="74"/>
        <v>0.93820265975744677</v>
      </c>
      <c r="BP48" s="66">
        <f t="shared" si="74"/>
        <v>0.93820265975744677</v>
      </c>
      <c r="BQ48" s="66">
        <f t="shared" si="74"/>
        <v>0.93820265975744677</v>
      </c>
      <c r="BR48" s="66">
        <f t="shared" si="74"/>
        <v>0.93820265975744677</v>
      </c>
      <c r="BS48" s="66">
        <f t="shared" si="74"/>
        <v>0.93820265975744677</v>
      </c>
      <c r="BT48" s="66">
        <f t="shared" si="74"/>
        <v>0.93820265975744677</v>
      </c>
    </row>
    <row r="49" spans="1:73">
      <c r="A49" s="11"/>
      <c r="B49" s="169"/>
      <c r="C49" s="58" t="s">
        <v>65</v>
      </c>
      <c r="D49" s="63">
        <f t="shared" ref="D49:AV49" si="75">D29/D23</f>
        <v>0.53856036050280653</v>
      </c>
      <c r="E49" s="63">
        <f t="shared" si="75"/>
        <v>0.60438996313177662</v>
      </c>
      <c r="F49" s="63">
        <f t="shared" si="75"/>
        <v>0.60883738768354145</v>
      </c>
      <c r="G49" s="63">
        <f t="shared" si="75"/>
        <v>0.66615817037428526</v>
      </c>
      <c r="H49" s="67">
        <f t="shared" si="75"/>
        <v>0.61226898380535444</v>
      </c>
      <c r="I49" s="63">
        <f t="shared" si="75"/>
        <v>0.55744660099483068</v>
      </c>
      <c r="J49" s="63">
        <f t="shared" si="75"/>
        <v>0.55056778267548778</v>
      </c>
      <c r="K49" s="63">
        <f t="shared" si="75"/>
        <v>0.5456456713101443</v>
      </c>
      <c r="L49" s="63">
        <f t="shared" si="75"/>
        <v>0.54469986880998134</v>
      </c>
      <c r="M49" s="67">
        <f t="shared" si="75"/>
        <v>0.54847645897846564</v>
      </c>
      <c r="N49" s="63">
        <f t="shared" si="75"/>
        <v>0.55590943603907506</v>
      </c>
      <c r="O49" s="63">
        <f t="shared" si="75"/>
        <v>0.54871501834316116</v>
      </c>
      <c r="P49" s="63">
        <f t="shared" si="75"/>
        <v>0.6009131633356305</v>
      </c>
      <c r="Q49" s="63">
        <f t="shared" si="75"/>
        <v>0.57595833297988752</v>
      </c>
      <c r="R49" s="67">
        <f t="shared" si="75"/>
        <v>0.57158626033472282</v>
      </c>
      <c r="S49" s="63">
        <f t="shared" si="75"/>
        <v>0.53621633005155533</v>
      </c>
      <c r="T49" s="63">
        <f t="shared" si="75"/>
        <v>0.57571678741887855</v>
      </c>
      <c r="U49" s="63">
        <f t="shared" si="75"/>
        <v>0.59623137541424209</v>
      </c>
      <c r="V49" s="63">
        <f t="shared" si="75"/>
        <v>0.59536420208324436</v>
      </c>
      <c r="W49" s="67">
        <f t="shared" si="75"/>
        <v>0.5782602579132472</v>
      </c>
      <c r="X49" s="63">
        <f t="shared" si="75"/>
        <v>0.52687170832484653</v>
      </c>
      <c r="Y49" s="63">
        <f t="shared" si="75"/>
        <v>0.60006232265758197</v>
      </c>
      <c r="Z49" s="63">
        <f t="shared" si="75"/>
        <v>0.60366647891290581</v>
      </c>
      <c r="AA49" s="63">
        <f t="shared" si="75"/>
        <v>0.60210454674798541</v>
      </c>
      <c r="AB49" s="67">
        <f t="shared" si="75"/>
        <v>0.58442726956385216</v>
      </c>
      <c r="AC49" s="63">
        <f t="shared" si="75"/>
        <v>0.54402249933037716</v>
      </c>
      <c r="AD49" s="63">
        <f t="shared" si="75"/>
        <v>0.58530122441697863</v>
      </c>
      <c r="AE49" s="63">
        <f t="shared" si="75"/>
        <v>0.5702080009407211</v>
      </c>
      <c r="AF49" s="63">
        <f t="shared" si="75"/>
        <v>0.54616623930654196</v>
      </c>
      <c r="AG49" s="67">
        <f t="shared" si="75"/>
        <v>0.56175280062205424</v>
      </c>
      <c r="AH49" s="63">
        <f t="shared" si="75"/>
        <v>0.51322021098089898</v>
      </c>
      <c r="AI49" s="63">
        <f t="shared" si="75"/>
        <v>0.55399785996460316</v>
      </c>
      <c r="AJ49" s="63">
        <f t="shared" si="75"/>
        <v>0.57275740248388396</v>
      </c>
      <c r="AK49" s="63">
        <f t="shared" si="75"/>
        <v>0.56812000027497767</v>
      </c>
      <c r="AL49" s="67">
        <f t="shared" si="75"/>
        <v>0.55310488153096371</v>
      </c>
      <c r="AM49" s="63">
        <f t="shared" si="75"/>
        <v>0.52431440376237326</v>
      </c>
      <c r="AN49" s="63">
        <f t="shared" si="75"/>
        <v>0.55634502146943232</v>
      </c>
      <c r="AO49" s="63">
        <f t="shared" si="75"/>
        <v>0.55578186218636361</v>
      </c>
      <c r="AP49" s="63">
        <f t="shared" si="75"/>
        <v>0.54217064708882434</v>
      </c>
      <c r="AQ49" s="67">
        <f t="shared" si="75"/>
        <v>0.54510233632058858</v>
      </c>
      <c r="AR49" s="63">
        <f t="shared" si="75"/>
        <v>0.53952686614743428</v>
      </c>
      <c r="AS49" s="63">
        <f t="shared" si="75"/>
        <v>0.55070179150136767</v>
      </c>
      <c r="AT49" s="63">
        <f t="shared" si="75"/>
        <v>0.50776452384406223</v>
      </c>
      <c r="AU49" s="63">
        <f>AU29/AU23</f>
        <v>0.44809021212225397</v>
      </c>
      <c r="AV49" s="67">
        <f t="shared" si="75"/>
        <v>0.50978160860520649</v>
      </c>
      <c r="AW49" s="63">
        <f>AW29/AW23</f>
        <v>7.1000849032962804E-2</v>
      </c>
      <c r="AX49" s="63">
        <f>AX29/AX23</f>
        <v>0.51864389903917951</v>
      </c>
      <c r="AY49" s="63">
        <f>AY29/AY23</f>
        <v>0.48802272636497962</v>
      </c>
      <c r="AZ49" s="63">
        <f>AZ29/AZ23</f>
        <v>0.40851398236258429</v>
      </c>
      <c r="BA49" s="67">
        <f t="shared" ref="BA49" si="76">BA29/BA23</f>
        <v>0.37857610975275929</v>
      </c>
      <c r="BB49" s="63">
        <f>BB29/BB23</f>
        <v>0.4494182668648295</v>
      </c>
      <c r="BC49" s="63"/>
      <c r="BD49" s="63"/>
      <c r="BE49" s="63"/>
      <c r="BF49" s="66">
        <f>BF29/BF$23</f>
        <v>0.33789328903060556</v>
      </c>
      <c r="BG49" s="66">
        <f t="shared" ref="BG49:BT49" si="77">BG29/BG$23</f>
        <v>0.34699504277135779</v>
      </c>
      <c r="BH49" s="66">
        <f t="shared" si="77"/>
        <v>0.43820265975744682</v>
      </c>
      <c r="BI49" s="66">
        <f t="shared" si="77"/>
        <v>0.48820265975744687</v>
      </c>
      <c r="BJ49" s="66">
        <f t="shared" si="77"/>
        <v>0.4882026597574467</v>
      </c>
      <c r="BK49" s="66">
        <f t="shared" si="77"/>
        <v>0.48820265975744659</v>
      </c>
      <c r="BL49" s="66">
        <f t="shared" si="77"/>
        <v>0.53820265975744674</v>
      </c>
      <c r="BM49" s="66">
        <f t="shared" si="77"/>
        <v>0.53820265975744674</v>
      </c>
      <c r="BN49" s="66">
        <f t="shared" si="77"/>
        <v>0.53820265975744674</v>
      </c>
      <c r="BO49" s="66">
        <f t="shared" si="77"/>
        <v>0.53820265975744674</v>
      </c>
      <c r="BP49" s="66">
        <f t="shared" si="77"/>
        <v>0.53820265975744674</v>
      </c>
      <c r="BQ49" s="66">
        <f t="shared" si="77"/>
        <v>0.53820265975744663</v>
      </c>
      <c r="BR49" s="66">
        <f t="shared" si="77"/>
        <v>0.53820265975744674</v>
      </c>
      <c r="BS49" s="66">
        <f t="shared" si="77"/>
        <v>0.53820265975744663</v>
      </c>
      <c r="BT49" s="66">
        <f t="shared" si="77"/>
        <v>0.53820265975744674</v>
      </c>
    </row>
    <row r="50" spans="1:73">
      <c r="A50" s="11"/>
      <c r="B50" s="11"/>
      <c r="C50" s="58" t="s">
        <v>66</v>
      </c>
      <c r="D50" s="63">
        <f t="shared" ref="D50:AP50" si="78">D26/D23</f>
        <v>0.34585738003004196</v>
      </c>
      <c r="E50" s="63">
        <f t="shared" si="78"/>
        <v>0.30608403465924117</v>
      </c>
      <c r="F50" s="63">
        <f t="shared" si="78"/>
        <v>0.30704854262546577</v>
      </c>
      <c r="G50" s="63">
        <f t="shared" si="78"/>
        <v>0.27034785951088258</v>
      </c>
      <c r="H50" s="64">
        <f t="shared" si="78"/>
        <v>0.30279303235609778</v>
      </c>
      <c r="I50" s="63">
        <f t="shared" si="78"/>
        <v>0.34971227933287818</v>
      </c>
      <c r="J50" s="63">
        <f t="shared" si="78"/>
        <v>0.35012621681501316</v>
      </c>
      <c r="K50" s="63">
        <f t="shared" si="78"/>
        <v>0.29427114491638895</v>
      </c>
      <c r="L50" s="63">
        <f t="shared" si="78"/>
        <v>0.29469306434843201</v>
      </c>
      <c r="M50" s="64">
        <f t="shared" si="78"/>
        <v>0.31625251358477358</v>
      </c>
      <c r="N50" s="63">
        <f t="shared" si="78"/>
        <v>0.28812099655008999</v>
      </c>
      <c r="O50" s="63">
        <f t="shared" si="78"/>
        <v>0.30197068935712507</v>
      </c>
      <c r="P50" s="63">
        <f t="shared" si="78"/>
        <v>0.25682718814610611</v>
      </c>
      <c r="Q50" s="63">
        <f t="shared" si="78"/>
        <v>0.27348647433559259</v>
      </c>
      <c r="R50" s="64">
        <f t="shared" si="78"/>
        <v>0.27914440586733735</v>
      </c>
      <c r="S50" s="63">
        <f t="shared" si="78"/>
        <v>0.30970885189070102</v>
      </c>
      <c r="T50" s="63">
        <f t="shared" si="78"/>
        <v>0.27619407341276653</v>
      </c>
      <c r="U50" s="63">
        <f t="shared" si="78"/>
        <v>0.25659199436369806</v>
      </c>
      <c r="V50" s="63">
        <f t="shared" si="78"/>
        <v>0.25439291526229502</v>
      </c>
      <c r="W50" s="64">
        <f t="shared" si="78"/>
        <v>0.27202643077906852</v>
      </c>
      <c r="X50" s="63">
        <f t="shared" si="78"/>
        <v>0.30727474353627349</v>
      </c>
      <c r="Y50" s="63">
        <f t="shared" si="78"/>
        <v>0.26508103443626457</v>
      </c>
      <c r="Z50" s="63">
        <f t="shared" si="78"/>
        <v>0.24789950479945549</v>
      </c>
      <c r="AA50" s="63">
        <f t="shared" si="78"/>
        <v>0.25642086241239614</v>
      </c>
      <c r="AB50" s="64">
        <f t="shared" si="78"/>
        <v>0.26828290696805485</v>
      </c>
      <c r="AC50" s="63">
        <f t="shared" si="78"/>
        <v>0.3053807922383262</v>
      </c>
      <c r="AD50" s="63">
        <f t="shared" si="78"/>
        <v>0.26101306272152713</v>
      </c>
      <c r="AE50" s="63">
        <f t="shared" si="78"/>
        <v>0.25264243775071421</v>
      </c>
      <c r="AF50" s="63">
        <f t="shared" si="78"/>
        <v>0.27281460134486074</v>
      </c>
      <c r="AG50" s="64">
        <f t="shared" si="78"/>
        <v>0.27207281314916332</v>
      </c>
      <c r="AH50" s="63">
        <f t="shared" si="78"/>
        <v>0.31498219665844973</v>
      </c>
      <c r="AI50" s="63">
        <f t="shared" si="78"/>
        <v>0.28260130937710776</v>
      </c>
      <c r="AJ50" s="63">
        <f t="shared" si="78"/>
        <v>0.25159340059001345</v>
      </c>
      <c r="AK50" s="63">
        <f t="shared" si="78"/>
        <v>0.27821786942683191</v>
      </c>
      <c r="AL50" s="64">
        <f t="shared" si="78"/>
        <v>0.28105267644945647</v>
      </c>
      <c r="AM50" s="63">
        <f t="shared" si="78"/>
        <v>0.29684017336425156</v>
      </c>
      <c r="AN50" s="63">
        <f t="shared" si="78"/>
        <v>0.27514840782530336</v>
      </c>
      <c r="AO50" s="63">
        <f t="shared" si="78"/>
        <v>0.2916550376779235</v>
      </c>
      <c r="AP50" s="63">
        <f t="shared" si="78"/>
        <v>0.29825776512885738</v>
      </c>
      <c r="AQ50" s="68">
        <f>AQ26/AQ23</f>
        <v>0.29016902865374666</v>
      </c>
      <c r="AR50" s="63">
        <f t="shared" ref="AR50:AT50" si="79">AR26/AR23</f>
        <v>0.29039957810722844</v>
      </c>
      <c r="AS50" s="63">
        <f t="shared" si="79"/>
        <v>0.29080584798168246</v>
      </c>
      <c r="AT50" s="63">
        <f t="shared" si="79"/>
        <v>0.29459440359158046</v>
      </c>
      <c r="AU50" s="63">
        <f t="shared" ref="AU50:BB50" si="80">AU26/AU23</f>
        <v>0.33852752088561899</v>
      </c>
      <c r="AV50" s="68">
        <f t="shared" si="80"/>
        <v>0.30449480770538473</v>
      </c>
      <c r="AW50" s="63">
        <f t="shared" si="80"/>
        <v>0.35121538881595432</v>
      </c>
      <c r="AX50" s="63">
        <f t="shared" si="80"/>
        <v>0.30294291261583545</v>
      </c>
      <c r="AY50" s="63">
        <f t="shared" si="80"/>
        <v>0.31000951924485098</v>
      </c>
      <c r="AZ50" s="63">
        <f t="shared" si="80"/>
        <v>0.33865100365580436</v>
      </c>
      <c r="BA50" s="68">
        <f t="shared" si="80"/>
        <v>0.32571490463354746</v>
      </c>
      <c r="BB50" s="63">
        <f t="shared" si="80"/>
        <v>0.37591695592850999</v>
      </c>
      <c r="BC50" s="193"/>
      <c r="BD50" s="193"/>
      <c r="BE50" s="193"/>
      <c r="BF50" s="66">
        <v>0.35</v>
      </c>
      <c r="BG50" s="66">
        <f t="shared" ref="BG50:BT50" si="81">BF50</f>
        <v>0.35</v>
      </c>
      <c r="BH50" s="66">
        <f t="shared" si="81"/>
        <v>0.35</v>
      </c>
      <c r="BI50" s="66">
        <v>0.32500000000000001</v>
      </c>
      <c r="BJ50" s="66">
        <f t="shared" si="81"/>
        <v>0.32500000000000001</v>
      </c>
      <c r="BK50" s="66">
        <f t="shared" si="81"/>
        <v>0.32500000000000001</v>
      </c>
      <c r="BL50" s="66">
        <v>0.3</v>
      </c>
      <c r="BM50" s="66">
        <f t="shared" si="81"/>
        <v>0.3</v>
      </c>
      <c r="BN50" s="66">
        <f t="shared" si="81"/>
        <v>0.3</v>
      </c>
      <c r="BO50" s="66">
        <f t="shared" si="81"/>
        <v>0.3</v>
      </c>
      <c r="BP50" s="66">
        <f t="shared" si="81"/>
        <v>0.3</v>
      </c>
      <c r="BQ50" s="66">
        <f t="shared" si="81"/>
        <v>0.3</v>
      </c>
      <c r="BR50" s="66">
        <f t="shared" si="81"/>
        <v>0.3</v>
      </c>
      <c r="BS50" s="66">
        <f t="shared" si="81"/>
        <v>0.3</v>
      </c>
      <c r="BT50" s="66">
        <f t="shared" si="81"/>
        <v>0.3</v>
      </c>
    </row>
    <row r="51" spans="1:73">
      <c r="C51" s="58" t="s">
        <v>67</v>
      </c>
      <c r="D51" s="63">
        <f t="shared" ref="D51:AT51" si="82">D27/D23</f>
        <v>6.0064036682741719E-2</v>
      </c>
      <c r="E51" s="63">
        <f t="shared" si="82"/>
        <v>3.9419442154224292E-2</v>
      </c>
      <c r="F51" s="63">
        <f t="shared" si="82"/>
        <v>3.3434692088538241E-2</v>
      </c>
      <c r="G51" s="63">
        <f t="shared" si="82"/>
        <v>1.9434968529284578E-2</v>
      </c>
      <c r="H51" s="64">
        <f t="shared" si="82"/>
        <v>3.5524214517277115E-2</v>
      </c>
      <c r="I51" s="63">
        <f t="shared" si="82"/>
        <v>3.3590168731103091E-2</v>
      </c>
      <c r="J51" s="63">
        <f t="shared" si="82"/>
        <v>1.3887709492894031E-2</v>
      </c>
      <c r="K51" s="63">
        <f t="shared" si="82"/>
        <v>3.5546819360168645E-2</v>
      </c>
      <c r="L51" s="63">
        <f t="shared" si="82"/>
        <v>3.4593882516888677E-2</v>
      </c>
      <c r="M51" s="64">
        <f t="shared" si="82"/>
        <v>3.0166399734815746E-2</v>
      </c>
      <c r="N51" s="63">
        <f t="shared" si="82"/>
        <v>2.8959880144926797E-2</v>
      </c>
      <c r="O51" s="63">
        <f t="shared" si="82"/>
        <v>3.6960029195397884E-2</v>
      </c>
      <c r="P51" s="63">
        <f t="shared" si="82"/>
        <v>4.2548242591316336E-2</v>
      </c>
      <c r="Q51" s="63">
        <f t="shared" si="82"/>
        <v>4.6671812837717472E-2</v>
      </c>
      <c r="R51" s="64">
        <f t="shared" si="82"/>
        <v>3.9272233767335338E-2</v>
      </c>
      <c r="S51" s="63">
        <f t="shared" si="82"/>
        <v>6.2077037409028882E-2</v>
      </c>
      <c r="T51" s="63">
        <f t="shared" si="82"/>
        <v>5.6690588194897494E-2</v>
      </c>
      <c r="U51" s="63">
        <f t="shared" si="82"/>
        <v>5.991180231192756E-2</v>
      </c>
      <c r="V51" s="63">
        <f t="shared" si="82"/>
        <v>6.4496467992515447E-2</v>
      </c>
      <c r="W51" s="64">
        <f t="shared" si="82"/>
        <v>6.0850474261963126E-2</v>
      </c>
      <c r="X51" s="63">
        <f t="shared" si="82"/>
        <v>7.6610960773093054E-2</v>
      </c>
      <c r="Y51" s="63">
        <f t="shared" si="82"/>
        <v>7.181188145511419E-2</v>
      </c>
      <c r="Z51" s="63">
        <f t="shared" si="82"/>
        <v>6.746814053369006E-2</v>
      </c>
      <c r="AA51" s="63">
        <f t="shared" si="82"/>
        <v>7.6322822333893647E-2</v>
      </c>
      <c r="AB51" s="64">
        <f t="shared" si="82"/>
        <v>7.297537822604569E-2</v>
      </c>
      <c r="AC51" s="63">
        <f t="shared" si="82"/>
        <v>8.3217761376149516E-2</v>
      </c>
      <c r="AD51" s="63">
        <f t="shared" si="82"/>
        <v>9.3299157049120965E-2</v>
      </c>
      <c r="AE51" s="63">
        <f t="shared" si="82"/>
        <v>0.11578086541005557</v>
      </c>
      <c r="AF51" s="63">
        <f t="shared" si="82"/>
        <v>9.9891332027300619E-2</v>
      </c>
      <c r="AG51" s="64">
        <f t="shared" si="82"/>
        <v>9.8433237699877621E-2</v>
      </c>
      <c r="AH51" s="63">
        <f t="shared" si="82"/>
        <v>0.10845811627616318</v>
      </c>
      <c r="AI51" s="63">
        <f t="shared" si="82"/>
        <v>8.9501148620894241E-2</v>
      </c>
      <c r="AJ51" s="63">
        <f t="shared" si="82"/>
        <v>0.10370640152480849</v>
      </c>
      <c r="AK51" s="63">
        <f t="shared" si="82"/>
        <v>9.9166130078208251E-2</v>
      </c>
      <c r="AL51" s="64">
        <f t="shared" si="82"/>
        <v>0.1001252244866692</v>
      </c>
      <c r="AM51" s="63">
        <f t="shared" si="82"/>
        <v>0.10636666044402661</v>
      </c>
      <c r="AN51" s="63">
        <f t="shared" si="82"/>
        <v>0.10274756783001884</v>
      </c>
      <c r="AO51" s="63">
        <f t="shared" si="82"/>
        <v>9.9196161688039144E-2</v>
      </c>
      <c r="AP51" s="63">
        <f t="shared" si="82"/>
        <v>0.1076781325492122</v>
      </c>
      <c r="AQ51" s="68">
        <f t="shared" si="82"/>
        <v>0.103959338354517</v>
      </c>
      <c r="AR51" s="63">
        <f t="shared" si="82"/>
        <v>0.10740555623334762</v>
      </c>
      <c r="AS51" s="63">
        <f t="shared" si="82"/>
        <v>0.10575643145059375</v>
      </c>
      <c r="AT51" s="63">
        <f t="shared" si="82"/>
        <v>0.13642686841410298</v>
      </c>
      <c r="AU51" s="63">
        <f t="shared" ref="AU51:BB51" si="83">AU27/AU23</f>
        <v>0.15482861759548941</v>
      </c>
      <c r="AV51" s="68">
        <f t="shared" si="83"/>
        <v>0.12697842175892712</v>
      </c>
      <c r="AW51" s="63">
        <f t="shared" si="83"/>
        <v>0.14908944019927961</v>
      </c>
      <c r="AX51" s="63">
        <f t="shared" si="83"/>
        <v>0.1266970819791052</v>
      </c>
      <c r="AY51" s="63">
        <f t="shared" si="83"/>
        <v>0.11846467228501821</v>
      </c>
      <c r="AZ51" s="63">
        <f t="shared" si="83"/>
        <v>0.12616957943974383</v>
      </c>
      <c r="BA51" s="68">
        <f t="shared" si="83"/>
        <v>0.12952160865336165</v>
      </c>
      <c r="BB51" s="63">
        <f t="shared" si="83"/>
        <v>0.11180402283810718</v>
      </c>
      <c r="BC51" s="193"/>
      <c r="BD51" s="193"/>
      <c r="BE51" s="193"/>
      <c r="BF51" s="66">
        <v>0.15</v>
      </c>
      <c r="BG51" s="66">
        <f t="shared" ref="BG51:BT52" si="84">BF51</f>
        <v>0.15</v>
      </c>
      <c r="BH51" s="66">
        <f t="shared" si="84"/>
        <v>0.15</v>
      </c>
      <c r="BI51" s="66">
        <v>0.125</v>
      </c>
      <c r="BJ51" s="66">
        <f t="shared" si="84"/>
        <v>0.125</v>
      </c>
      <c r="BK51" s="66">
        <f t="shared" si="84"/>
        <v>0.125</v>
      </c>
      <c r="BL51" s="66">
        <v>0.1</v>
      </c>
      <c r="BM51" s="66">
        <f t="shared" si="84"/>
        <v>0.1</v>
      </c>
      <c r="BN51" s="66">
        <f t="shared" si="84"/>
        <v>0.1</v>
      </c>
      <c r="BO51" s="66">
        <f t="shared" si="84"/>
        <v>0.1</v>
      </c>
      <c r="BP51" s="66">
        <f t="shared" si="84"/>
        <v>0.1</v>
      </c>
      <c r="BQ51" s="66">
        <f t="shared" si="84"/>
        <v>0.1</v>
      </c>
      <c r="BR51" s="66">
        <f t="shared" si="84"/>
        <v>0.1</v>
      </c>
      <c r="BS51" s="66">
        <f t="shared" si="84"/>
        <v>0.1</v>
      </c>
      <c r="BT51" s="66">
        <f t="shared" si="84"/>
        <v>0.1</v>
      </c>
    </row>
    <row r="52" spans="1:73">
      <c r="C52" s="58" t="s">
        <v>193</v>
      </c>
      <c r="D52" s="63"/>
      <c r="E52" s="63"/>
      <c r="F52" s="63"/>
      <c r="G52" s="63"/>
      <c r="H52" s="64"/>
      <c r="I52" s="63"/>
      <c r="J52" s="63"/>
      <c r="K52" s="63"/>
      <c r="L52" s="63"/>
      <c r="M52" s="64"/>
      <c r="N52" s="63"/>
      <c r="O52" s="63"/>
      <c r="P52" s="63"/>
      <c r="Q52" s="63"/>
      <c r="R52" s="64"/>
      <c r="S52" s="63"/>
      <c r="T52" s="63"/>
      <c r="U52" s="63"/>
      <c r="V52" s="63"/>
      <c r="W52" s="64"/>
      <c r="X52" s="63"/>
      <c r="Y52" s="63"/>
      <c r="Z52" s="63"/>
      <c r="AA52" s="63"/>
      <c r="AB52" s="64"/>
      <c r="AC52" s="63"/>
      <c r="AD52" s="63"/>
      <c r="AE52" s="63"/>
      <c r="AF52" s="63"/>
      <c r="AG52" s="68">
        <f>AG30*-1/AVERAGE('Cintas BS'!H41:I41)</f>
        <v>2.4618073248801532E-2</v>
      </c>
      <c r="AH52" s="63"/>
      <c r="AI52" s="63"/>
      <c r="AJ52" s="63"/>
      <c r="AK52" s="63"/>
      <c r="AL52" s="68">
        <f>AL30*-1/AVERAGE('Cintas BS'!I41:J41)</f>
        <v>2.6438357719897981E-2</v>
      </c>
      <c r="AM52" s="63"/>
      <c r="AN52" s="63"/>
      <c r="AO52" s="63"/>
      <c r="AP52" s="63"/>
      <c r="AQ52" s="68">
        <f>AQ30*-1/AVERAGE('Cintas BS'!J41:K41)</f>
        <v>2.0843758359690951E-2</v>
      </c>
      <c r="AR52" s="63"/>
      <c r="AS52" s="63"/>
      <c r="AT52" s="63"/>
      <c r="AU52" s="63"/>
      <c r="AV52" s="68">
        <f>AV30*-1/AVERAGE('Cintas BS'!K41:L41)</f>
        <v>1.6147111327668374E-2</v>
      </c>
      <c r="AW52" s="63"/>
      <c r="AX52" s="63"/>
      <c r="AY52" s="63"/>
      <c r="AZ52" s="63"/>
      <c r="BA52" s="68">
        <f>BA30*-1/AVERAGE('Cintas BS'!L41:M41)</f>
        <v>2.083847118996136E-2</v>
      </c>
      <c r="BB52" s="63"/>
      <c r="BC52" s="193"/>
      <c r="BD52" s="193"/>
      <c r="BE52" s="193"/>
      <c r="BF52" s="66">
        <f t="shared" ref="BF52" si="85">AVERAGE(BA52,AV52,AQ52,AL52,AG52)</f>
        <v>2.1777154369204039E-2</v>
      </c>
      <c r="BG52" s="66">
        <f t="shared" si="84"/>
        <v>2.1777154369204039E-2</v>
      </c>
      <c r="BH52" s="66">
        <f t="shared" si="84"/>
        <v>2.1777154369204039E-2</v>
      </c>
      <c r="BI52" s="66">
        <f t="shared" si="84"/>
        <v>2.1777154369204039E-2</v>
      </c>
      <c r="BJ52" s="66">
        <f t="shared" si="84"/>
        <v>2.1777154369204039E-2</v>
      </c>
      <c r="BK52" s="66">
        <f t="shared" si="84"/>
        <v>2.1777154369204039E-2</v>
      </c>
      <c r="BL52" s="66">
        <f t="shared" si="84"/>
        <v>2.1777154369204039E-2</v>
      </c>
      <c r="BM52" s="66">
        <f t="shared" si="84"/>
        <v>2.1777154369204039E-2</v>
      </c>
      <c r="BN52" s="66">
        <f t="shared" si="84"/>
        <v>2.1777154369204039E-2</v>
      </c>
      <c r="BO52" s="66">
        <f t="shared" si="84"/>
        <v>2.1777154369204039E-2</v>
      </c>
      <c r="BP52" s="66">
        <f t="shared" si="84"/>
        <v>2.1777154369204039E-2</v>
      </c>
      <c r="BQ52" s="66">
        <f t="shared" si="84"/>
        <v>2.1777154369204039E-2</v>
      </c>
      <c r="BR52" s="66">
        <f t="shared" si="84"/>
        <v>2.1777154369204039E-2</v>
      </c>
      <c r="BS52" s="66">
        <f t="shared" si="84"/>
        <v>2.1777154369204039E-2</v>
      </c>
      <c r="BT52" s="66">
        <f t="shared" si="84"/>
        <v>2.1777154369204039E-2</v>
      </c>
    </row>
    <row r="53" spans="1:73">
      <c r="C53" s="58" t="s">
        <v>68</v>
      </c>
      <c r="D53" s="29">
        <f t="shared" ref="D53:AT53" si="86">D34/D33</f>
        <v>0</v>
      </c>
      <c r="E53" s="29">
        <f t="shared" si="86"/>
        <v>0</v>
      </c>
      <c r="F53" s="29">
        <f t="shared" si="86"/>
        <v>0</v>
      </c>
      <c r="G53" s="29">
        <f t="shared" si="86"/>
        <v>0</v>
      </c>
      <c r="H53" s="69">
        <f t="shared" si="86"/>
        <v>0</v>
      </c>
      <c r="I53" s="63">
        <f t="shared" si="86"/>
        <v>9.6453915588400371E-2</v>
      </c>
      <c r="J53" s="63">
        <f t="shared" si="86"/>
        <v>5.2901268141871564E-2</v>
      </c>
      <c r="K53" s="63">
        <f t="shared" si="86"/>
        <v>0.1087876073076967</v>
      </c>
      <c r="L53" s="63">
        <f t="shared" si="86"/>
        <v>-2.7608536331914995E-2</v>
      </c>
      <c r="M53" s="64">
        <f t="shared" si="86"/>
        <v>5.3093541742278164E-2</v>
      </c>
      <c r="N53" s="63">
        <f t="shared" si="86"/>
        <v>0.18185694488860468</v>
      </c>
      <c r="O53" s="63">
        <f t="shared" si="86"/>
        <v>0.18184681805127068</v>
      </c>
      <c r="P53" s="63">
        <f t="shared" si="86"/>
        <v>0.18223135862455619</v>
      </c>
      <c r="Q53" s="63">
        <f t="shared" si="86"/>
        <v>0.18200386930683909</v>
      </c>
      <c r="R53" s="64">
        <f t="shared" si="86"/>
        <v>0.18200032866876512</v>
      </c>
      <c r="S53" s="63">
        <f t="shared" si="86"/>
        <v>0.18512011733702968</v>
      </c>
      <c r="T53" s="63">
        <f t="shared" si="86"/>
        <v>0.19120035901422783</v>
      </c>
      <c r="U53" s="63">
        <f t="shared" si="86"/>
        <v>0.19500819291662239</v>
      </c>
      <c r="V53" s="63">
        <f t="shared" si="86"/>
        <v>0.19142341725059023</v>
      </c>
      <c r="W53" s="64">
        <f t="shared" si="86"/>
        <v>0.19115109534789682</v>
      </c>
      <c r="X53" s="63">
        <f t="shared" si="86"/>
        <v>0.1930003419818169</v>
      </c>
      <c r="Y53" s="63">
        <f t="shared" si="86"/>
        <v>0.23557205355959165</v>
      </c>
      <c r="Z53" s="63">
        <f t="shared" si="86"/>
        <v>0.19299960495527888</v>
      </c>
      <c r="AA53" s="63">
        <f t="shared" si="86"/>
        <v>0.18449807248263242</v>
      </c>
      <c r="AB53" s="64">
        <f t="shared" si="86"/>
        <v>0.20152740935137026</v>
      </c>
      <c r="AC53" s="63">
        <f t="shared" si="86"/>
        <v>0.1853403978349738</v>
      </c>
      <c r="AD53" s="63">
        <f t="shared" si="86"/>
        <v>0.2337617324515798</v>
      </c>
      <c r="AE53" s="63">
        <f t="shared" si="86"/>
        <v>0.19273513686697774</v>
      </c>
      <c r="AF53" s="63">
        <f t="shared" si="86"/>
        <v>0.20289701890509024</v>
      </c>
      <c r="AG53" s="64">
        <f t="shared" si="86"/>
        <v>0.20486568030461474</v>
      </c>
      <c r="AH53" s="63">
        <f t="shared" si="86"/>
        <v>0.20707215165026219</v>
      </c>
      <c r="AI53" s="63">
        <f t="shared" si="86"/>
        <v>0.21430494883609602</v>
      </c>
      <c r="AJ53" s="63">
        <f t="shared" si="86"/>
        <v>0.10979076336289872</v>
      </c>
      <c r="AK53" s="63">
        <f t="shared" si="86"/>
        <v>0.2350458257732439</v>
      </c>
      <c r="AL53" s="64">
        <f t="shared" si="86"/>
        <v>0.19087807184267583</v>
      </c>
      <c r="AM53" s="63">
        <f t="shared" si="86"/>
        <v>0.17476434162447321</v>
      </c>
      <c r="AN53" s="63">
        <f t="shared" si="86"/>
        <v>0.18954804600125019</v>
      </c>
      <c r="AO53" s="63">
        <f t="shared" ca="1" si="86"/>
        <v>0.11993279388804791</v>
      </c>
      <c r="AP53" s="63">
        <f t="shared" si="86"/>
        <v>0.11687345508651516</v>
      </c>
      <c r="AQ53" s="68">
        <f t="shared" ca="1" si="86"/>
        <v>0.15011659394075386</v>
      </c>
      <c r="AR53" s="63">
        <f t="shared" si="86"/>
        <v>0.19759352275282999</v>
      </c>
      <c r="AS53" s="63">
        <f t="shared" si="86"/>
        <v>0.18227458729224469</v>
      </c>
      <c r="AT53" s="63">
        <f t="shared" si="86"/>
        <v>0.11150047187014737</v>
      </c>
      <c r="AU53" s="63">
        <f t="shared" ref="AU53:BB53" si="87">AU34/AU33</f>
        <v>-9.3823733518390278E-3</v>
      </c>
      <c r="AV53" s="68">
        <f t="shared" si="87"/>
        <v>0.12335217452235252</v>
      </c>
      <c r="AW53" s="63">
        <f t="shared" si="87"/>
        <v>0.15449271540642059</v>
      </c>
      <c r="AX53" s="63">
        <f t="shared" si="87"/>
        <v>0.25889308461271426</v>
      </c>
      <c r="AY53" s="63">
        <f t="shared" si="87"/>
        <v>0.13618505338078302</v>
      </c>
      <c r="AZ53" s="63">
        <f t="shared" si="87"/>
        <v>0.11556823878755156</v>
      </c>
      <c r="BA53" s="68">
        <f t="shared" si="87"/>
        <v>0.1711808250463687</v>
      </c>
      <c r="BB53" s="63">
        <f t="shared" si="87"/>
        <v>0.14356513020704276</v>
      </c>
      <c r="BC53" s="193"/>
      <c r="BD53" s="193"/>
      <c r="BE53" s="193"/>
      <c r="BF53" s="66">
        <f t="shared" ref="BF53" ca="1" si="88">AVERAGE(BA53,AV53,AQ53,AL53,AG53)</f>
        <v>0.16807866913135311</v>
      </c>
      <c r="BG53" s="66">
        <f t="shared" ref="BG53:BT53" ca="1" si="89">BF53</f>
        <v>0.16807866913135311</v>
      </c>
      <c r="BH53" s="66">
        <f t="shared" ca="1" si="89"/>
        <v>0.16807866913135311</v>
      </c>
      <c r="BI53" s="66">
        <f t="shared" ca="1" si="89"/>
        <v>0.16807866913135311</v>
      </c>
      <c r="BJ53" s="66">
        <f t="shared" ca="1" si="89"/>
        <v>0.16807866913135311</v>
      </c>
      <c r="BK53" s="66">
        <f t="shared" ca="1" si="89"/>
        <v>0.16807866913135311</v>
      </c>
      <c r="BL53" s="66">
        <f t="shared" ca="1" si="89"/>
        <v>0.16807866913135311</v>
      </c>
      <c r="BM53" s="66">
        <f t="shared" ca="1" si="89"/>
        <v>0.16807866913135311</v>
      </c>
      <c r="BN53" s="66">
        <f t="shared" ca="1" si="89"/>
        <v>0.16807866913135311</v>
      </c>
      <c r="BO53" s="66">
        <f t="shared" ca="1" si="89"/>
        <v>0.16807866913135311</v>
      </c>
      <c r="BP53" s="66">
        <f t="shared" ca="1" si="89"/>
        <v>0.16807866913135311</v>
      </c>
      <c r="BQ53" s="66">
        <f t="shared" ca="1" si="89"/>
        <v>0.16807866913135311</v>
      </c>
      <c r="BR53" s="66">
        <f t="shared" ca="1" si="89"/>
        <v>0.16807866913135311</v>
      </c>
      <c r="BS53" s="66">
        <f t="shared" ca="1" si="89"/>
        <v>0.16807866913135311</v>
      </c>
      <c r="BT53" s="66">
        <f t="shared" ca="1" si="89"/>
        <v>0.16807866913135311</v>
      </c>
    </row>
    <row r="54" spans="1:73">
      <c r="C54" s="70"/>
      <c r="D54" s="46"/>
      <c r="E54" s="46"/>
      <c r="F54" s="46"/>
      <c r="G54" s="46"/>
      <c r="H54" s="2"/>
      <c r="I54" s="46"/>
      <c r="J54" s="46"/>
      <c r="K54" s="46"/>
      <c r="L54" s="46"/>
      <c r="M54" s="2"/>
      <c r="N54" s="46"/>
      <c r="O54" s="46"/>
      <c r="P54" s="46"/>
      <c r="Q54" s="46"/>
      <c r="R54" s="2"/>
      <c r="S54" s="46"/>
      <c r="T54" s="46"/>
      <c r="U54" s="46"/>
      <c r="V54" s="46"/>
      <c r="W54" s="2"/>
      <c r="X54" s="46"/>
      <c r="Y54" s="46"/>
      <c r="Z54" s="46"/>
      <c r="AA54" s="46"/>
      <c r="AB54" s="2"/>
      <c r="AC54" s="46"/>
      <c r="AD54" s="46"/>
      <c r="AE54" s="46"/>
      <c r="AF54" s="46"/>
      <c r="AG54" s="2"/>
      <c r="AH54" s="46"/>
      <c r="AI54" s="46"/>
      <c r="AJ54" s="46"/>
      <c r="AK54" s="46"/>
      <c r="AL54" s="71"/>
      <c r="AM54" s="46"/>
      <c r="AN54" s="46"/>
      <c r="AO54" s="46"/>
      <c r="AP54" s="46"/>
      <c r="AQ54" s="71"/>
      <c r="AR54" s="72"/>
      <c r="AS54" s="72"/>
      <c r="AT54" s="72"/>
      <c r="AU54" s="72"/>
      <c r="AV54" s="2"/>
      <c r="AW54" s="46"/>
      <c r="AX54" s="46"/>
      <c r="AY54" s="46"/>
      <c r="AZ54" s="46"/>
      <c r="BA54" s="2"/>
      <c r="BB54" s="46"/>
      <c r="BC54" s="46"/>
      <c r="BD54" s="46"/>
      <c r="BE54" s="46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</row>
    <row r="55" spans="1:73">
      <c r="C55" s="171" t="s">
        <v>69</v>
      </c>
      <c r="D55" s="169"/>
      <c r="E55" s="169"/>
      <c r="F55" s="169"/>
      <c r="G55" s="169"/>
      <c r="H55" s="172"/>
      <c r="I55" s="169"/>
      <c r="J55" s="169"/>
      <c r="K55" s="169"/>
      <c r="L55" s="169"/>
      <c r="M55" s="172"/>
      <c r="N55" s="169"/>
      <c r="O55" s="169"/>
      <c r="P55" s="169"/>
      <c r="Q55" s="169"/>
      <c r="R55" s="172"/>
      <c r="S55" s="169"/>
      <c r="T55" s="169"/>
      <c r="U55" s="169"/>
      <c r="V55" s="169"/>
      <c r="W55" s="172"/>
      <c r="X55" s="169"/>
      <c r="Y55" s="169"/>
      <c r="Z55" s="169"/>
      <c r="AA55" s="169"/>
      <c r="AB55" s="172"/>
      <c r="AC55" s="169"/>
      <c r="AD55" s="169"/>
      <c r="AE55" s="169"/>
      <c r="AF55" s="169"/>
      <c r="AG55" s="172"/>
      <c r="AH55" s="169"/>
      <c r="AI55" s="169"/>
      <c r="AJ55" s="169"/>
      <c r="AK55" s="169"/>
      <c r="AL55" s="172"/>
      <c r="AM55" s="169"/>
      <c r="AN55" s="169"/>
      <c r="AO55" s="169"/>
      <c r="AP55" s="169"/>
      <c r="AQ55" s="172"/>
      <c r="AR55" s="172"/>
      <c r="AS55" s="172"/>
      <c r="AT55" s="172"/>
      <c r="AU55" s="172"/>
      <c r="AV55" s="172"/>
      <c r="AW55" s="172"/>
      <c r="AX55" s="172"/>
      <c r="AY55" s="172"/>
      <c r="AZ55" s="172"/>
      <c r="BA55" s="172"/>
      <c r="BB55" s="172"/>
      <c r="BC55" s="172"/>
      <c r="BD55" s="172"/>
      <c r="BE55" s="172"/>
      <c r="BF55" s="172"/>
      <c r="BG55" s="172"/>
      <c r="BH55" s="172"/>
      <c r="BI55" s="172"/>
      <c r="BJ55" s="172"/>
      <c r="BK55" s="172"/>
      <c r="BL55" s="172"/>
      <c r="BM55" s="172"/>
      <c r="BN55" s="172"/>
      <c r="BO55" s="172"/>
      <c r="BP55" s="172"/>
      <c r="BQ55" s="172"/>
      <c r="BR55" s="172"/>
      <c r="BS55" s="172"/>
      <c r="BT55" s="172"/>
    </row>
    <row r="56" spans="1:73">
      <c r="A56" s="70"/>
      <c r="B56" s="16"/>
      <c r="C56" s="12"/>
      <c r="D56" s="13"/>
      <c r="E56" s="13"/>
      <c r="F56" s="13"/>
      <c r="G56" s="13"/>
      <c r="H56" s="14"/>
      <c r="I56" s="13"/>
      <c r="J56" s="13"/>
      <c r="K56" s="13"/>
      <c r="L56" s="13"/>
      <c r="M56" s="14"/>
      <c r="N56" s="13"/>
      <c r="O56" s="13"/>
      <c r="P56" s="13"/>
      <c r="Q56" s="13"/>
      <c r="R56" s="14"/>
      <c r="S56" s="13"/>
      <c r="T56" s="13"/>
      <c r="U56" s="13"/>
      <c r="V56" s="13"/>
      <c r="W56" s="14"/>
      <c r="X56" s="13"/>
      <c r="Y56" s="13"/>
      <c r="Z56" s="13"/>
      <c r="AA56" s="13"/>
      <c r="AB56" s="14"/>
      <c r="AC56" s="13"/>
      <c r="AD56" s="13"/>
      <c r="AE56" s="13"/>
      <c r="AF56" s="13"/>
      <c r="AG56" s="14"/>
      <c r="AH56" s="13"/>
      <c r="AI56" s="13"/>
      <c r="AJ56" s="13"/>
      <c r="AK56" s="13"/>
      <c r="AL56" s="14"/>
      <c r="AM56" s="13"/>
      <c r="AN56" s="13"/>
      <c r="AO56" s="13"/>
      <c r="AP56" s="13"/>
      <c r="AQ56" s="14"/>
      <c r="AR56" s="15"/>
      <c r="AS56" s="15"/>
      <c r="AT56" s="15"/>
      <c r="AU56" s="15"/>
      <c r="AV56" s="73"/>
      <c r="AW56" s="74"/>
      <c r="AX56" s="74"/>
      <c r="AY56" s="74"/>
      <c r="AZ56" s="74"/>
      <c r="BA56" s="73"/>
      <c r="BB56" s="74"/>
      <c r="BC56" s="74"/>
      <c r="BD56" s="74"/>
      <c r="BE56" s="74"/>
      <c r="BF56" s="73"/>
      <c r="BG56" s="73"/>
      <c r="BH56" s="73"/>
      <c r="BI56" s="73"/>
      <c r="BJ56" s="73"/>
      <c r="BK56" s="73"/>
      <c r="BL56" s="73"/>
      <c r="BM56" s="73"/>
      <c r="BN56" s="73"/>
      <c r="BO56" s="73"/>
      <c r="BP56" s="73"/>
      <c r="BQ56" s="73"/>
      <c r="BR56" s="73"/>
      <c r="BS56" s="73"/>
      <c r="BT56" s="73"/>
      <c r="BU56" s="2"/>
    </row>
    <row r="57" spans="1:73">
      <c r="C57" s="16" t="s">
        <v>45</v>
      </c>
      <c r="D57" s="20">
        <v>49.902999999999999</v>
      </c>
      <c r="E57" s="20">
        <v>63.463999999999999</v>
      </c>
      <c r="F57" s="20">
        <v>72.215999999999994</v>
      </c>
      <c r="G57" s="20">
        <v>80.935000000000002</v>
      </c>
      <c r="H57" s="18">
        <f>SUM(D57:G57)</f>
        <v>266.51799999999997</v>
      </c>
      <c r="I57" s="20">
        <v>101.452</v>
      </c>
      <c r="J57" s="20">
        <v>128.31</v>
      </c>
      <c r="K57" s="20">
        <v>174.13</v>
      </c>
      <c r="L57" s="20">
        <v>181.94300000000001</v>
      </c>
      <c r="M57" s="18">
        <f>SUM(I57:L57)</f>
        <v>585.83500000000004</v>
      </c>
      <c r="N57" s="20">
        <v>194.65199999999999</v>
      </c>
      <c r="O57" s="20">
        <v>206.56399999999999</v>
      </c>
      <c r="P57" s="20">
        <v>230.386</v>
      </c>
      <c r="Q57" s="20">
        <v>233.79599999999999</v>
      </c>
      <c r="R57" s="18">
        <f>SUM(N57:Q57)</f>
        <v>865.39799999999991</v>
      </c>
      <c r="S57" s="20">
        <v>244.98599999999999</v>
      </c>
      <c r="T57" s="20">
        <v>289.10000000000002</v>
      </c>
      <c r="U57" s="20">
        <v>304.40699999999998</v>
      </c>
      <c r="V57" s="20">
        <v>324.22300000000001</v>
      </c>
      <c r="W57" s="18">
        <f>SUM(S57:V57)</f>
        <v>1162.7159999999999</v>
      </c>
      <c r="X57" s="20">
        <v>307.03500000000003</v>
      </c>
      <c r="Y57" s="20">
        <v>332.10599999999999</v>
      </c>
      <c r="Z57" s="20">
        <v>338.75400000000002</v>
      </c>
      <c r="AA57" s="20">
        <v>338.92399999999998</v>
      </c>
      <c r="AB57" s="18">
        <f>SUM(X57:AA57)</f>
        <v>1316.819</v>
      </c>
      <c r="AC57" s="20">
        <v>333.916</v>
      </c>
      <c r="AD57" s="20">
        <v>379.11</v>
      </c>
      <c r="AE57" s="20">
        <v>371.62099999999998</v>
      </c>
      <c r="AF57" s="20">
        <v>392.61399999999998</v>
      </c>
      <c r="AG57" s="18">
        <f>SUM(AC57:AF57)</f>
        <v>1477.261</v>
      </c>
      <c r="AH57" s="20">
        <v>373.678</v>
      </c>
      <c r="AI57" s="20">
        <v>389.65499999999997</v>
      </c>
      <c r="AJ57" s="20">
        <v>407.971</v>
      </c>
      <c r="AK57" s="20">
        <v>430.09500000000003</v>
      </c>
      <c r="AL57" s="18">
        <f>SUM(AH57:AK57)</f>
        <v>1601.3990000000001</v>
      </c>
      <c r="AM57" s="20">
        <v>440.84699999999998</v>
      </c>
      <c r="AN57" s="20">
        <v>496.09500000000003</v>
      </c>
      <c r="AO57" s="20">
        <v>465.197</v>
      </c>
      <c r="AP57" s="20">
        <v>467.334</v>
      </c>
      <c r="AQ57" s="18">
        <f>SUM(AM57:AP57)</f>
        <v>1869.4730000000002</v>
      </c>
      <c r="AR57" s="20">
        <v>503.33100000000002</v>
      </c>
      <c r="AS57" s="20">
        <v>523.423</v>
      </c>
      <c r="AT57" s="20">
        <v>532.32100000000003</v>
      </c>
      <c r="AU57" s="20">
        <v>576.52599999999995</v>
      </c>
      <c r="AV57" s="18">
        <f>SUM(AR57:AU57)</f>
        <v>2135.6009999999997</v>
      </c>
      <c r="AW57" s="20">
        <v>530.20500000000004</v>
      </c>
      <c r="AX57" s="20">
        <v>558.20299999999997</v>
      </c>
      <c r="AY57" s="20">
        <v>596.94899999999996</v>
      </c>
      <c r="AZ57" s="20">
        <v>661.303</v>
      </c>
      <c r="BA57" s="18">
        <f>SUM(AW57:AZ57)</f>
        <v>2346.66</v>
      </c>
      <c r="BB57" s="20">
        <v>603.53099999999995</v>
      </c>
      <c r="BC57" s="32"/>
      <c r="BD57" s="32"/>
      <c r="BE57" s="32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9"/>
    </row>
    <row r="58" spans="1:73" ht="15.6">
      <c r="C58" s="16" t="s">
        <v>46</v>
      </c>
      <c r="D58" s="27">
        <v>0.97799999999999998</v>
      </c>
      <c r="E58" s="27">
        <v>1.103</v>
      </c>
      <c r="F58" s="27">
        <v>1.077</v>
      </c>
      <c r="G58" s="27">
        <v>2.601</v>
      </c>
      <c r="H58" s="24">
        <f t="shared" ref="H58:I72" si="90">SUM(D58:G58)</f>
        <v>5.7590000000000003</v>
      </c>
      <c r="I58" s="27">
        <v>1.0780000000000001</v>
      </c>
      <c r="J58" s="27">
        <v>1.2290000000000001</v>
      </c>
      <c r="K58" s="27">
        <v>1.385</v>
      </c>
      <c r="L58" s="27">
        <v>1.76</v>
      </c>
      <c r="M58" s="24">
        <f t="shared" ref="J58:O72" si="91">SUM(I58:L58)</f>
        <v>5.452</v>
      </c>
      <c r="N58" s="27">
        <v>1.585</v>
      </c>
      <c r="O58" s="27">
        <v>1.6879999999999999</v>
      </c>
      <c r="P58" s="27">
        <v>1.774</v>
      </c>
      <c r="Q58" s="27">
        <v>1.978</v>
      </c>
      <c r="R58" s="24">
        <f t="shared" ref="R58:R72" si="92">SUM(N58:Q58)</f>
        <v>7.0249999999999995</v>
      </c>
      <c r="S58" s="27">
        <v>1.9330000000000001</v>
      </c>
      <c r="T58" s="27">
        <v>2.13</v>
      </c>
      <c r="U58" s="27">
        <v>2.177</v>
      </c>
      <c r="V58" s="27">
        <v>3.919</v>
      </c>
      <c r="W58" s="24">
        <f t="shared" ref="W58:W72" si="93">SUM(S58:V58)</f>
        <v>10.159000000000001</v>
      </c>
      <c r="X58" s="27">
        <v>2.2679999999999998</v>
      </c>
      <c r="Y58" s="27">
        <v>1.641</v>
      </c>
      <c r="Z58" s="27">
        <v>2.1179999999999999</v>
      </c>
      <c r="AA58" s="27">
        <v>1.9570000000000001</v>
      </c>
      <c r="AB58" s="24">
        <f t="shared" ref="AB58:AB72" si="94">SUM(X58:AA58)</f>
        <v>7.9839999999999991</v>
      </c>
      <c r="AC58" s="27">
        <v>2.0939999999999999</v>
      </c>
      <c r="AD58" s="27">
        <v>2.0510000000000002</v>
      </c>
      <c r="AE58" s="27">
        <v>2.56</v>
      </c>
      <c r="AF58" s="27">
        <v>4.0069999999999997</v>
      </c>
      <c r="AG58" s="24">
        <f t="shared" ref="AG58:AG72" si="95">SUM(AC58:AF58)</f>
        <v>10.712</v>
      </c>
      <c r="AH58" s="27">
        <v>2.375</v>
      </c>
      <c r="AI58" s="27">
        <v>4.7309999999999999</v>
      </c>
      <c r="AJ58" s="27">
        <v>3.8839999999999999</v>
      </c>
      <c r="AK58" s="27">
        <v>6.3040000000000003</v>
      </c>
      <c r="AL58" s="24">
        <f t="shared" ref="AL58:AL72" si="96">SUM(AH58:AK58)</f>
        <v>17.294</v>
      </c>
      <c r="AM58" s="27">
        <v>3.766</v>
      </c>
      <c r="AN58" s="27">
        <v>4.3840000000000003</v>
      </c>
      <c r="AO58" s="27">
        <v>4.1760000000000002</v>
      </c>
      <c r="AP58" s="27">
        <v>9.1229999999999993</v>
      </c>
      <c r="AQ58" s="24">
        <f>SUM(AM58:AP58)</f>
        <v>21.448999999999998</v>
      </c>
      <c r="AR58" s="27">
        <v>4.8550000000000004</v>
      </c>
      <c r="AS58" s="27">
        <v>10.71</v>
      </c>
      <c r="AT58" s="27">
        <v>5.3810000000000002</v>
      </c>
      <c r="AU58" s="27">
        <v>5.2140000000000004</v>
      </c>
      <c r="AV58" s="24">
        <f>SUM(AR58:AU58)</f>
        <v>26.160000000000004</v>
      </c>
      <c r="AW58" s="27">
        <v>4.5209999999999999</v>
      </c>
      <c r="AX58" s="27">
        <v>4.2329999999999997</v>
      </c>
      <c r="AY58" s="27">
        <v>3.9390000000000001</v>
      </c>
      <c r="AZ58" s="27">
        <v>4.2140000000000004</v>
      </c>
      <c r="BA58" s="24">
        <f>SUM(AW58:AZ58)</f>
        <v>16.907</v>
      </c>
      <c r="BB58" s="27">
        <v>4.05</v>
      </c>
      <c r="BC58" s="26"/>
      <c r="BD58" s="26"/>
      <c r="BE58" s="26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22"/>
    </row>
    <row r="59" spans="1:73">
      <c r="C59" s="1" t="s">
        <v>47</v>
      </c>
      <c r="D59" s="29">
        <f t="shared" ref="D59:AM59" si="97">SUM(D57:D58)</f>
        <v>50.881</v>
      </c>
      <c r="E59" s="29">
        <f t="shared" si="97"/>
        <v>64.566999999999993</v>
      </c>
      <c r="F59" s="29">
        <f t="shared" si="97"/>
        <v>73.292999999999992</v>
      </c>
      <c r="G59" s="29">
        <f t="shared" si="97"/>
        <v>83.536000000000001</v>
      </c>
      <c r="H59" s="18">
        <f t="shared" si="90"/>
        <v>272.27699999999999</v>
      </c>
      <c r="I59" s="29">
        <f t="shared" si="97"/>
        <v>102.53</v>
      </c>
      <c r="J59" s="29">
        <f t="shared" si="97"/>
        <v>129.53900000000002</v>
      </c>
      <c r="K59" s="29">
        <f t="shared" si="97"/>
        <v>175.51499999999999</v>
      </c>
      <c r="L59" s="29">
        <f t="shared" si="97"/>
        <v>183.703</v>
      </c>
      <c r="M59" s="18">
        <f t="shared" si="91"/>
        <v>591.28700000000003</v>
      </c>
      <c r="N59" s="29">
        <f t="shared" si="97"/>
        <v>196.23699999999999</v>
      </c>
      <c r="O59" s="29">
        <f t="shared" si="97"/>
        <v>208.25199999999998</v>
      </c>
      <c r="P59" s="29">
        <f t="shared" si="97"/>
        <v>232.16</v>
      </c>
      <c r="Q59" s="29">
        <f t="shared" si="97"/>
        <v>235.774</v>
      </c>
      <c r="R59" s="18">
        <f t="shared" si="92"/>
        <v>872.423</v>
      </c>
      <c r="S59" s="29">
        <f t="shared" si="97"/>
        <v>246.91899999999998</v>
      </c>
      <c r="T59" s="29">
        <f t="shared" si="97"/>
        <v>291.23</v>
      </c>
      <c r="U59" s="29">
        <f t="shared" si="97"/>
        <v>306.584</v>
      </c>
      <c r="V59" s="29">
        <f t="shared" si="97"/>
        <v>328.142</v>
      </c>
      <c r="W59" s="18">
        <f t="shared" si="93"/>
        <v>1172.875</v>
      </c>
      <c r="X59" s="29">
        <f t="shared" si="97"/>
        <v>309.303</v>
      </c>
      <c r="Y59" s="29">
        <f t="shared" si="97"/>
        <v>333.74700000000001</v>
      </c>
      <c r="Z59" s="29">
        <f t="shared" si="97"/>
        <v>340.87200000000001</v>
      </c>
      <c r="AA59" s="29">
        <f t="shared" si="97"/>
        <v>340.88099999999997</v>
      </c>
      <c r="AB59" s="18">
        <f t="shared" si="94"/>
        <v>1324.8029999999999</v>
      </c>
      <c r="AC59" s="29">
        <f t="shared" si="97"/>
        <v>336.01</v>
      </c>
      <c r="AD59" s="29">
        <f t="shared" si="97"/>
        <v>381.161</v>
      </c>
      <c r="AE59" s="29">
        <f t="shared" si="97"/>
        <v>374.18099999999998</v>
      </c>
      <c r="AF59" s="29">
        <f t="shared" si="97"/>
        <v>396.62099999999998</v>
      </c>
      <c r="AG59" s="18">
        <f t="shared" si="95"/>
        <v>1487.973</v>
      </c>
      <c r="AH59" s="29">
        <f t="shared" si="97"/>
        <v>376.053</v>
      </c>
      <c r="AI59" s="29">
        <f t="shared" si="97"/>
        <v>394.38599999999997</v>
      </c>
      <c r="AJ59" s="29">
        <f t="shared" si="97"/>
        <v>411.85500000000002</v>
      </c>
      <c r="AK59" s="29">
        <f t="shared" si="97"/>
        <v>436.399</v>
      </c>
      <c r="AL59" s="18">
        <f t="shared" si="96"/>
        <v>1618.6929999999998</v>
      </c>
      <c r="AM59" s="29">
        <f t="shared" si="97"/>
        <v>444.613</v>
      </c>
      <c r="AN59" s="29">
        <f>SUM(AN57:AN58)</f>
        <v>500.47900000000004</v>
      </c>
      <c r="AO59" s="29">
        <f t="shared" ref="AO59:AP59" si="98">SUM(AO57:AO58)</f>
        <v>469.37299999999999</v>
      </c>
      <c r="AP59" s="29">
        <f t="shared" si="98"/>
        <v>476.45699999999999</v>
      </c>
      <c r="AQ59" s="18">
        <f>SUM(AQ57:AQ58)</f>
        <v>1890.9220000000003</v>
      </c>
      <c r="AR59" s="29">
        <f t="shared" ref="AR59:AU59" si="99">SUM(AR57:AR58)</f>
        <v>508.18600000000004</v>
      </c>
      <c r="AS59" s="29">
        <f t="shared" si="99"/>
        <v>534.13300000000004</v>
      </c>
      <c r="AT59" s="29">
        <f t="shared" si="99"/>
        <v>537.702</v>
      </c>
      <c r="AU59" s="29">
        <f t="shared" si="99"/>
        <v>581.74</v>
      </c>
      <c r="AV59" s="18">
        <f t="shared" ref="AV59:BB59" si="100">SUM(AV57:AV58)</f>
        <v>2161.7609999999995</v>
      </c>
      <c r="AW59" s="29">
        <f t="shared" si="100"/>
        <v>534.726</v>
      </c>
      <c r="AX59" s="29">
        <f t="shared" si="100"/>
        <v>562.43599999999992</v>
      </c>
      <c r="AY59" s="29">
        <f t="shared" si="100"/>
        <v>600.88799999999992</v>
      </c>
      <c r="AZ59" s="29">
        <f t="shared" si="100"/>
        <v>665.51700000000005</v>
      </c>
      <c r="BA59" s="18">
        <f t="shared" si="100"/>
        <v>2363.567</v>
      </c>
      <c r="BB59" s="29">
        <f t="shared" si="100"/>
        <v>607.5809999999999</v>
      </c>
      <c r="BC59" s="32"/>
      <c r="BD59" s="32"/>
      <c r="BE59" s="32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22"/>
    </row>
    <row r="60" spans="1:73" ht="15.6" hidden="1" outlineLevel="1">
      <c r="C60" s="16" t="s">
        <v>48</v>
      </c>
      <c r="D60" s="27">
        <v>2.8090000000000002</v>
      </c>
      <c r="E60" s="27">
        <v>3.37</v>
      </c>
      <c r="F60" s="27">
        <v>3.9009999999999998</v>
      </c>
      <c r="G60" s="27">
        <v>3.8620000000000001</v>
      </c>
      <c r="H60" s="24">
        <f t="shared" si="90"/>
        <v>13.942</v>
      </c>
      <c r="I60" s="27">
        <v>7.7439999999999998</v>
      </c>
      <c r="J60" s="27">
        <v>15.37</v>
      </c>
      <c r="K60" s="27">
        <v>32.628999999999998</v>
      </c>
      <c r="L60" s="27">
        <v>25.763000000000002</v>
      </c>
      <c r="M60" s="24">
        <f t="shared" si="91"/>
        <v>81.506</v>
      </c>
      <c r="N60" s="27">
        <v>27.22</v>
      </c>
      <c r="O60" s="27">
        <v>25.030999999999999</v>
      </c>
      <c r="P60" s="27">
        <v>24.251999999999999</v>
      </c>
      <c r="Q60" s="27">
        <v>25.643000000000001</v>
      </c>
      <c r="R60" s="24">
        <f t="shared" si="92"/>
        <v>102.146</v>
      </c>
      <c r="S60" s="27">
        <v>30.923999999999999</v>
      </c>
      <c r="T60" s="27">
        <v>30.692</v>
      </c>
      <c r="U60" s="27">
        <v>26.994</v>
      </c>
      <c r="V60" s="27">
        <v>28.808</v>
      </c>
      <c r="W60" s="24">
        <f t="shared" si="93"/>
        <v>117.41800000000001</v>
      </c>
      <c r="X60" s="27">
        <v>28.297999999999998</v>
      </c>
      <c r="Y60" s="27">
        <v>21.812999999999999</v>
      </c>
      <c r="Z60" s="27">
        <v>28.385000000000002</v>
      </c>
      <c r="AA60" s="27">
        <v>24.03</v>
      </c>
      <c r="AB60" s="24">
        <f t="shared" si="94"/>
        <v>102.526</v>
      </c>
      <c r="AC60" s="27">
        <v>23.439</v>
      </c>
      <c r="AD60" s="27">
        <v>23.98</v>
      </c>
      <c r="AE60" s="27">
        <v>24.311</v>
      </c>
      <c r="AF60" s="27">
        <v>33.655999999999999</v>
      </c>
      <c r="AG60" s="24">
        <f t="shared" si="95"/>
        <v>105.386</v>
      </c>
      <c r="AH60" s="27">
        <v>25.065000000000001</v>
      </c>
      <c r="AI60" s="27">
        <v>28.672000000000001</v>
      </c>
      <c r="AJ60" s="27">
        <v>31.202999999999999</v>
      </c>
      <c r="AK60" s="27">
        <v>25.248000000000001</v>
      </c>
      <c r="AL60" s="24">
        <f t="shared" si="96"/>
        <v>110.188</v>
      </c>
      <c r="AM60" s="27">
        <v>33.918999999999997</v>
      </c>
      <c r="AN60" s="27">
        <v>34.713999999999999</v>
      </c>
      <c r="AO60" s="27">
        <v>26.574000000000002</v>
      </c>
      <c r="AP60" s="27">
        <v>26.337</v>
      </c>
      <c r="AQ60" s="24">
        <f>SUM(AM60:AP60)</f>
        <v>121.544</v>
      </c>
      <c r="AR60" s="27">
        <v>33.506</v>
      </c>
      <c r="AS60" s="27">
        <v>27.675999999999998</v>
      </c>
      <c r="AT60" s="27">
        <v>31.4</v>
      </c>
      <c r="AU60" s="27">
        <v>35.347999999999999</v>
      </c>
      <c r="AV60" s="24">
        <f>SUM(AR60:AU60)</f>
        <v>127.92999999999999</v>
      </c>
      <c r="AW60" s="27">
        <v>28.657</v>
      </c>
      <c r="AX60" s="27">
        <v>28.007999999999999</v>
      </c>
      <c r="AY60" s="27">
        <v>42.094999999999999</v>
      </c>
      <c r="AZ60" s="27">
        <v>50.156999999999996</v>
      </c>
      <c r="BA60" s="24">
        <f>SUM(AW60:AZ60)</f>
        <v>148.91699999999997</v>
      </c>
      <c r="BB60" s="27">
        <v>40.189</v>
      </c>
      <c r="BC60" s="26"/>
      <c r="BD60" s="26"/>
      <c r="BE60" s="26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22"/>
    </row>
    <row r="61" spans="1:73" collapsed="1">
      <c r="C61" s="1" t="s">
        <v>0</v>
      </c>
      <c r="D61" s="32">
        <f t="shared" ref="D61:AV61" si="101">D59-D60</f>
        <v>48.072000000000003</v>
      </c>
      <c r="E61" s="32">
        <f t="shared" si="101"/>
        <v>61.196999999999996</v>
      </c>
      <c r="F61" s="32">
        <f t="shared" si="101"/>
        <v>69.391999999999996</v>
      </c>
      <c r="G61" s="32">
        <f t="shared" si="101"/>
        <v>79.674000000000007</v>
      </c>
      <c r="H61" s="18">
        <f t="shared" si="90"/>
        <v>258.33500000000004</v>
      </c>
      <c r="I61" s="32">
        <f t="shared" si="101"/>
        <v>94.786000000000001</v>
      </c>
      <c r="J61" s="32">
        <f t="shared" si="101"/>
        <v>114.16900000000001</v>
      </c>
      <c r="K61" s="32">
        <f t="shared" si="101"/>
        <v>142.886</v>
      </c>
      <c r="L61" s="32">
        <f t="shared" si="101"/>
        <v>157.94</v>
      </c>
      <c r="M61" s="18">
        <f t="shared" si="91"/>
        <v>509.78100000000001</v>
      </c>
      <c r="N61" s="32">
        <f t="shared" si="101"/>
        <v>169.017</v>
      </c>
      <c r="O61" s="32">
        <f t="shared" si="101"/>
        <v>183.22099999999998</v>
      </c>
      <c r="P61" s="32">
        <f t="shared" si="101"/>
        <v>207.90799999999999</v>
      </c>
      <c r="Q61" s="32">
        <f t="shared" si="101"/>
        <v>210.131</v>
      </c>
      <c r="R61" s="18">
        <f t="shared" si="92"/>
        <v>770.27699999999993</v>
      </c>
      <c r="S61" s="32">
        <f t="shared" si="101"/>
        <v>215.99499999999998</v>
      </c>
      <c r="T61" s="32">
        <f t="shared" si="101"/>
        <v>260.53800000000001</v>
      </c>
      <c r="U61" s="32">
        <f t="shared" si="101"/>
        <v>279.59000000000003</v>
      </c>
      <c r="V61" s="32">
        <f t="shared" si="101"/>
        <v>299.334</v>
      </c>
      <c r="W61" s="18">
        <f t="shared" si="93"/>
        <v>1055.4570000000001</v>
      </c>
      <c r="X61" s="32">
        <f t="shared" si="101"/>
        <v>281.005</v>
      </c>
      <c r="Y61" s="32">
        <f t="shared" si="101"/>
        <v>311.93400000000003</v>
      </c>
      <c r="Z61" s="32">
        <f t="shared" si="101"/>
        <v>312.48700000000002</v>
      </c>
      <c r="AA61" s="32">
        <f t="shared" si="101"/>
        <v>316.851</v>
      </c>
      <c r="AB61" s="18">
        <f t="shared" si="94"/>
        <v>1222.277</v>
      </c>
      <c r="AC61" s="32">
        <f t="shared" si="101"/>
        <v>312.57099999999997</v>
      </c>
      <c r="AD61" s="32">
        <f t="shared" si="101"/>
        <v>357.18099999999998</v>
      </c>
      <c r="AE61" s="32">
        <f t="shared" si="101"/>
        <v>349.87</v>
      </c>
      <c r="AF61" s="32">
        <f t="shared" si="101"/>
        <v>362.96499999999997</v>
      </c>
      <c r="AG61" s="18">
        <f t="shared" si="95"/>
        <v>1382.587</v>
      </c>
      <c r="AH61" s="32">
        <f t="shared" si="101"/>
        <v>350.988</v>
      </c>
      <c r="AI61" s="32">
        <f t="shared" si="101"/>
        <v>365.71399999999994</v>
      </c>
      <c r="AJ61" s="32">
        <f t="shared" si="101"/>
        <v>380.65200000000004</v>
      </c>
      <c r="AK61" s="32">
        <f t="shared" si="101"/>
        <v>411.15100000000001</v>
      </c>
      <c r="AL61" s="18">
        <f t="shared" si="96"/>
        <v>1508.5050000000001</v>
      </c>
      <c r="AM61" s="32">
        <f t="shared" si="101"/>
        <v>410.69400000000002</v>
      </c>
      <c r="AN61" s="32">
        <f t="shared" si="101"/>
        <v>465.76500000000004</v>
      </c>
      <c r="AO61" s="32">
        <f t="shared" si="101"/>
        <v>442.79899999999998</v>
      </c>
      <c r="AP61" s="32">
        <f t="shared" si="101"/>
        <v>450.12</v>
      </c>
      <c r="AQ61" s="18">
        <f t="shared" si="101"/>
        <v>1769.3780000000002</v>
      </c>
      <c r="AR61" s="32">
        <f t="shared" si="101"/>
        <v>474.68000000000006</v>
      </c>
      <c r="AS61" s="32">
        <f t="shared" si="101"/>
        <v>506.45700000000005</v>
      </c>
      <c r="AT61" s="32">
        <f t="shared" si="101"/>
        <v>506.30200000000002</v>
      </c>
      <c r="AU61" s="32">
        <f t="shared" si="101"/>
        <v>546.39200000000005</v>
      </c>
      <c r="AV61" s="18">
        <f t="shared" si="101"/>
        <v>2033.8309999999994</v>
      </c>
      <c r="AW61" s="32">
        <f>AW59-AW60</f>
        <v>506.06900000000002</v>
      </c>
      <c r="AX61" s="32">
        <f>AX59-AX60</f>
        <v>534.42799999999988</v>
      </c>
      <c r="AY61" s="32">
        <f>AY59-AY60</f>
        <v>558.79299999999989</v>
      </c>
      <c r="AZ61" s="32">
        <f>AZ59-AZ60</f>
        <v>615.36</v>
      </c>
      <c r="BA61" s="18">
        <f t="shared" ref="BA61" si="102">BA59-BA60</f>
        <v>2214.65</v>
      </c>
      <c r="BB61" s="32">
        <f>BB59-BB60</f>
        <v>567.39199999999994</v>
      </c>
      <c r="BC61" s="32"/>
      <c r="BD61" s="32"/>
      <c r="BE61" s="32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22"/>
    </row>
    <row r="62" spans="1:73">
      <c r="C62" s="16" t="s">
        <v>49</v>
      </c>
      <c r="D62" s="20">
        <v>19.911000000000001</v>
      </c>
      <c r="E62" s="20">
        <v>22.094000000000001</v>
      </c>
      <c r="F62" s="20">
        <v>30.547000000000001</v>
      </c>
      <c r="G62" s="20">
        <v>36.384</v>
      </c>
      <c r="H62" s="18">
        <f t="shared" si="90"/>
        <v>108.93600000000001</v>
      </c>
      <c r="I62" s="20">
        <v>44.356000000000002</v>
      </c>
      <c r="J62" s="20">
        <v>60.637999999999998</v>
      </c>
      <c r="K62" s="20">
        <v>60.923999999999999</v>
      </c>
      <c r="L62" s="20">
        <v>61.378</v>
      </c>
      <c r="M62" s="18">
        <f t="shared" si="91"/>
        <v>227.29599999999999</v>
      </c>
      <c r="N62" s="20">
        <v>70.528000000000006</v>
      </c>
      <c r="O62" s="20">
        <v>77.506</v>
      </c>
      <c r="P62" s="20">
        <v>74.97</v>
      </c>
      <c r="Q62" s="20">
        <v>81.299000000000007</v>
      </c>
      <c r="R62" s="18">
        <f t="shared" si="92"/>
        <v>304.303</v>
      </c>
      <c r="S62" s="20">
        <v>106.363</v>
      </c>
      <c r="T62" s="20">
        <v>100.556</v>
      </c>
      <c r="U62" s="20">
        <v>93.501000000000005</v>
      </c>
      <c r="V62" s="20">
        <v>105.694</v>
      </c>
      <c r="W62" s="18">
        <f t="shared" si="93"/>
        <v>406.11399999999998</v>
      </c>
      <c r="X62" s="20">
        <v>112.38800000000001</v>
      </c>
      <c r="Y62" s="20">
        <v>107.13200000000001</v>
      </c>
      <c r="Z62" s="20">
        <v>104.044</v>
      </c>
      <c r="AA62" s="20">
        <v>125.55500000000001</v>
      </c>
      <c r="AB62" s="18">
        <f t="shared" si="94"/>
        <v>449.11900000000003</v>
      </c>
      <c r="AC62" s="20">
        <v>128.76499999999999</v>
      </c>
      <c r="AD62" s="20">
        <v>122.61799999999999</v>
      </c>
      <c r="AE62" s="20">
        <v>124.36799999999999</v>
      </c>
      <c r="AF62" s="20">
        <v>127.14100000000001</v>
      </c>
      <c r="AG62" s="18">
        <f t="shared" si="95"/>
        <v>502.892</v>
      </c>
      <c r="AH62" s="20">
        <v>144.255</v>
      </c>
      <c r="AI62" s="20">
        <v>132.328</v>
      </c>
      <c r="AJ62" s="20">
        <v>124.523</v>
      </c>
      <c r="AK62" s="20">
        <v>143.05000000000001</v>
      </c>
      <c r="AL62" s="18">
        <f t="shared" si="96"/>
        <v>544.15599999999995</v>
      </c>
      <c r="AM62" s="20">
        <v>207.21299999999999</v>
      </c>
      <c r="AN62" s="20">
        <v>158.57900000000001</v>
      </c>
      <c r="AO62" s="20">
        <v>155.87299999999999</v>
      </c>
      <c r="AP62" s="20">
        <v>161.86500000000001</v>
      </c>
      <c r="AQ62" s="18">
        <f t="shared" ref="AQ62:AQ71" si="103">SUM(AM62:AP62)</f>
        <v>683.53</v>
      </c>
      <c r="AR62" s="20">
        <v>167.947</v>
      </c>
      <c r="AS62" s="20">
        <v>176.01400000000001</v>
      </c>
      <c r="AT62" s="20">
        <v>178.70599999999999</v>
      </c>
      <c r="AU62" s="20">
        <v>214.27500000000001</v>
      </c>
      <c r="AV62" s="18">
        <f t="shared" ref="AV62:AV71" si="104">SUM(AR62:AU62)</f>
        <v>736.94200000000001</v>
      </c>
      <c r="AW62" s="20">
        <v>208.4</v>
      </c>
      <c r="AX62" s="20">
        <v>191.40600000000001</v>
      </c>
      <c r="AY62" s="20">
        <v>207.255</v>
      </c>
      <c r="AZ62" s="20">
        <v>247.172</v>
      </c>
      <c r="BA62" s="18">
        <f t="shared" ref="BA62:BA71" si="105">SUM(AW62:AZ62)</f>
        <v>854.23300000000006</v>
      </c>
      <c r="BB62" s="20">
        <v>260.50799999999998</v>
      </c>
      <c r="BC62" s="32"/>
      <c r="BD62" s="32"/>
      <c r="BE62" s="32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22"/>
    </row>
    <row r="63" spans="1:73">
      <c r="C63" s="16" t="s">
        <v>50</v>
      </c>
      <c r="D63" s="20">
        <v>3.6949999999999998</v>
      </c>
      <c r="E63" s="20">
        <v>3.3820000000000001</v>
      </c>
      <c r="F63" s="20">
        <v>3.2789999999999999</v>
      </c>
      <c r="G63" s="20">
        <v>3.7639999999999998</v>
      </c>
      <c r="H63" s="18">
        <f t="shared" si="90"/>
        <v>14.12</v>
      </c>
      <c r="I63" s="20">
        <v>3.9590000000000001</v>
      </c>
      <c r="J63" s="20">
        <v>2.3210000000000002</v>
      </c>
      <c r="K63" s="20">
        <v>6.92</v>
      </c>
      <c r="L63" s="20">
        <v>7.2770000000000001</v>
      </c>
      <c r="M63" s="18">
        <f t="shared" si="91"/>
        <v>20.477</v>
      </c>
      <c r="N63" s="20">
        <v>6.7469999999999999</v>
      </c>
      <c r="O63" s="20">
        <v>9.25</v>
      </c>
      <c r="P63" s="20">
        <v>12.814</v>
      </c>
      <c r="Q63" s="20">
        <v>13.808999999999999</v>
      </c>
      <c r="R63" s="18">
        <f t="shared" si="92"/>
        <v>42.62</v>
      </c>
      <c r="S63" s="20">
        <v>18.109000000000002</v>
      </c>
      <c r="T63" s="20">
        <v>20.09</v>
      </c>
      <c r="U63" s="20">
        <v>22.422999999999998</v>
      </c>
      <c r="V63" s="20">
        <v>24.559000000000001</v>
      </c>
      <c r="W63" s="18">
        <f t="shared" si="93"/>
        <v>85.180999999999997</v>
      </c>
      <c r="X63" s="20">
        <v>27.181000000000001</v>
      </c>
      <c r="Y63" s="20">
        <v>27.832999999999998</v>
      </c>
      <c r="Z63" s="20">
        <v>50.783999999999999</v>
      </c>
      <c r="AA63" s="20">
        <v>29.454999999999998</v>
      </c>
      <c r="AB63" s="18">
        <f t="shared" si="94"/>
        <v>135.25299999999999</v>
      </c>
      <c r="AC63" s="20">
        <v>31.251999999999999</v>
      </c>
      <c r="AD63" s="20">
        <v>39.091000000000001</v>
      </c>
      <c r="AE63" s="20">
        <v>47.795999999999999</v>
      </c>
      <c r="AF63" s="20">
        <v>44.158000000000001</v>
      </c>
      <c r="AG63" s="18">
        <f t="shared" si="95"/>
        <v>162.29700000000003</v>
      </c>
      <c r="AH63" s="20">
        <v>44.927999999999997</v>
      </c>
      <c r="AI63" s="20">
        <v>40.156999999999996</v>
      </c>
      <c r="AJ63" s="20">
        <v>47.362000000000002</v>
      </c>
      <c r="AK63" s="20">
        <v>65.995000000000005</v>
      </c>
      <c r="AL63" s="18">
        <f t="shared" si="96"/>
        <v>198.44200000000001</v>
      </c>
      <c r="AM63" s="20">
        <v>62.667000000000002</v>
      </c>
      <c r="AN63" s="20">
        <v>56.131999999999998</v>
      </c>
      <c r="AO63" s="20">
        <v>51.16</v>
      </c>
      <c r="AP63" s="20">
        <v>56.656999999999996</v>
      </c>
      <c r="AQ63" s="18">
        <f t="shared" si="103"/>
        <v>226.61599999999999</v>
      </c>
      <c r="AR63" s="20">
        <v>60.104999999999997</v>
      </c>
      <c r="AS63" s="20">
        <v>62.384</v>
      </c>
      <c r="AT63" s="20">
        <v>79.855000000000004</v>
      </c>
      <c r="AU63" s="20">
        <v>97.382000000000005</v>
      </c>
      <c r="AV63" s="18">
        <f t="shared" si="104"/>
        <v>299.726</v>
      </c>
      <c r="AW63" s="20">
        <v>86.106999999999999</v>
      </c>
      <c r="AX63" s="20">
        <v>78.921999999999997</v>
      </c>
      <c r="AY63" s="20">
        <v>78.647000000000006</v>
      </c>
      <c r="AZ63" s="20">
        <v>91.698999999999998</v>
      </c>
      <c r="BA63" s="18">
        <f t="shared" si="105"/>
        <v>335.375</v>
      </c>
      <c r="BB63" s="20">
        <v>76.572999999999993</v>
      </c>
      <c r="BC63" s="32"/>
      <c r="BD63" s="32"/>
      <c r="BE63" s="32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22"/>
    </row>
    <row r="64" spans="1:73" ht="15.6">
      <c r="C64" s="16" t="s">
        <v>51</v>
      </c>
      <c r="D64" s="27">
        <v>1.8620000000000001</v>
      </c>
      <c r="E64" s="27">
        <v>1.8620000000000001</v>
      </c>
      <c r="F64" s="27">
        <v>1.8620000000000001</v>
      </c>
      <c r="G64" s="27">
        <v>1.8620000000000001</v>
      </c>
      <c r="H64" s="24">
        <f t="shared" si="90"/>
        <v>7.4480000000000004</v>
      </c>
      <c r="I64" s="27">
        <v>10.731999999999999</v>
      </c>
      <c r="J64" s="27">
        <v>15.750999999999999</v>
      </c>
      <c r="K64" s="27">
        <v>19.742000000000001</v>
      </c>
      <c r="L64" s="27">
        <v>21.907</v>
      </c>
      <c r="M64" s="24">
        <f t="shared" si="91"/>
        <v>68.131999999999991</v>
      </c>
      <c r="N64" s="27">
        <v>23.555</v>
      </c>
      <c r="O64" s="27">
        <v>19.399000000000001</v>
      </c>
      <c r="P64" s="27">
        <v>19.564</v>
      </c>
      <c r="Q64" s="27">
        <v>20.524000000000001</v>
      </c>
      <c r="R64" s="24">
        <f t="shared" si="92"/>
        <v>83.042000000000002</v>
      </c>
      <c r="S64" s="27">
        <v>158.18199999999999</v>
      </c>
      <c r="T64" s="27">
        <v>65.600999999999999</v>
      </c>
      <c r="U64" s="27">
        <v>105.63</v>
      </c>
      <c r="V64" s="27">
        <v>39.161999999999999</v>
      </c>
      <c r="W64" s="24">
        <f t="shared" si="93"/>
        <v>368.57499999999999</v>
      </c>
      <c r="X64" s="27">
        <v>24.677</v>
      </c>
      <c r="Y64" s="27">
        <v>23.667999999999999</v>
      </c>
      <c r="Z64" s="27">
        <v>26.126999999999999</v>
      </c>
      <c r="AA64" s="27">
        <v>55.213000000000001</v>
      </c>
      <c r="AB64" s="24">
        <f t="shared" si="94"/>
        <v>129.685</v>
      </c>
      <c r="AC64" s="27">
        <v>31.391999999999999</v>
      </c>
      <c r="AD64" s="27">
        <v>26.736999999999998</v>
      </c>
      <c r="AE64" s="27">
        <v>41.453000000000003</v>
      </c>
      <c r="AF64" s="27">
        <v>26.161999999999999</v>
      </c>
      <c r="AG64" s="24">
        <f t="shared" si="95"/>
        <v>125.744</v>
      </c>
      <c r="AH64" s="27">
        <v>25.664999999999999</v>
      </c>
      <c r="AI64" s="27">
        <v>28.186</v>
      </c>
      <c r="AJ64" s="27">
        <v>122.313</v>
      </c>
      <c r="AK64" s="27">
        <v>60.901000000000003</v>
      </c>
      <c r="AL64" s="24">
        <f t="shared" si="96"/>
        <v>237.065</v>
      </c>
      <c r="AM64" s="27">
        <v>53.006999999999998</v>
      </c>
      <c r="AN64" s="27">
        <v>97.855000000000004</v>
      </c>
      <c r="AO64" s="27">
        <v>46.988999999999997</v>
      </c>
      <c r="AP64" s="27">
        <v>46.542999999999999</v>
      </c>
      <c r="AQ64" s="24">
        <f t="shared" si="103"/>
        <v>244.39400000000001</v>
      </c>
      <c r="AR64" s="27">
        <f>56.885+56</f>
        <v>112.88499999999999</v>
      </c>
      <c r="AS64" s="27">
        <f>61.576+2.2</f>
        <v>63.776000000000003</v>
      </c>
      <c r="AT64" s="27">
        <f>62.863+51.775</f>
        <v>114.63800000000001</v>
      </c>
      <c r="AU64" s="27">
        <v>173.49</v>
      </c>
      <c r="AV64" s="24">
        <f t="shared" si="104"/>
        <v>464.78899999999999</v>
      </c>
      <c r="AW64" s="27">
        <f>62.847+202.25+136.139</f>
        <v>401.23599999999999</v>
      </c>
      <c r="AX64" s="27">
        <f>62.974+3</f>
        <v>65.97399999999999</v>
      </c>
      <c r="AY64" s="27">
        <f>66.684+10</f>
        <v>76.683999999999997</v>
      </c>
      <c r="AZ64" s="27">
        <f>67.075+36</f>
        <v>103.075</v>
      </c>
      <c r="BA64" s="24">
        <f t="shared" si="105"/>
        <v>646.96900000000005</v>
      </c>
      <c r="BB64" s="27">
        <v>68.191999999999993</v>
      </c>
      <c r="BC64" s="26"/>
      <c r="BD64" s="26"/>
      <c r="BE64" s="26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22"/>
    </row>
    <row r="65" spans="1:73">
      <c r="C65" s="1" t="s">
        <v>52</v>
      </c>
      <c r="D65" s="29">
        <f>D61-SUM(D62:D64)</f>
        <v>22.603999999999999</v>
      </c>
      <c r="E65" s="29">
        <f>E61-SUM(E62:E64)</f>
        <v>33.858999999999995</v>
      </c>
      <c r="F65" s="29">
        <f>F61-SUM(F62:F64)</f>
        <v>33.703999999999994</v>
      </c>
      <c r="G65" s="29">
        <f>G61-SUM(G62:G64)</f>
        <v>37.664000000000001</v>
      </c>
      <c r="H65" s="18">
        <f t="shared" si="90"/>
        <v>127.83099999999999</v>
      </c>
      <c r="I65" s="29">
        <f>I61-SUM(I62:I64)</f>
        <v>35.738999999999997</v>
      </c>
      <c r="J65" s="29">
        <f>J61-SUM(J62:J64)</f>
        <v>35.459000000000017</v>
      </c>
      <c r="K65" s="29">
        <f>K61-SUM(K62:K64)</f>
        <v>55.3</v>
      </c>
      <c r="L65" s="29">
        <f>L61-SUM(L62:L64)</f>
        <v>67.378</v>
      </c>
      <c r="M65" s="18">
        <f t="shared" si="91"/>
        <v>193.876</v>
      </c>
      <c r="N65" s="29">
        <f>N61-SUM(N62:N64)</f>
        <v>68.186999999999983</v>
      </c>
      <c r="O65" s="29">
        <f>O61-SUM(O62:O64)</f>
        <v>77.065999999999974</v>
      </c>
      <c r="P65" s="29">
        <f>P61-SUM(P62:P64)</f>
        <v>100.56</v>
      </c>
      <c r="Q65" s="29">
        <f>Q61-SUM(Q62:Q64)</f>
        <v>94.498999999999995</v>
      </c>
      <c r="R65" s="18">
        <f t="shared" si="92"/>
        <v>340.31199999999995</v>
      </c>
      <c r="S65" s="29">
        <f>S61-SUM(S62:S64)</f>
        <v>-66.65900000000002</v>
      </c>
      <c r="T65" s="29">
        <f>T61-SUM(T62:T64)</f>
        <v>74.290999999999997</v>
      </c>
      <c r="U65" s="29">
        <f>U61-SUM(U62:U64)</f>
        <v>58.03600000000003</v>
      </c>
      <c r="V65" s="29">
        <f>V61-SUM(V62:V64)</f>
        <v>129.91899999999998</v>
      </c>
      <c r="W65" s="18">
        <f t="shared" si="93"/>
        <v>195.58699999999999</v>
      </c>
      <c r="X65" s="29">
        <f>X61-SUM(X62:X64)</f>
        <v>116.75899999999999</v>
      </c>
      <c r="Y65" s="29">
        <f>Y61-SUM(Y62:Y64)</f>
        <v>153.30100000000002</v>
      </c>
      <c r="Z65" s="29">
        <f>Z61-SUM(Z62:Z64)</f>
        <v>131.53200000000001</v>
      </c>
      <c r="AA65" s="29">
        <f>AA61-SUM(AA62:AA64)</f>
        <v>106.62800000000001</v>
      </c>
      <c r="AB65" s="18">
        <f t="shared" si="94"/>
        <v>508.22</v>
      </c>
      <c r="AC65" s="29">
        <f>AC61-SUM(AC62:AC64)</f>
        <v>121.16199999999998</v>
      </c>
      <c r="AD65" s="29">
        <f>AD61-SUM(AD62:AD64)</f>
        <v>168.73499999999999</v>
      </c>
      <c r="AE65" s="29">
        <f>AE61-SUM(AE62:AE64)</f>
        <v>136.25300000000001</v>
      </c>
      <c r="AF65" s="29">
        <f>AF61-SUM(AF62:AF64)</f>
        <v>165.50399999999996</v>
      </c>
      <c r="AG65" s="18">
        <f t="shared" si="95"/>
        <v>591.654</v>
      </c>
      <c r="AH65" s="29">
        <f>AH61-SUM(AH62:AH64)</f>
        <v>136.14000000000001</v>
      </c>
      <c r="AI65" s="29">
        <f>AI61-SUM(AI62:AI64)</f>
        <v>165.04299999999992</v>
      </c>
      <c r="AJ65" s="29">
        <f>AJ61-SUM(AJ62:AJ64)</f>
        <v>86.454000000000065</v>
      </c>
      <c r="AK65" s="29">
        <f>AK61-SUM(AK62:AK64)</f>
        <v>141.20499999999998</v>
      </c>
      <c r="AL65" s="18">
        <f t="shared" si="96"/>
        <v>528.84199999999998</v>
      </c>
      <c r="AM65" s="29">
        <f>AM61-SUM(AM62:AM64)</f>
        <v>87.807000000000016</v>
      </c>
      <c r="AN65" s="29">
        <f>AN61-SUM(AN62:AN64)</f>
        <v>153.19900000000001</v>
      </c>
      <c r="AO65" s="29">
        <f t="shared" ref="AO65:AP65" si="106">AO61-SUM(AO62:AO64)</f>
        <v>188.77699999999999</v>
      </c>
      <c r="AP65" s="29">
        <f t="shared" si="106"/>
        <v>185.05500000000001</v>
      </c>
      <c r="AQ65" s="18">
        <f>AQ61-SUM(AQ62:AQ64)</f>
        <v>614.83800000000019</v>
      </c>
      <c r="AR65" s="29">
        <f t="shared" ref="AR65:AU65" si="107">AR61-SUM(AR62:AR64)</f>
        <v>133.74300000000005</v>
      </c>
      <c r="AS65" s="29">
        <f t="shared" si="107"/>
        <v>204.28300000000002</v>
      </c>
      <c r="AT65" s="29">
        <f t="shared" si="107"/>
        <v>133.10300000000007</v>
      </c>
      <c r="AU65" s="29">
        <f t="shared" si="107"/>
        <v>61.245000000000005</v>
      </c>
      <c r="AV65" s="18">
        <f>AV61-SUM(AV62:AV64)</f>
        <v>532.37399999999934</v>
      </c>
      <c r="AW65" s="29">
        <f t="shared" ref="AW65" si="108">AW61-SUM(AW62:AW64)</f>
        <v>-189.67399999999992</v>
      </c>
      <c r="AX65" s="29">
        <f>AX61-SUM(AX62:AX64)</f>
        <v>198.12599999999992</v>
      </c>
      <c r="AY65" s="29">
        <f>AY61-SUM(AY62:AY64)</f>
        <v>196.20699999999988</v>
      </c>
      <c r="AZ65" s="29">
        <f>AZ61-SUM(AZ62:AZ64)</f>
        <v>173.41400000000004</v>
      </c>
      <c r="BA65" s="18">
        <f>BA61-SUM(BA62:BA64)</f>
        <v>378.07299999999987</v>
      </c>
      <c r="BB65" s="29">
        <f>BB61-SUM(BB62:BB64)</f>
        <v>162.11899999999997</v>
      </c>
      <c r="BC65" s="32"/>
      <c r="BD65" s="32"/>
      <c r="BE65" s="32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22"/>
    </row>
    <row r="66" spans="1:73">
      <c r="C66" s="16" t="s">
        <v>70</v>
      </c>
      <c r="D66" s="20">
        <v>-0.77700000000000002</v>
      </c>
      <c r="E66" s="20">
        <v>-0.65700000000000003</v>
      </c>
      <c r="F66" s="20">
        <v>-0.125</v>
      </c>
      <c r="G66" s="20">
        <v>-4.1000000000000002E-2</v>
      </c>
      <c r="H66" s="18">
        <f t="shared" si="90"/>
        <v>-1.6</v>
      </c>
      <c r="I66" s="20">
        <f>0.0071+-0.0058</f>
        <v>1.3000000000000008E-3</v>
      </c>
      <c r="J66" s="20">
        <v>-1.4810000000000001</v>
      </c>
      <c r="K66" s="20">
        <v>-7.75</v>
      </c>
      <c r="L66" s="20">
        <v>-7.6689999999999996</v>
      </c>
      <c r="M66" s="18">
        <f t="shared" si="91"/>
        <v>-16.898699999999998</v>
      </c>
      <c r="N66" s="20">
        <v>-7.399</v>
      </c>
      <c r="O66" s="20">
        <v>-7.1420000000000003</v>
      </c>
      <c r="P66" s="20">
        <v>-6.202</v>
      </c>
      <c r="Q66" s="20">
        <v>-6.173</v>
      </c>
      <c r="R66" s="18">
        <f t="shared" si="92"/>
        <v>-26.916000000000004</v>
      </c>
      <c r="S66" s="20">
        <v>-10.076000000000001</v>
      </c>
      <c r="T66" s="20">
        <v>-11.429</v>
      </c>
      <c r="U66" s="20">
        <v>-14.53</v>
      </c>
      <c r="V66" s="20">
        <v>-16.678000000000001</v>
      </c>
      <c r="W66" s="18">
        <f t="shared" si="93"/>
        <v>-52.713000000000008</v>
      </c>
      <c r="X66" s="20">
        <v>-16.245000000000001</v>
      </c>
      <c r="Y66" s="20">
        <v>-15.811999999999999</v>
      </c>
      <c r="Z66" s="20">
        <v>-12.65</v>
      </c>
      <c r="AA66" s="20">
        <v>-12.21</v>
      </c>
      <c r="AB66" s="18">
        <f t="shared" si="94"/>
        <v>-56.917000000000002</v>
      </c>
      <c r="AC66" s="20">
        <v>-12.192</v>
      </c>
      <c r="AD66" s="20">
        <v>-12.121</v>
      </c>
      <c r="AE66" s="20">
        <v>-18.498000000000001</v>
      </c>
      <c r="AF66" s="20">
        <v>-19.131</v>
      </c>
      <c r="AG66" s="18">
        <f t="shared" si="95"/>
        <v>-61.942000000000007</v>
      </c>
      <c r="AH66" s="20">
        <v>-18.844000000000001</v>
      </c>
      <c r="AI66" s="20">
        <v>-18.294</v>
      </c>
      <c r="AJ66" s="20">
        <v>-19.192</v>
      </c>
      <c r="AK66" s="20">
        <v>-21.425999999999998</v>
      </c>
      <c r="AL66" s="18">
        <f t="shared" si="96"/>
        <v>-77.756</v>
      </c>
      <c r="AM66" s="20">
        <v>-20.605</v>
      </c>
      <c r="AN66" s="20">
        <v>-19.646000000000001</v>
      </c>
      <c r="AO66" s="20">
        <f>-18.92</f>
        <v>-18.920000000000002</v>
      </c>
      <c r="AP66" s="20">
        <f>-17.904</f>
        <v>-17.904</v>
      </c>
      <c r="AQ66" s="18">
        <f t="shared" si="103"/>
        <v>-77.075000000000003</v>
      </c>
      <c r="AR66" s="20">
        <f>-17.922</f>
        <v>-17.922000000000001</v>
      </c>
      <c r="AS66" s="20">
        <f>-18.234</f>
        <v>-18.234000000000002</v>
      </c>
      <c r="AT66" s="20">
        <v>-17.861000000000001</v>
      </c>
      <c r="AU66" s="20">
        <f>-18.244</f>
        <v>-18.244</v>
      </c>
      <c r="AV66" s="18">
        <f t="shared" si="104"/>
        <v>-72.26100000000001</v>
      </c>
      <c r="AW66" s="20">
        <f>-18.496</f>
        <v>-18.495999999999999</v>
      </c>
      <c r="AX66" s="20">
        <f>-26.21</f>
        <v>-26.21</v>
      </c>
      <c r="AY66" s="20">
        <f>-27.428</f>
        <v>-27.428000000000001</v>
      </c>
      <c r="AZ66" s="20">
        <v>-27.573</v>
      </c>
      <c r="BA66" s="18">
        <f t="shared" si="105"/>
        <v>-99.706999999999994</v>
      </c>
      <c r="BB66" s="20">
        <v>-27.376000000000001</v>
      </c>
      <c r="BC66" s="32"/>
      <c r="BD66" s="32"/>
      <c r="BE66" s="32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22"/>
    </row>
    <row r="67" spans="1:73">
      <c r="C67" s="16" t="s">
        <v>54</v>
      </c>
      <c r="D67" s="20">
        <v>0</v>
      </c>
      <c r="E67" s="20">
        <v>0</v>
      </c>
      <c r="F67" s="20">
        <v>0</v>
      </c>
      <c r="G67" s="20">
        <v>0</v>
      </c>
      <c r="H67" s="18">
        <f t="shared" si="90"/>
        <v>0</v>
      </c>
      <c r="I67" s="20">
        <f t="shared" si="90"/>
        <v>0</v>
      </c>
      <c r="J67" s="20">
        <v>0</v>
      </c>
      <c r="K67" s="20">
        <v>-1.099</v>
      </c>
      <c r="L67" s="20">
        <v>-2.2629999999999999</v>
      </c>
      <c r="M67" s="18">
        <f t="shared" si="91"/>
        <v>-3.3620000000000001</v>
      </c>
      <c r="N67" s="20">
        <v>0.27100000000000002</v>
      </c>
      <c r="O67" s="20">
        <v>-0.38500000000000001</v>
      </c>
      <c r="P67" s="20">
        <v>-0.61399999999999999</v>
      </c>
      <c r="Q67" s="20">
        <v>-0.96899999999999997</v>
      </c>
      <c r="R67" s="18">
        <f t="shared" si="92"/>
        <v>-1.6970000000000001</v>
      </c>
      <c r="S67" s="20">
        <v>0.123</v>
      </c>
      <c r="T67" s="20">
        <v>7.3999999999999996E-2</v>
      </c>
      <c r="U67" s="20">
        <v>6.4829999999999997</v>
      </c>
      <c r="V67" s="20">
        <v>2.0030000000000001</v>
      </c>
      <c r="W67" s="18">
        <f t="shared" si="93"/>
        <v>8.6829999999999998</v>
      </c>
      <c r="X67" s="20">
        <v>2.2450000000000001</v>
      </c>
      <c r="Y67" s="20">
        <v>-1.9139999999999999</v>
      </c>
      <c r="Z67" s="20">
        <v>-0.97699999999999998</v>
      </c>
      <c r="AA67" s="20">
        <v>2.0910000000000002</v>
      </c>
      <c r="AB67" s="18">
        <f t="shared" si="94"/>
        <v>1.4450000000000003</v>
      </c>
      <c r="AC67" s="20">
        <v>-0.81899999999999995</v>
      </c>
      <c r="AD67" s="20">
        <v>0</v>
      </c>
      <c r="AE67" s="20">
        <v>-0.749</v>
      </c>
      <c r="AF67" s="20">
        <v>4.9400000000000004</v>
      </c>
      <c r="AG67" s="18">
        <f t="shared" si="95"/>
        <v>3.3720000000000003</v>
      </c>
      <c r="AH67" s="20">
        <v>-1.464</v>
      </c>
      <c r="AI67" s="20">
        <v>-5.4269999999999996</v>
      </c>
      <c r="AJ67" s="20">
        <v>-2.2240000000000002</v>
      </c>
      <c r="AK67" s="20">
        <v>-0.85399999999999998</v>
      </c>
      <c r="AL67" s="18">
        <f t="shared" si="96"/>
        <v>-9.9689999999999994</v>
      </c>
      <c r="AM67" s="20">
        <v>-1.728</v>
      </c>
      <c r="AN67" s="20">
        <v>-2.6970000000000001</v>
      </c>
      <c r="AO67" s="20">
        <f>-0.756</f>
        <v>-0.75600000000000001</v>
      </c>
      <c r="AP67" s="20">
        <f>-1.694</f>
        <v>-1.694</v>
      </c>
      <c r="AQ67" s="18">
        <f t="shared" si="103"/>
        <v>-6.875</v>
      </c>
      <c r="AR67" s="20">
        <f>-0.611</f>
        <v>-0.61099999999999999</v>
      </c>
      <c r="AS67" s="20">
        <v>-1.9330000000000001</v>
      </c>
      <c r="AT67" s="20">
        <v>-1.0329999999999999</v>
      </c>
      <c r="AU67" s="20">
        <f>-2.234</f>
        <v>-2.234</v>
      </c>
      <c r="AV67" s="18">
        <f t="shared" si="104"/>
        <v>-5.8109999999999999</v>
      </c>
      <c r="AW67" s="20">
        <f>-1.132</f>
        <v>-1.1319999999999999</v>
      </c>
      <c r="AX67" s="20">
        <f>-0.464</f>
        <v>-0.46400000000000002</v>
      </c>
      <c r="AY67" s="20">
        <f>-0.639</f>
        <v>-0.63900000000000001</v>
      </c>
      <c r="AZ67" s="20">
        <v>-1.036</v>
      </c>
      <c r="BA67" s="18">
        <f t="shared" si="105"/>
        <v>-3.2709999999999999</v>
      </c>
      <c r="BB67" s="20">
        <v>0.94299999999999995</v>
      </c>
      <c r="BC67" s="32"/>
      <c r="BD67" s="32"/>
      <c r="BE67" s="32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22"/>
    </row>
    <row r="68" spans="1:73" ht="15.6">
      <c r="C68" s="16" t="s">
        <v>71</v>
      </c>
      <c r="D68" s="27">
        <v>0</v>
      </c>
      <c r="E68" s="27">
        <v>0</v>
      </c>
      <c r="F68" s="27">
        <v>-1.097</v>
      </c>
      <c r="G68" s="27">
        <v>-0.15</v>
      </c>
      <c r="H68" s="24">
        <f t="shared" si="90"/>
        <v>-1.2469999999999999</v>
      </c>
      <c r="I68" s="27">
        <v>0</v>
      </c>
      <c r="J68" s="27">
        <v>-0.24</v>
      </c>
      <c r="K68" s="27">
        <v>0</v>
      </c>
      <c r="L68" s="27">
        <v>0</v>
      </c>
      <c r="M68" s="24">
        <f t="shared" si="91"/>
        <v>-0.24</v>
      </c>
      <c r="N68" s="27">
        <v>0</v>
      </c>
      <c r="O68" s="27">
        <v>-3.7490000000000001</v>
      </c>
      <c r="P68" s="27">
        <v>0</v>
      </c>
      <c r="Q68" s="27">
        <v>0</v>
      </c>
      <c r="R68" s="24">
        <f t="shared" si="92"/>
        <v>-3.7490000000000001</v>
      </c>
      <c r="S68" s="27">
        <v>0</v>
      </c>
      <c r="T68" s="27">
        <v>0</v>
      </c>
      <c r="U68" s="27">
        <v>0</v>
      </c>
      <c r="V68" s="27">
        <v>0</v>
      </c>
      <c r="W68" s="24">
        <f t="shared" si="93"/>
        <v>0</v>
      </c>
      <c r="X68" s="27"/>
      <c r="Y68" s="27">
        <v>-16.815000000000001</v>
      </c>
      <c r="Z68" s="27">
        <v>0</v>
      </c>
      <c r="AA68" s="27"/>
      <c r="AB68" s="24">
        <f t="shared" si="94"/>
        <v>-16.815000000000001</v>
      </c>
      <c r="AC68" s="27">
        <v>0</v>
      </c>
      <c r="AD68" s="27">
        <v>0</v>
      </c>
      <c r="AE68" s="27">
        <v>-0.63800000000000001</v>
      </c>
      <c r="AF68" s="27">
        <v>0</v>
      </c>
      <c r="AG68" s="24">
        <f t="shared" si="95"/>
        <v>-0.63800000000000001</v>
      </c>
      <c r="AH68" s="27">
        <v>0</v>
      </c>
      <c r="AI68" s="27">
        <v>0</v>
      </c>
      <c r="AJ68" s="27">
        <v>0</v>
      </c>
      <c r="AK68" s="27">
        <v>0</v>
      </c>
      <c r="AL68" s="24">
        <f t="shared" si="96"/>
        <v>0</v>
      </c>
      <c r="AM68" s="27">
        <v>0</v>
      </c>
      <c r="AN68" s="27">
        <v>-1.425</v>
      </c>
      <c r="AO68" s="27">
        <f ca="1">AO32+AO109</f>
        <v>0</v>
      </c>
      <c r="AP68" s="27">
        <v>0</v>
      </c>
      <c r="AQ68" s="24">
        <f t="shared" ca="1" si="103"/>
        <v>-1.425</v>
      </c>
      <c r="AR68" s="27">
        <v>0</v>
      </c>
      <c r="AS68" s="26">
        <v>0</v>
      </c>
      <c r="AT68" s="26">
        <v>0</v>
      </c>
      <c r="AU68" s="26">
        <v>0</v>
      </c>
      <c r="AV68" s="24">
        <f t="shared" si="104"/>
        <v>0</v>
      </c>
      <c r="AW68" s="27">
        <v>0</v>
      </c>
      <c r="AX68" s="27">
        <v>0</v>
      </c>
      <c r="AY68" s="27">
        <v>0</v>
      </c>
      <c r="AZ68" s="27">
        <v>0</v>
      </c>
      <c r="BA68" s="24">
        <f t="shared" si="105"/>
        <v>0</v>
      </c>
      <c r="BB68" s="27">
        <v>0</v>
      </c>
      <c r="BC68" s="26"/>
      <c r="BD68" s="26"/>
      <c r="BE68" s="26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2"/>
    </row>
    <row r="69" spans="1:73" s="2" customFormat="1">
      <c r="B69" s="1"/>
      <c r="C69" s="38" t="s">
        <v>56</v>
      </c>
      <c r="D69" s="29">
        <f t="shared" ref="D69:AM69" si="109">D65+SUM(D66:D68)</f>
        <v>21.826999999999998</v>
      </c>
      <c r="E69" s="29">
        <f t="shared" si="109"/>
        <v>33.201999999999998</v>
      </c>
      <c r="F69" s="29">
        <f t="shared" si="109"/>
        <v>32.481999999999992</v>
      </c>
      <c r="G69" s="29">
        <f t="shared" si="109"/>
        <v>37.472999999999999</v>
      </c>
      <c r="H69" s="18">
        <f t="shared" si="90"/>
        <v>124.98399999999999</v>
      </c>
      <c r="I69" s="29">
        <f t="shared" si="109"/>
        <v>35.740299999999998</v>
      </c>
      <c r="J69" s="29">
        <f t="shared" si="109"/>
        <v>33.738000000000014</v>
      </c>
      <c r="K69" s="29">
        <f t="shared" si="109"/>
        <v>46.450999999999993</v>
      </c>
      <c r="L69" s="29">
        <f t="shared" si="109"/>
        <v>57.445999999999998</v>
      </c>
      <c r="M69" s="18">
        <f t="shared" si="91"/>
        <v>173.37530000000001</v>
      </c>
      <c r="N69" s="29">
        <f t="shared" si="109"/>
        <v>61.058999999999983</v>
      </c>
      <c r="O69" s="29">
        <f t="shared" si="109"/>
        <v>65.789999999999978</v>
      </c>
      <c r="P69" s="29">
        <f t="shared" si="109"/>
        <v>93.744</v>
      </c>
      <c r="Q69" s="29">
        <f t="shared" si="109"/>
        <v>87.356999999999999</v>
      </c>
      <c r="R69" s="18">
        <f t="shared" si="92"/>
        <v>307.94999999999993</v>
      </c>
      <c r="S69" s="29">
        <f t="shared" si="109"/>
        <v>-76.612000000000023</v>
      </c>
      <c r="T69" s="29">
        <f t="shared" si="109"/>
        <v>62.935999999999993</v>
      </c>
      <c r="U69" s="29">
        <f t="shared" si="109"/>
        <v>49.989000000000033</v>
      </c>
      <c r="V69" s="29">
        <f t="shared" si="109"/>
        <v>115.24399999999999</v>
      </c>
      <c r="W69" s="18">
        <f t="shared" si="93"/>
        <v>151.55699999999999</v>
      </c>
      <c r="X69" s="29">
        <f t="shared" si="109"/>
        <v>102.75899999999999</v>
      </c>
      <c r="Y69" s="29">
        <f t="shared" si="109"/>
        <v>118.76000000000002</v>
      </c>
      <c r="Z69" s="29">
        <f t="shared" si="109"/>
        <v>117.90500000000002</v>
      </c>
      <c r="AA69" s="29">
        <f t="shared" si="109"/>
        <v>96.509000000000015</v>
      </c>
      <c r="AB69" s="18">
        <f t="shared" si="94"/>
        <v>435.93300000000005</v>
      </c>
      <c r="AC69" s="29">
        <f t="shared" si="109"/>
        <v>108.15099999999998</v>
      </c>
      <c r="AD69" s="29">
        <f t="shared" si="109"/>
        <v>156.61399999999998</v>
      </c>
      <c r="AE69" s="29">
        <f t="shared" si="109"/>
        <v>116.36800000000001</v>
      </c>
      <c r="AF69" s="29">
        <f t="shared" si="109"/>
        <v>151.31299999999996</v>
      </c>
      <c r="AG69" s="18">
        <f t="shared" si="95"/>
        <v>532.44599999999991</v>
      </c>
      <c r="AH69" s="29">
        <f t="shared" si="109"/>
        <v>115.83200000000002</v>
      </c>
      <c r="AI69" s="29">
        <f t="shared" si="109"/>
        <v>141.32199999999992</v>
      </c>
      <c r="AJ69" s="29">
        <f t="shared" si="109"/>
        <v>65.038000000000068</v>
      </c>
      <c r="AK69" s="29">
        <f t="shared" si="109"/>
        <v>118.92499999999998</v>
      </c>
      <c r="AL69" s="18">
        <f t="shared" si="96"/>
        <v>441.11699999999996</v>
      </c>
      <c r="AM69" s="29">
        <f t="shared" si="109"/>
        <v>65.474000000000018</v>
      </c>
      <c r="AN69" s="29">
        <f>AN65+SUM(AN66:AN68)</f>
        <v>129.43100000000001</v>
      </c>
      <c r="AO69" s="29">
        <f t="shared" ref="AO69" ca="1" si="110">AO65+SUM(AO66:AO68)</f>
        <v>169.101</v>
      </c>
      <c r="AP69" s="29">
        <f>AP65+SUM(AP66:AP68)</f>
        <v>165.45699999999999</v>
      </c>
      <c r="AQ69" s="18">
        <f ca="1">AQ65+SUM(AQ66:AQ68)</f>
        <v>529.46300000000019</v>
      </c>
      <c r="AR69" s="29">
        <f t="shared" ref="AR69:AY69" si="111">AR65+SUM(AR66:AR68)</f>
        <v>115.21000000000005</v>
      </c>
      <c r="AS69" s="29">
        <f t="shared" si="111"/>
        <v>184.11600000000001</v>
      </c>
      <c r="AT69" s="29">
        <f t="shared" si="111"/>
        <v>114.20900000000006</v>
      </c>
      <c r="AU69" s="29">
        <f t="shared" si="111"/>
        <v>40.767000000000003</v>
      </c>
      <c r="AV69" s="18">
        <f t="shared" si="111"/>
        <v>454.30199999999934</v>
      </c>
      <c r="AW69" s="29">
        <f t="shared" si="111"/>
        <v>-209.30199999999991</v>
      </c>
      <c r="AX69" s="29">
        <f t="shared" si="111"/>
        <v>171.45199999999991</v>
      </c>
      <c r="AY69" s="29">
        <f t="shared" si="111"/>
        <v>168.13999999999987</v>
      </c>
      <c r="AZ69" s="29">
        <f t="shared" ref="AZ69:BA69" si="112">AZ65+SUM(AZ66:AZ68)</f>
        <v>144.80500000000004</v>
      </c>
      <c r="BA69" s="18">
        <f t="shared" si="112"/>
        <v>275.09499999999986</v>
      </c>
      <c r="BB69" s="29">
        <f t="shared" ref="BB69" si="113">BB65+SUM(BB66:BB68)</f>
        <v>135.68599999999998</v>
      </c>
      <c r="BC69" s="32"/>
      <c r="BD69" s="32"/>
      <c r="BE69" s="32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1"/>
    </row>
    <row r="70" spans="1:73" s="22" customFormat="1">
      <c r="A70" s="2"/>
      <c r="B70" s="1"/>
      <c r="C70" s="16" t="s">
        <v>57</v>
      </c>
      <c r="D70" s="20">
        <v>0</v>
      </c>
      <c r="E70" s="20">
        <v>0</v>
      </c>
      <c r="F70" s="20">
        <v>0</v>
      </c>
      <c r="G70" s="20">
        <v>0</v>
      </c>
      <c r="H70" s="18">
        <f t="shared" si="90"/>
        <v>0</v>
      </c>
      <c r="I70" s="20">
        <v>5.5170000000000003</v>
      </c>
      <c r="J70" s="20">
        <v>6.593</v>
      </c>
      <c r="K70" s="20">
        <v>12.856</v>
      </c>
      <c r="L70" s="20">
        <v>-108.76</v>
      </c>
      <c r="M70" s="18">
        <f t="shared" si="91"/>
        <v>-83.794000000000011</v>
      </c>
      <c r="N70" s="20">
        <v>17.634</v>
      </c>
      <c r="O70" s="20">
        <v>23.605</v>
      </c>
      <c r="P70" s="20">
        <v>18.335000000000001</v>
      </c>
      <c r="Q70" s="20">
        <v>32.064</v>
      </c>
      <c r="R70" s="18">
        <f t="shared" si="92"/>
        <v>91.638000000000005</v>
      </c>
      <c r="S70" s="20">
        <v>17.027000000000001</v>
      </c>
      <c r="T70" s="20">
        <v>19.350000000000001</v>
      </c>
      <c r="U70" s="20">
        <v>24.221</v>
      </c>
      <c r="V70" s="20">
        <v>33.633000000000003</v>
      </c>
      <c r="W70" s="18">
        <f t="shared" si="93"/>
        <v>94.230999999999995</v>
      </c>
      <c r="X70" s="20">
        <v>32.058999999999997</v>
      </c>
      <c r="Y70" s="20">
        <v>30.646999999999998</v>
      </c>
      <c r="Z70" s="20">
        <v>29.945</v>
      </c>
      <c r="AA70" s="20">
        <v>13.747999999999999</v>
      </c>
      <c r="AB70" s="18">
        <f t="shared" si="94"/>
        <v>106.399</v>
      </c>
      <c r="AC70" s="20">
        <v>32.338999999999999</v>
      </c>
      <c r="AD70" s="20">
        <v>42.112000000000002</v>
      </c>
      <c r="AE70" s="20">
        <v>26.437000000000001</v>
      </c>
      <c r="AF70" s="20">
        <v>34.347999999999999</v>
      </c>
      <c r="AG70" s="18">
        <f t="shared" si="95"/>
        <v>135.23599999999999</v>
      </c>
      <c r="AH70" s="20">
        <v>29.16</v>
      </c>
      <c r="AI70" s="20">
        <v>35.515000000000001</v>
      </c>
      <c r="AJ70" s="20">
        <v>1.2390000000000001</v>
      </c>
      <c r="AK70" s="20">
        <v>-113.654</v>
      </c>
      <c r="AL70" s="18">
        <f t="shared" si="96"/>
        <v>-47.739999999999995</v>
      </c>
      <c r="AM70" s="20">
        <v>19.146000000000001</v>
      </c>
      <c r="AN70" s="20">
        <v>36.524000000000001</v>
      </c>
      <c r="AO70" s="20">
        <v>19.347999999999999</v>
      </c>
      <c r="AP70" s="20">
        <v>5.1440000000000001</v>
      </c>
      <c r="AQ70" s="18">
        <f t="shared" si="103"/>
        <v>80.162000000000006</v>
      </c>
      <c r="AR70" s="20">
        <v>29.116</v>
      </c>
      <c r="AS70" s="20">
        <v>-78.650000000000006</v>
      </c>
      <c r="AT70" s="20">
        <v>10.903</v>
      </c>
      <c r="AU70" s="20">
        <f>-34.523</f>
        <v>-34.523000000000003</v>
      </c>
      <c r="AV70" s="18">
        <f t="shared" si="104"/>
        <v>-73.154000000000011</v>
      </c>
      <c r="AW70" s="20">
        <f>-51.287</f>
        <v>-51.286999999999999</v>
      </c>
      <c r="AX70" s="20">
        <v>54.753999999999998</v>
      </c>
      <c r="AY70" s="20">
        <v>19.283000000000001</v>
      </c>
      <c r="AZ70" s="20">
        <v>10.766999999999999</v>
      </c>
      <c r="BA70" s="18">
        <f t="shared" si="105"/>
        <v>33.516999999999996</v>
      </c>
      <c r="BB70" s="20">
        <v>18.018999999999998</v>
      </c>
      <c r="BC70" s="32"/>
      <c r="BD70" s="32"/>
      <c r="BE70" s="32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1"/>
    </row>
    <row r="71" spans="1:73" s="2" customFormat="1" ht="15.6">
      <c r="B71" s="1"/>
      <c r="C71" s="16" t="s">
        <v>51</v>
      </c>
      <c r="D71" s="27">
        <v>0</v>
      </c>
      <c r="E71" s="27">
        <v>0</v>
      </c>
      <c r="F71" s="27">
        <v>0</v>
      </c>
      <c r="G71" s="27">
        <v>0</v>
      </c>
      <c r="H71" s="24">
        <f t="shared" si="90"/>
        <v>0</v>
      </c>
      <c r="I71" s="27">
        <f t="shared" si="90"/>
        <v>0</v>
      </c>
      <c r="J71" s="27">
        <f t="shared" si="91"/>
        <v>0</v>
      </c>
      <c r="K71" s="27">
        <f t="shared" si="91"/>
        <v>0</v>
      </c>
      <c r="L71" s="27">
        <f t="shared" si="91"/>
        <v>0</v>
      </c>
      <c r="M71" s="24">
        <f t="shared" si="91"/>
        <v>0</v>
      </c>
      <c r="N71" s="27">
        <f t="shared" si="91"/>
        <v>0</v>
      </c>
      <c r="O71" s="27">
        <f t="shared" si="91"/>
        <v>0</v>
      </c>
      <c r="P71" s="27">
        <f t="shared" ref="P71" si="114">SUM(L71:O71)</f>
        <v>0</v>
      </c>
      <c r="Q71" s="27">
        <f t="shared" ref="Q71" si="115">SUM(M71:P71)</f>
        <v>0</v>
      </c>
      <c r="R71" s="24">
        <f t="shared" si="92"/>
        <v>0</v>
      </c>
      <c r="S71" s="27">
        <v>-0.98899999999999999</v>
      </c>
      <c r="T71" s="27">
        <v>-7.2999999999999995E-2</v>
      </c>
      <c r="U71" s="27">
        <v>2E-3</v>
      </c>
      <c r="V71" s="27">
        <v>-1E-3</v>
      </c>
      <c r="W71" s="24">
        <f t="shared" si="93"/>
        <v>-1.0609999999999999</v>
      </c>
      <c r="X71" s="27"/>
      <c r="Y71" s="27">
        <v>-1E-3</v>
      </c>
      <c r="Z71" s="27"/>
      <c r="AA71" s="27"/>
      <c r="AB71" s="24">
        <f t="shared" si="94"/>
        <v>-1E-3</v>
      </c>
      <c r="AC71" s="27">
        <v>0</v>
      </c>
      <c r="AD71" s="27">
        <v>0</v>
      </c>
      <c r="AE71" s="27">
        <v>0.10299999999999999</v>
      </c>
      <c r="AF71" s="27">
        <v>0.27600000000000002</v>
      </c>
      <c r="AG71" s="24">
        <f t="shared" si="95"/>
        <v>0.379</v>
      </c>
      <c r="AH71" s="27">
        <v>0.161</v>
      </c>
      <c r="AI71" s="27">
        <v>0.20300000000000001</v>
      </c>
      <c r="AJ71" s="27">
        <v>0.27300000000000002</v>
      </c>
      <c r="AK71" s="27">
        <v>0.372</v>
      </c>
      <c r="AL71" s="24">
        <f t="shared" si="96"/>
        <v>1.0089999999999999</v>
      </c>
      <c r="AM71" s="27">
        <v>0.33700000000000002</v>
      </c>
      <c r="AN71" s="27">
        <v>0.58599999999999997</v>
      </c>
      <c r="AO71" s="27">
        <v>0.437</v>
      </c>
      <c r="AP71" s="27">
        <v>0.84299999999999997</v>
      </c>
      <c r="AQ71" s="24">
        <f t="shared" si="103"/>
        <v>2.2030000000000003</v>
      </c>
      <c r="AR71" s="27">
        <v>0.89300000000000002</v>
      </c>
      <c r="AS71" s="27">
        <v>0.86799999999999999</v>
      </c>
      <c r="AT71" s="27">
        <v>1.03</v>
      </c>
      <c r="AU71" s="27">
        <v>1.298</v>
      </c>
      <c r="AV71" s="24">
        <f t="shared" si="104"/>
        <v>4.0890000000000004</v>
      </c>
      <c r="AW71" s="27">
        <f>-0.182</f>
        <v>-0.182</v>
      </c>
      <c r="AX71" s="27">
        <v>1.897</v>
      </c>
      <c r="AY71" s="27">
        <v>0.623</v>
      </c>
      <c r="AZ71" s="27">
        <v>0.624</v>
      </c>
      <c r="BA71" s="24">
        <f t="shared" si="105"/>
        <v>2.9620000000000002</v>
      </c>
      <c r="BB71" s="27">
        <v>-4.165</v>
      </c>
      <c r="BC71" s="26"/>
      <c r="BD71" s="26"/>
      <c r="BE71" s="26"/>
      <c r="BF71" s="79"/>
      <c r="BG71" s="79"/>
      <c r="BH71" s="79"/>
      <c r="BI71" s="79"/>
      <c r="BJ71" s="79"/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1"/>
    </row>
    <row r="72" spans="1:73">
      <c r="C72" s="41" t="s">
        <v>58</v>
      </c>
      <c r="D72" s="42">
        <f t="shared" ref="D72:AM72" si="116">D69-SUM(D70:D71)</f>
        <v>21.826999999999998</v>
      </c>
      <c r="E72" s="42">
        <f t="shared" si="116"/>
        <v>33.201999999999998</v>
      </c>
      <c r="F72" s="42">
        <f t="shared" si="116"/>
        <v>32.481999999999992</v>
      </c>
      <c r="G72" s="42">
        <f t="shared" si="116"/>
        <v>37.472999999999999</v>
      </c>
      <c r="H72" s="43">
        <f t="shared" si="90"/>
        <v>124.98399999999999</v>
      </c>
      <c r="I72" s="42">
        <f t="shared" si="116"/>
        <v>30.223299999999998</v>
      </c>
      <c r="J72" s="42">
        <f t="shared" si="116"/>
        <v>27.145000000000014</v>
      </c>
      <c r="K72" s="42">
        <f t="shared" si="116"/>
        <v>33.594999999999992</v>
      </c>
      <c r="L72" s="42">
        <f t="shared" si="116"/>
        <v>166.20600000000002</v>
      </c>
      <c r="M72" s="43">
        <f t="shared" si="91"/>
        <v>257.16930000000002</v>
      </c>
      <c r="N72" s="42">
        <f t="shared" si="116"/>
        <v>43.424999999999983</v>
      </c>
      <c r="O72" s="42">
        <f t="shared" si="116"/>
        <v>42.184999999999974</v>
      </c>
      <c r="P72" s="42">
        <f t="shared" si="116"/>
        <v>75.408999999999992</v>
      </c>
      <c r="Q72" s="42">
        <f t="shared" si="116"/>
        <v>55.292999999999999</v>
      </c>
      <c r="R72" s="43">
        <f t="shared" si="92"/>
        <v>216.31199999999995</v>
      </c>
      <c r="S72" s="42">
        <f t="shared" si="116"/>
        <v>-92.65000000000002</v>
      </c>
      <c r="T72" s="42">
        <f t="shared" si="116"/>
        <v>43.658999999999992</v>
      </c>
      <c r="U72" s="42">
        <f t="shared" si="116"/>
        <v>25.766000000000034</v>
      </c>
      <c r="V72" s="42">
        <f t="shared" si="116"/>
        <v>81.611999999999981</v>
      </c>
      <c r="W72" s="43">
        <f t="shared" si="93"/>
        <v>58.386999999999986</v>
      </c>
      <c r="X72" s="42">
        <f t="shared" si="116"/>
        <v>70.699999999999989</v>
      </c>
      <c r="Y72" s="42">
        <f t="shared" si="116"/>
        <v>88.114000000000019</v>
      </c>
      <c r="Z72" s="42">
        <f t="shared" si="116"/>
        <v>87.960000000000008</v>
      </c>
      <c r="AA72" s="42">
        <f t="shared" si="116"/>
        <v>82.76100000000001</v>
      </c>
      <c r="AB72" s="43">
        <f t="shared" si="94"/>
        <v>329.53500000000003</v>
      </c>
      <c r="AC72" s="42">
        <f t="shared" si="116"/>
        <v>75.811999999999983</v>
      </c>
      <c r="AD72" s="42">
        <f t="shared" si="116"/>
        <v>114.50199999999998</v>
      </c>
      <c r="AE72" s="42">
        <f t="shared" si="116"/>
        <v>89.828000000000003</v>
      </c>
      <c r="AF72" s="42">
        <f t="shared" si="116"/>
        <v>116.68899999999996</v>
      </c>
      <c r="AG72" s="43">
        <f t="shared" si="95"/>
        <v>396.8309999999999</v>
      </c>
      <c r="AH72" s="42">
        <f t="shared" si="116"/>
        <v>86.511000000000024</v>
      </c>
      <c r="AI72" s="42">
        <f t="shared" si="116"/>
        <v>105.60399999999991</v>
      </c>
      <c r="AJ72" s="42">
        <f t="shared" si="116"/>
        <v>63.526000000000067</v>
      </c>
      <c r="AK72" s="42">
        <f t="shared" si="116"/>
        <v>232.20699999999999</v>
      </c>
      <c r="AL72" s="43">
        <f t="shared" si="96"/>
        <v>487.84800000000001</v>
      </c>
      <c r="AM72" s="42">
        <f t="shared" si="116"/>
        <v>45.991000000000014</v>
      </c>
      <c r="AN72" s="42">
        <f>AN69-SUM(AN70:AN71)</f>
        <v>92.321000000000012</v>
      </c>
      <c r="AO72" s="42">
        <f t="shared" ref="AO72:AP72" ca="1" si="117">AO69-SUM(AO70:AO71)</f>
        <v>149.316</v>
      </c>
      <c r="AP72" s="42">
        <f t="shared" si="117"/>
        <v>159.47</v>
      </c>
      <c r="AQ72" s="43">
        <f ca="1">AQ69-SUM(AQ70:AQ71)</f>
        <v>447.09800000000018</v>
      </c>
      <c r="AR72" s="42">
        <f t="shared" ref="AR72:AT72" si="118">AR69-SUM(AR70:AR71)</f>
        <v>85.20100000000005</v>
      </c>
      <c r="AS72" s="42">
        <f t="shared" si="118"/>
        <v>261.89800000000002</v>
      </c>
      <c r="AT72" s="42">
        <f t="shared" si="118"/>
        <v>102.27600000000007</v>
      </c>
      <c r="AU72" s="42">
        <f t="shared" ref="AU72:BB72" si="119">AU69-SUM(AU70:AU71)</f>
        <v>73.992000000000004</v>
      </c>
      <c r="AV72" s="43">
        <f t="shared" si="119"/>
        <v>523.36699999999939</v>
      </c>
      <c r="AW72" s="42">
        <f t="shared" si="119"/>
        <v>-157.83299999999991</v>
      </c>
      <c r="AX72" s="42">
        <f t="shared" si="119"/>
        <v>114.80099999999992</v>
      </c>
      <c r="AY72" s="42">
        <f t="shared" si="119"/>
        <v>148.23399999999987</v>
      </c>
      <c r="AZ72" s="42">
        <f t="shared" si="119"/>
        <v>133.41400000000004</v>
      </c>
      <c r="BA72" s="43">
        <f t="shared" si="119"/>
        <v>238.61599999999987</v>
      </c>
      <c r="BB72" s="42">
        <f t="shared" si="119"/>
        <v>121.83199999999998</v>
      </c>
      <c r="BC72" s="194"/>
      <c r="BD72" s="194"/>
      <c r="BE72" s="194"/>
      <c r="BF72" s="80"/>
      <c r="BG72" s="80"/>
      <c r="BH72" s="80"/>
      <c r="BI72" s="80"/>
      <c r="BJ72" s="80"/>
      <c r="BK72" s="80"/>
      <c r="BL72" s="80"/>
      <c r="BM72" s="80"/>
      <c r="BN72" s="80"/>
      <c r="BO72" s="80"/>
      <c r="BP72" s="80"/>
      <c r="BQ72" s="80"/>
      <c r="BR72" s="80"/>
      <c r="BS72" s="80"/>
      <c r="BT72" s="80"/>
    </row>
    <row r="73" spans="1:73">
      <c r="C73" s="38" t="s">
        <v>72</v>
      </c>
      <c r="D73" s="42"/>
      <c r="E73" s="42"/>
      <c r="F73" s="42"/>
      <c r="G73" s="42"/>
      <c r="H73" s="80"/>
      <c r="I73" s="42">
        <v>-2554</v>
      </c>
      <c r="J73" s="42"/>
      <c r="K73" s="42">
        <v>-386</v>
      </c>
      <c r="L73" s="42">
        <v>34345</v>
      </c>
      <c r="M73" s="80"/>
      <c r="N73" s="42"/>
      <c r="O73" s="42"/>
      <c r="P73" s="42"/>
      <c r="Q73" s="42"/>
      <c r="R73" s="80"/>
      <c r="S73" s="42"/>
      <c r="T73" s="42"/>
      <c r="U73" s="42"/>
      <c r="V73" s="42"/>
      <c r="W73" s="80"/>
      <c r="X73" s="42"/>
      <c r="Y73" s="42"/>
      <c r="Z73" s="42"/>
      <c r="AA73" s="42"/>
      <c r="AB73" s="43"/>
      <c r="AC73" s="42"/>
      <c r="AD73" s="42"/>
      <c r="AE73" s="42"/>
      <c r="AF73" s="42"/>
      <c r="AG73" s="43"/>
      <c r="AH73" s="42"/>
      <c r="AI73" s="42"/>
      <c r="AJ73" s="42"/>
      <c r="AK73" s="42"/>
      <c r="AL73" s="43"/>
      <c r="AM73" s="42"/>
      <c r="AN73" s="42"/>
      <c r="AO73" s="42"/>
      <c r="AP73" s="42"/>
      <c r="AQ73" s="81">
        <v>0</v>
      </c>
      <c r="AR73" s="42"/>
      <c r="AS73" s="42"/>
      <c r="AT73" s="42"/>
      <c r="AU73" s="42"/>
      <c r="AV73" s="81">
        <v>0</v>
      </c>
      <c r="AW73" s="42"/>
      <c r="AX73" s="42"/>
      <c r="AY73" s="42"/>
      <c r="AZ73" s="42"/>
      <c r="BA73" s="81">
        <v>0</v>
      </c>
      <c r="BB73" s="42"/>
      <c r="BC73" s="195"/>
      <c r="BD73" s="195"/>
      <c r="BE73" s="195"/>
      <c r="BF73" s="81"/>
      <c r="BG73" s="81"/>
      <c r="BH73" s="81"/>
      <c r="BI73" s="81"/>
      <c r="BJ73" s="81"/>
      <c r="BK73" s="81"/>
      <c r="BL73" s="81"/>
      <c r="BM73" s="81"/>
      <c r="BN73" s="81"/>
      <c r="BO73" s="81"/>
      <c r="BP73" s="81"/>
      <c r="BQ73" s="81"/>
      <c r="BR73" s="81"/>
      <c r="BS73" s="81"/>
      <c r="BT73" s="81"/>
    </row>
    <row r="74" spans="1:73">
      <c r="C74" s="38"/>
      <c r="D74" s="46"/>
      <c r="E74" s="46"/>
      <c r="F74" s="46"/>
      <c r="G74" s="46"/>
      <c r="I74" s="46"/>
      <c r="J74" s="46"/>
      <c r="K74" s="46"/>
      <c r="L74" s="46"/>
      <c r="N74" s="46"/>
      <c r="O74" s="46"/>
      <c r="P74" s="46"/>
      <c r="Q74" s="46"/>
      <c r="S74" s="46"/>
      <c r="T74" s="46"/>
      <c r="U74" s="46"/>
      <c r="V74" s="46"/>
      <c r="X74" s="46"/>
      <c r="Y74" s="46"/>
      <c r="Z74" s="46"/>
      <c r="AA74" s="46"/>
      <c r="AC74" s="46"/>
      <c r="AD74" s="46"/>
      <c r="AE74" s="46"/>
      <c r="AF74" s="46"/>
      <c r="AH74" s="46"/>
      <c r="AI74" s="46"/>
      <c r="AJ74" s="46"/>
      <c r="AK74" s="46"/>
      <c r="AM74" s="46"/>
      <c r="AN74" s="46"/>
      <c r="AO74" s="46"/>
      <c r="AP74" s="46"/>
      <c r="AQ74" s="69"/>
      <c r="AR74" s="46"/>
      <c r="AS74" s="46"/>
      <c r="AT74" s="46"/>
      <c r="AU74" s="46"/>
      <c r="AV74" s="69"/>
      <c r="AW74" s="82"/>
      <c r="AX74" s="82"/>
      <c r="AY74" s="82"/>
      <c r="AZ74" s="82"/>
      <c r="BA74" s="69"/>
      <c r="BB74" s="82"/>
      <c r="BC74" s="82"/>
      <c r="BD74" s="82"/>
      <c r="BE74" s="82"/>
    </row>
    <row r="75" spans="1:73">
      <c r="C75" s="41" t="s">
        <v>73</v>
      </c>
      <c r="D75" s="46"/>
      <c r="E75" s="46"/>
      <c r="F75" s="46"/>
      <c r="G75" s="46"/>
      <c r="I75" s="46"/>
      <c r="J75" s="46"/>
      <c r="K75" s="46"/>
      <c r="L75" s="46"/>
      <c r="N75" s="46"/>
      <c r="O75" s="46"/>
      <c r="P75" s="46"/>
      <c r="Q75" s="46"/>
      <c r="S75" s="46"/>
      <c r="T75" s="46"/>
      <c r="U75" s="46"/>
      <c r="V75" s="46"/>
      <c r="X75" s="46"/>
      <c r="Y75" s="46"/>
      <c r="Z75" s="46"/>
      <c r="AA75" s="46"/>
      <c r="AC75" s="46"/>
      <c r="AD75" s="46"/>
      <c r="AE75" s="46"/>
      <c r="AF75" s="46"/>
      <c r="AH75" s="46"/>
      <c r="AI75" s="46"/>
      <c r="AJ75" s="46"/>
      <c r="AK75" s="46"/>
      <c r="AM75" s="46"/>
      <c r="AN75" s="46"/>
      <c r="AO75" s="46"/>
      <c r="AP75" s="46"/>
      <c r="AR75" s="46"/>
      <c r="AS75" s="46"/>
      <c r="AT75" s="46"/>
      <c r="AU75" s="46"/>
      <c r="AW75" s="46"/>
      <c r="AX75" s="46"/>
      <c r="AY75" s="46"/>
      <c r="AZ75" s="46"/>
      <c r="BB75" s="46"/>
      <c r="BC75" s="46"/>
      <c r="BD75" s="46"/>
      <c r="BE75" s="46"/>
    </row>
    <row r="76" spans="1:73">
      <c r="B76" s="2"/>
      <c r="C76" s="84" t="s">
        <v>74</v>
      </c>
      <c r="D76" s="48">
        <f t="shared" ref="D76:AM76" si="120">D72/D80</f>
        <v>0.540780932560329</v>
      </c>
      <c r="E76" s="48">
        <f t="shared" si="120"/>
        <v>0.80569778446455864</v>
      </c>
      <c r="F76" s="48">
        <f t="shared" si="120"/>
        <v>0.7728657085752354</v>
      </c>
      <c r="G76" s="48">
        <f t="shared" si="120"/>
        <v>0.88448556659664368</v>
      </c>
      <c r="H76" s="85">
        <f t="shared" si="120"/>
        <v>3.0117352225354823</v>
      </c>
      <c r="I76" s="48">
        <f t="shared" si="120"/>
        <v>0.56048995790293565</v>
      </c>
      <c r="J76" s="48">
        <f t="shared" si="120"/>
        <v>0.47662944233740717</v>
      </c>
      <c r="K76" s="48">
        <f t="shared" si="120"/>
        <v>0.58220543126007296</v>
      </c>
      <c r="L76" s="48">
        <f t="shared" si="120"/>
        <v>2.8672025945349158</v>
      </c>
      <c r="M76" s="85">
        <f t="shared" si="120"/>
        <v>4.5401779566760236</v>
      </c>
      <c r="N76" s="48">
        <f t="shared" si="120"/>
        <v>0.74411391754343847</v>
      </c>
      <c r="O76" s="48">
        <f t="shared" si="120"/>
        <v>0.718201474368796</v>
      </c>
      <c r="P76" s="48">
        <f t="shared" si="120"/>
        <v>1.29530893038116</v>
      </c>
      <c r="Q76" s="48">
        <f t="shared" si="120"/>
        <v>0.95523806233155961</v>
      </c>
      <c r="R76" s="85">
        <f t="shared" si="120"/>
        <v>3.7104531887886369</v>
      </c>
      <c r="S76" s="48">
        <f t="shared" si="120"/>
        <v>-1.5830571028260947</v>
      </c>
      <c r="T76" s="48">
        <f t="shared" si="120"/>
        <v>0.73353046926191623</v>
      </c>
      <c r="U76" s="48">
        <f t="shared" si="120"/>
        <v>0.42726142110936133</v>
      </c>
      <c r="V76" s="48">
        <f t="shared" si="120"/>
        <v>1.3465993465993462</v>
      </c>
      <c r="W76" s="85">
        <f t="shared" si="120"/>
        <v>0.97725370736116202</v>
      </c>
      <c r="X76" s="48">
        <f t="shared" si="120"/>
        <v>1.1627715737710309</v>
      </c>
      <c r="Y76" s="48">
        <f t="shared" si="120"/>
        <v>1.4400065370158526</v>
      </c>
      <c r="Z76" s="48">
        <f t="shared" si="120"/>
        <v>1.4317571416944739</v>
      </c>
      <c r="AA76" s="48">
        <f t="shared" si="120"/>
        <v>1.3458823912053604</v>
      </c>
      <c r="AB76" s="85">
        <f t="shared" si="120"/>
        <v>5.3817448392997127</v>
      </c>
      <c r="AC76" s="48">
        <f t="shared" si="120"/>
        <v>1.2399332700925711</v>
      </c>
      <c r="AD76" s="48">
        <f t="shared" si="120"/>
        <v>1.8926263244020558</v>
      </c>
      <c r="AE76" s="48">
        <f t="shared" si="120"/>
        <v>1.4863080563231135</v>
      </c>
      <c r="AF76" s="48">
        <f t="shared" si="120"/>
        <v>1.9470882696479219</v>
      </c>
      <c r="AG76" s="85">
        <f t="shared" si="120"/>
        <v>6.5591900826446263</v>
      </c>
      <c r="AH76" s="48">
        <f t="shared" si="120"/>
        <v>1.4447394789579162</v>
      </c>
      <c r="AI76" s="48">
        <f t="shared" si="120"/>
        <v>1.7571381031613962</v>
      </c>
      <c r="AJ76" s="48">
        <f t="shared" si="120"/>
        <v>1.0568643109070353</v>
      </c>
      <c r="AK76" s="48">
        <f t="shared" si="120"/>
        <v>3.871407135711904</v>
      </c>
      <c r="AL76" s="85">
        <f t="shared" si="120"/>
        <v>8.1283614915525337</v>
      </c>
      <c r="AM76" s="48">
        <f t="shared" si="120"/>
        <v>0.76743759177679904</v>
      </c>
      <c r="AN76" s="48">
        <f>AN72/AN80</f>
        <v>1.5341575685062401</v>
      </c>
      <c r="AO76" s="48">
        <f t="shared" ref="AO76:AV76" ca="1" si="121">AO72/AO80</f>
        <v>2.4690125008267745</v>
      </c>
      <c r="AP76" s="48">
        <f t="shared" si="121"/>
        <v>2.688164792744804</v>
      </c>
      <c r="AQ76" s="85">
        <f t="shared" ca="1" si="121"/>
        <v>7.4546151794050983</v>
      </c>
      <c r="AR76" s="48">
        <f t="shared" si="121"/>
        <v>1.4893717442226349</v>
      </c>
      <c r="AS76" s="48">
        <f t="shared" si="121"/>
        <v>4.618442167633626</v>
      </c>
      <c r="AT76" s="48">
        <f t="shared" si="121"/>
        <v>1.8046370469703932</v>
      </c>
      <c r="AU76" s="48">
        <f>AU72/AU80</f>
        <v>1.3114963309582048</v>
      </c>
      <c r="AV76" s="85">
        <f t="shared" si="121"/>
        <v>9.2221228607299288</v>
      </c>
      <c r="AW76" s="48">
        <f>AW72/AW80</f>
        <v>-2.8206626635213365</v>
      </c>
      <c r="AX76" s="48">
        <f>AX72/AX80</f>
        <v>2.0717340696226505</v>
      </c>
      <c r="AY76" s="48">
        <f>AY72/AY80</f>
        <v>2.6687190566207555</v>
      </c>
      <c r="AZ76" s="48">
        <f>AZ72/AZ80</f>
        <v>2.3851613479932072</v>
      </c>
      <c r="BA76" s="85">
        <f t="shared" ref="BA76" si="122">BA72/BA80</f>
        <v>4.2830077765661931</v>
      </c>
      <c r="BB76" s="48">
        <f>BB72/BB80</f>
        <v>2.1575405539420554</v>
      </c>
      <c r="BC76" s="48"/>
      <c r="BD76" s="48"/>
      <c r="BE76" s="48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</row>
    <row r="77" spans="1:73">
      <c r="A77" s="11"/>
      <c r="B77" s="169"/>
      <c r="C77" s="84" t="s">
        <v>75</v>
      </c>
      <c r="D77" s="48">
        <f t="shared" ref="D77:AM77" si="123">D72/D81</f>
        <v>0.47764623498260272</v>
      </c>
      <c r="E77" s="48">
        <f t="shared" si="123"/>
        <v>0.71247398124503758</v>
      </c>
      <c r="F77" s="48">
        <f t="shared" si="123"/>
        <v>0.68758070320272624</v>
      </c>
      <c r="G77" s="48">
        <f t="shared" si="123"/>
        <v>0.78971992160333815</v>
      </c>
      <c r="H77" s="85">
        <f t="shared" si="123"/>
        <v>2.6707124236078461</v>
      </c>
      <c r="I77" s="48">
        <f t="shared" si="123"/>
        <v>0.5203377866538117</v>
      </c>
      <c r="J77" s="48">
        <f t="shared" si="123"/>
        <v>0.44827757043300215</v>
      </c>
      <c r="K77" s="48">
        <f t="shared" si="123"/>
        <v>0.5517960678678776</v>
      </c>
      <c r="L77" s="48">
        <f t="shared" si="123"/>
        <v>2.7142763824019336</v>
      </c>
      <c r="M77" s="85">
        <f t="shared" si="123"/>
        <v>4.2722701221031647</v>
      </c>
      <c r="N77" s="48">
        <f t="shared" si="123"/>
        <v>0.70597128968802292</v>
      </c>
      <c r="O77" s="48">
        <f t="shared" si="123"/>
        <v>0.68517736486486447</v>
      </c>
      <c r="P77" s="48">
        <f t="shared" si="123"/>
        <v>1.2257839041596903</v>
      </c>
      <c r="Q77" s="48">
        <f t="shared" si="123"/>
        <v>0.89639128461189288</v>
      </c>
      <c r="R77" s="85">
        <f t="shared" si="123"/>
        <v>3.5133265117185588</v>
      </c>
      <c r="S77" s="48">
        <f t="shared" si="123"/>
        <v>-1.4819968968440587</v>
      </c>
      <c r="T77" s="48">
        <f t="shared" si="123"/>
        <v>0.69991022475872888</v>
      </c>
      <c r="U77" s="48">
        <f t="shared" si="123"/>
        <v>0.41107211231652896</v>
      </c>
      <c r="V77" s="48">
        <f t="shared" si="123"/>
        <v>1.298478966460892</v>
      </c>
      <c r="W77" s="85">
        <f t="shared" si="123"/>
        <v>0.93249113616763002</v>
      </c>
      <c r="X77" s="48">
        <f t="shared" si="123"/>
        <v>1.1228638587129152</v>
      </c>
      <c r="Y77" s="48">
        <f t="shared" si="123"/>
        <v>1.3966397210334445</v>
      </c>
      <c r="Z77" s="48">
        <f t="shared" si="123"/>
        <v>1.3927858884631219</v>
      </c>
      <c r="AA77" s="48">
        <f t="shared" si="123"/>
        <v>1.3151697177726929</v>
      </c>
      <c r="AB77" s="85">
        <f t="shared" si="123"/>
        <v>5.2277270131353513</v>
      </c>
      <c r="AC77" s="48">
        <f t="shared" si="123"/>
        <v>1.2134968146749046</v>
      </c>
      <c r="AD77" s="48">
        <f t="shared" si="123"/>
        <v>1.8517943492956832</v>
      </c>
      <c r="AE77" s="48">
        <f t="shared" si="123"/>
        <v>1.4536451169188447</v>
      </c>
      <c r="AF77" s="48">
        <f t="shared" si="123"/>
        <v>1.9119001196074248</v>
      </c>
      <c r="AG77" s="85">
        <f t="shared" si="123"/>
        <v>6.4139486019072232</v>
      </c>
      <c r="AH77" s="48">
        <f t="shared" si="123"/>
        <v>1.4140867632155354</v>
      </c>
      <c r="AI77" s="48">
        <f t="shared" si="123"/>
        <v>1.7181719083025546</v>
      </c>
      <c r="AJ77" s="48">
        <f t="shared" si="123"/>
        <v>1.0340191418712166</v>
      </c>
      <c r="AK77" s="48">
        <f t="shared" si="123"/>
        <v>3.7949141185507198</v>
      </c>
      <c r="AL77" s="85">
        <f t="shared" si="123"/>
        <v>7.956162238857087</v>
      </c>
      <c r="AM77" s="48">
        <f t="shared" si="123"/>
        <v>0.75175716760927158</v>
      </c>
      <c r="AN77" s="48">
        <f>AN72/AN81</f>
        <v>1.5026693577264887</v>
      </c>
      <c r="AO77" s="48">
        <f t="shared" ref="AO77:AV77" ca="1" si="124">AO72/AO81</f>
        <v>2.4138901013628207</v>
      </c>
      <c r="AP77" s="48">
        <f t="shared" si="124"/>
        <v>2.6396636485524638</v>
      </c>
      <c r="AQ77" s="85">
        <f t="shared" ca="1" si="124"/>
        <v>7.3029572944145462</v>
      </c>
      <c r="AR77" s="48">
        <f t="shared" si="124"/>
        <v>1.4669341092612049</v>
      </c>
      <c r="AS77" s="48">
        <f t="shared" si="124"/>
        <v>4.560537726156686</v>
      </c>
      <c r="AT77" s="48">
        <f t="shared" si="124"/>
        <v>1.7806330303979954</v>
      </c>
      <c r="AU77" s="48">
        <f>AU72/AU81</f>
        <v>1.2921658342356188</v>
      </c>
      <c r="AV77" s="85">
        <f t="shared" si="124"/>
        <v>9.0938108145676839</v>
      </c>
      <c r="AW77" s="48">
        <f>AW72/AW81</f>
        <v>-2.7791414283701914</v>
      </c>
      <c r="AX77" s="48">
        <f>AX72/AX81</f>
        <v>2.0550085922955734</v>
      </c>
      <c r="AY77" s="48">
        <f>AY72/AY81</f>
        <v>2.6359271640941722</v>
      </c>
      <c r="AZ77" s="48">
        <f>AZ72/AZ81</f>
        <v>2.3334732570748948</v>
      </c>
      <c r="BA77" s="85">
        <f t="shared" ref="BA77" si="125">BA72/BA81</f>
        <v>4.2220590447037569</v>
      </c>
      <c r="BB77" s="48">
        <f>BB72/BB81</f>
        <v>2.0864144674875411</v>
      </c>
      <c r="BC77" s="48"/>
      <c r="BD77" s="48"/>
      <c r="BE77" s="48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</row>
    <row r="78" spans="1:73">
      <c r="B78" s="2"/>
      <c r="D78" s="53"/>
      <c r="E78" s="53"/>
      <c r="F78" s="53"/>
      <c r="G78" s="53"/>
      <c r="H78" s="86"/>
      <c r="I78" s="53"/>
      <c r="J78" s="53"/>
      <c r="K78" s="53"/>
      <c r="L78" s="53"/>
      <c r="M78" s="86"/>
      <c r="N78" s="53"/>
      <c r="O78" s="53"/>
      <c r="P78" s="53"/>
      <c r="Q78" s="53"/>
      <c r="R78" s="86"/>
      <c r="S78" s="53"/>
      <c r="T78" s="53"/>
      <c r="U78" s="53"/>
      <c r="V78" s="53"/>
      <c r="W78" s="86"/>
      <c r="X78" s="53"/>
      <c r="Y78" s="53"/>
      <c r="Z78" s="53"/>
      <c r="AA78" s="53"/>
      <c r="AB78" s="86"/>
      <c r="AC78" s="53"/>
      <c r="AD78" s="53"/>
      <c r="AE78" s="53"/>
      <c r="AF78" s="53"/>
      <c r="AG78" s="86"/>
      <c r="AH78" s="53"/>
      <c r="AI78" s="53"/>
      <c r="AJ78" s="53"/>
      <c r="AK78" s="53"/>
      <c r="AL78" s="86"/>
      <c r="AM78" s="53"/>
      <c r="AN78" s="53"/>
      <c r="AO78" s="53"/>
      <c r="AP78" s="53"/>
      <c r="AQ78" s="86"/>
      <c r="AR78" s="53"/>
      <c r="AS78" s="53"/>
      <c r="AT78" s="53"/>
      <c r="AU78" s="53"/>
      <c r="AV78" s="86"/>
      <c r="AW78" s="53"/>
      <c r="AX78" s="53"/>
      <c r="AY78" s="53"/>
      <c r="AZ78" s="53"/>
      <c r="BA78" s="86"/>
      <c r="BB78" s="53"/>
      <c r="BC78" s="53"/>
      <c r="BD78" s="53"/>
      <c r="BE78" s="53"/>
      <c r="BF78" s="86"/>
      <c r="BG78" s="86"/>
      <c r="BH78" s="86"/>
      <c r="BI78" s="86"/>
      <c r="BJ78" s="86"/>
      <c r="BK78" s="86"/>
      <c r="BL78" s="86"/>
      <c r="BM78" s="86"/>
      <c r="BN78" s="86"/>
      <c r="BO78" s="86"/>
      <c r="BP78" s="86"/>
      <c r="BQ78" s="86"/>
      <c r="BR78" s="86"/>
      <c r="BS78" s="86"/>
      <c r="BT78" s="86"/>
    </row>
    <row r="79" spans="1:73">
      <c r="C79" s="1" t="s">
        <v>76</v>
      </c>
      <c r="D79" s="53"/>
      <c r="E79" s="53"/>
      <c r="F79" s="53"/>
      <c r="G79" s="53"/>
      <c r="H79" s="86"/>
      <c r="I79" s="53"/>
      <c r="J79" s="53"/>
      <c r="K79" s="53"/>
      <c r="L79" s="53"/>
      <c r="M79" s="86"/>
      <c r="N79" s="53"/>
      <c r="O79" s="53"/>
      <c r="P79" s="53"/>
      <c r="Q79" s="53"/>
      <c r="R79" s="86"/>
      <c r="S79" s="53"/>
      <c r="T79" s="53"/>
      <c r="U79" s="53"/>
      <c r="V79" s="53"/>
      <c r="W79" s="86"/>
      <c r="X79" s="53"/>
      <c r="Y79" s="53"/>
      <c r="Z79" s="53"/>
      <c r="AA79" s="53"/>
      <c r="AB79" s="86"/>
      <c r="AC79" s="53"/>
      <c r="AD79" s="53"/>
      <c r="AE79" s="53"/>
      <c r="AF79" s="53"/>
      <c r="AG79" s="86"/>
      <c r="AH79" s="53"/>
      <c r="AI79" s="53"/>
      <c r="AJ79" s="53"/>
      <c r="AK79" s="53"/>
      <c r="AL79" s="86"/>
      <c r="AM79" s="53"/>
      <c r="AN79" s="53"/>
      <c r="AO79" s="53"/>
      <c r="AP79" s="53"/>
      <c r="AQ79" s="86"/>
      <c r="AR79" s="53"/>
      <c r="AS79" s="53"/>
      <c r="AT79" s="53"/>
      <c r="AU79" s="53"/>
      <c r="AV79" s="86"/>
      <c r="AW79" s="53"/>
      <c r="AX79" s="53"/>
      <c r="AY79" s="53"/>
      <c r="AZ79" s="53"/>
      <c r="BA79" s="86"/>
      <c r="BB79" s="53"/>
      <c r="BC79" s="53"/>
      <c r="BD79" s="53"/>
      <c r="BE79" s="53"/>
      <c r="BF79" s="86"/>
      <c r="BG79" s="86"/>
      <c r="BH79" s="86"/>
      <c r="BI79" s="86"/>
      <c r="BJ79" s="86"/>
      <c r="BK79" s="86"/>
      <c r="BL79" s="86"/>
      <c r="BM79" s="86"/>
      <c r="BN79" s="86"/>
      <c r="BO79" s="86"/>
      <c r="BP79" s="86"/>
      <c r="BQ79" s="86"/>
      <c r="BR79" s="86"/>
      <c r="BS79" s="86"/>
      <c r="BT79" s="86"/>
    </row>
    <row r="80" spans="1:73">
      <c r="C80" s="1" t="s">
        <v>74</v>
      </c>
      <c r="D80" s="20">
        <v>40.362000000000002</v>
      </c>
      <c r="E80" s="20">
        <v>41.209000000000003</v>
      </c>
      <c r="F80" s="20">
        <v>42.027999999999999</v>
      </c>
      <c r="G80" s="20">
        <v>42.366999999999997</v>
      </c>
      <c r="H80" s="87">
        <v>41.499000000000002</v>
      </c>
      <c r="I80" s="20">
        <v>53.923000000000002</v>
      </c>
      <c r="J80" s="20">
        <v>56.951999999999998</v>
      </c>
      <c r="K80" s="20">
        <v>57.703000000000003</v>
      </c>
      <c r="L80" s="20">
        <v>57.968000000000004</v>
      </c>
      <c r="M80" s="87">
        <v>56.643000000000001</v>
      </c>
      <c r="N80" s="20">
        <v>58.357999999999997</v>
      </c>
      <c r="O80" s="20">
        <v>58.737000000000002</v>
      </c>
      <c r="P80" s="20">
        <v>58.216999999999999</v>
      </c>
      <c r="Q80" s="20">
        <v>57.884</v>
      </c>
      <c r="R80" s="87">
        <v>58.298000000000002</v>
      </c>
      <c r="S80" s="20">
        <v>58.526000000000003</v>
      </c>
      <c r="T80" s="20">
        <v>59.518999999999998</v>
      </c>
      <c r="U80" s="20">
        <v>60.305</v>
      </c>
      <c r="V80" s="20">
        <v>60.606000000000002</v>
      </c>
      <c r="W80" s="87">
        <v>59.746000000000002</v>
      </c>
      <c r="X80" s="20">
        <v>60.802999999999997</v>
      </c>
      <c r="Y80" s="20">
        <v>61.19</v>
      </c>
      <c r="Z80" s="20">
        <v>61.435000000000002</v>
      </c>
      <c r="AA80" s="20">
        <v>61.491999999999997</v>
      </c>
      <c r="AB80" s="87">
        <v>61.231999999999999</v>
      </c>
      <c r="AC80" s="20">
        <v>61.142000000000003</v>
      </c>
      <c r="AD80" s="20">
        <v>60.499000000000002</v>
      </c>
      <c r="AE80" s="20">
        <v>60.436999999999998</v>
      </c>
      <c r="AF80" s="20">
        <v>59.93</v>
      </c>
      <c r="AG80" s="87">
        <v>60.5</v>
      </c>
      <c r="AH80" s="20">
        <v>59.88</v>
      </c>
      <c r="AI80" s="20">
        <v>60.1</v>
      </c>
      <c r="AJ80" s="20">
        <v>60.107999999999997</v>
      </c>
      <c r="AK80" s="20">
        <v>59.98</v>
      </c>
      <c r="AL80" s="87">
        <v>60.018000000000001</v>
      </c>
      <c r="AM80" s="20">
        <v>59.927999999999997</v>
      </c>
      <c r="AN80" s="20">
        <v>60.177</v>
      </c>
      <c r="AO80" s="88">
        <v>60.475999999999999</v>
      </c>
      <c r="AP80" s="88">
        <v>59.323</v>
      </c>
      <c r="AQ80" s="89">
        <f>AVERAGE(AM80:AP80)</f>
        <v>59.975999999999999</v>
      </c>
      <c r="AR80" s="88">
        <v>57.206000000000003</v>
      </c>
      <c r="AS80" s="20">
        <v>56.707000000000001</v>
      </c>
      <c r="AT80" s="20">
        <v>56.673999999999999</v>
      </c>
      <c r="AU80" s="20">
        <v>56.417999999999999</v>
      </c>
      <c r="AV80" s="90">
        <f>AVERAGE(AR80:AU80)</f>
        <v>56.751250000000006</v>
      </c>
      <c r="AW80" s="20">
        <v>55.956000000000003</v>
      </c>
      <c r="AX80" s="20">
        <v>55.412999999999997</v>
      </c>
      <c r="AY80" s="20">
        <v>55.545000000000002</v>
      </c>
      <c r="AZ80" s="20">
        <v>55.935000000000002</v>
      </c>
      <c r="BA80" s="197">
        <f>AVERAGE(AW80:AZ80)</f>
        <v>55.712249999999997</v>
      </c>
      <c r="BB80" s="20">
        <v>56.468000000000004</v>
      </c>
      <c r="BC80" s="196"/>
      <c r="BD80" s="196"/>
      <c r="BE80" s="196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</row>
    <row r="81" spans="3:73">
      <c r="C81" s="1" t="s">
        <v>75</v>
      </c>
      <c r="D81" s="20">
        <v>45.697000000000003</v>
      </c>
      <c r="E81" s="20">
        <v>46.600999999999999</v>
      </c>
      <c r="F81" s="20">
        <v>47.241</v>
      </c>
      <c r="G81" s="20">
        <v>47.451000000000001</v>
      </c>
      <c r="H81" s="87">
        <v>46.798000000000002</v>
      </c>
      <c r="I81" s="20">
        <v>58.084000000000003</v>
      </c>
      <c r="J81" s="20">
        <v>60.554000000000002</v>
      </c>
      <c r="K81" s="20">
        <v>60.883000000000003</v>
      </c>
      <c r="L81" s="20">
        <v>61.234000000000002</v>
      </c>
      <c r="M81" s="87">
        <v>60.195</v>
      </c>
      <c r="N81" s="20">
        <v>61.511000000000003</v>
      </c>
      <c r="O81" s="20">
        <v>61.567999999999998</v>
      </c>
      <c r="P81" s="20">
        <v>61.518999999999998</v>
      </c>
      <c r="Q81" s="20">
        <v>61.683999999999997</v>
      </c>
      <c r="R81" s="87">
        <v>61.569000000000003</v>
      </c>
      <c r="S81" s="20">
        <v>62.517000000000003</v>
      </c>
      <c r="T81" s="20">
        <v>62.378</v>
      </c>
      <c r="U81" s="20">
        <v>62.68</v>
      </c>
      <c r="V81" s="20">
        <v>62.851999999999997</v>
      </c>
      <c r="W81" s="87">
        <v>62.613999999999997</v>
      </c>
      <c r="X81" s="20">
        <v>62.963999999999999</v>
      </c>
      <c r="Y81" s="20">
        <v>63.09</v>
      </c>
      <c r="Z81" s="20">
        <v>63.154000000000003</v>
      </c>
      <c r="AA81" s="20">
        <v>62.927999999999997</v>
      </c>
      <c r="AB81" s="87">
        <v>63.036000000000001</v>
      </c>
      <c r="AC81" s="20">
        <v>62.473999999999997</v>
      </c>
      <c r="AD81" s="20">
        <v>61.832999999999998</v>
      </c>
      <c r="AE81" s="20">
        <v>61.795000000000002</v>
      </c>
      <c r="AF81" s="20">
        <v>61.033000000000001</v>
      </c>
      <c r="AG81" s="87">
        <v>61.87</v>
      </c>
      <c r="AH81" s="20">
        <v>61.177999999999997</v>
      </c>
      <c r="AI81" s="20">
        <v>61.463000000000001</v>
      </c>
      <c r="AJ81" s="20">
        <v>61.436</v>
      </c>
      <c r="AK81" s="20">
        <v>61.189</v>
      </c>
      <c r="AL81" s="87">
        <v>61.317</v>
      </c>
      <c r="AM81" s="20">
        <v>61.177999999999997</v>
      </c>
      <c r="AN81" s="20">
        <v>61.438000000000002</v>
      </c>
      <c r="AO81" s="88">
        <v>61.856999999999999</v>
      </c>
      <c r="AP81" s="88">
        <v>60.412999999999997</v>
      </c>
      <c r="AQ81" s="89">
        <f>AVERAGE(AM81:AP81)</f>
        <v>61.221500000000006</v>
      </c>
      <c r="AR81" s="88">
        <v>58.081000000000003</v>
      </c>
      <c r="AS81" s="20">
        <v>57.427</v>
      </c>
      <c r="AT81" s="20">
        <v>57.438000000000002</v>
      </c>
      <c r="AU81" s="20">
        <v>57.262</v>
      </c>
      <c r="AV81" s="90">
        <f>AVERAGE(AR81:AU81)</f>
        <v>57.552000000000007</v>
      </c>
      <c r="AW81" s="20">
        <v>56.792000000000002</v>
      </c>
      <c r="AX81" s="20">
        <v>55.863999999999997</v>
      </c>
      <c r="AY81" s="20">
        <v>56.235999999999997</v>
      </c>
      <c r="AZ81" s="20">
        <v>57.173999999999999</v>
      </c>
      <c r="BA81" s="197">
        <f>AVERAGE(AW81:AZ81)</f>
        <v>56.516500000000001</v>
      </c>
      <c r="BB81" s="20">
        <v>58.393000000000001</v>
      </c>
      <c r="BC81" s="196"/>
      <c r="BD81" s="196"/>
      <c r="BE81" s="196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</row>
    <row r="82" spans="3:73">
      <c r="C82" s="2"/>
      <c r="D82" s="46"/>
      <c r="E82" s="46"/>
      <c r="F82" s="46"/>
      <c r="G82" s="46"/>
      <c r="H82" s="2"/>
      <c r="I82" s="46"/>
      <c r="J82" s="46"/>
      <c r="K82" s="46"/>
      <c r="L82" s="46"/>
      <c r="M82" s="2"/>
      <c r="N82" s="46"/>
      <c r="O82" s="46"/>
      <c r="P82" s="46"/>
      <c r="Q82" s="46"/>
      <c r="R82" s="2"/>
      <c r="S82" s="46"/>
      <c r="T82" s="46"/>
      <c r="U82" s="46"/>
      <c r="V82" s="46"/>
      <c r="W82" s="2"/>
      <c r="X82" s="46"/>
      <c r="Y82" s="46"/>
      <c r="Z82" s="46"/>
      <c r="AA82" s="46"/>
      <c r="AB82" s="2"/>
      <c r="AC82" s="46"/>
      <c r="AD82" s="46"/>
      <c r="AE82" s="46"/>
      <c r="AF82" s="46"/>
      <c r="AG82" s="2"/>
      <c r="AH82" s="46"/>
      <c r="AI82" s="46"/>
      <c r="AJ82" s="46"/>
      <c r="AK82" s="46"/>
      <c r="AL82" s="2"/>
      <c r="AM82" s="46"/>
      <c r="AN82" s="46"/>
      <c r="AO82" s="46"/>
      <c r="AP82" s="46"/>
      <c r="AQ82" s="2"/>
      <c r="AR82" s="46"/>
      <c r="AS82" s="46"/>
      <c r="AT82" s="46"/>
      <c r="AU82" s="46"/>
      <c r="AV82" s="92"/>
      <c r="AW82" s="29"/>
      <c r="AX82" s="29"/>
      <c r="AY82" s="29"/>
      <c r="AZ82" s="29"/>
      <c r="BA82" s="92"/>
      <c r="BB82" s="29"/>
      <c r="BC82" s="29"/>
      <c r="BD82" s="29"/>
      <c r="BE82" s="29"/>
      <c r="BF82" s="92"/>
      <c r="BG82" s="92"/>
      <c r="BH82" s="92"/>
      <c r="BI82" s="92"/>
      <c r="BJ82" s="92"/>
      <c r="BK82" s="92"/>
      <c r="BL82" s="92"/>
      <c r="BM82" s="92"/>
      <c r="BN82" s="92"/>
      <c r="BO82" s="92"/>
      <c r="BP82" s="92"/>
      <c r="BQ82" s="92"/>
      <c r="BR82" s="92"/>
      <c r="BS82" s="92"/>
      <c r="BT82" s="92"/>
      <c r="BU82" s="2"/>
    </row>
    <row r="83" spans="3:73">
      <c r="C83" s="171" t="s">
        <v>77</v>
      </c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AW83" s="169"/>
      <c r="AX83" s="169"/>
      <c r="AY83" s="169"/>
      <c r="AZ83" s="169"/>
      <c r="BA83" s="169"/>
      <c r="BB83" s="169"/>
      <c r="BC83" s="169"/>
      <c r="BD83" s="169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  <c r="BQ83" s="169"/>
      <c r="BR83" s="169"/>
      <c r="BS83" s="169"/>
      <c r="BT83" s="169"/>
      <c r="BU83" s="22"/>
    </row>
    <row r="84" spans="3:73">
      <c r="C84" s="2"/>
      <c r="D84" s="46"/>
      <c r="E84" s="46"/>
      <c r="F84" s="46"/>
      <c r="G84" s="46"/>
      <c r="H84" s="2"/>
      <c r="I84" s="46"/>
      <c r="J84" s="46"/>
      <c r="K84" s="46"/>
      <c r="L84" s="46"/>
      <c r="M84" s="2"/>
      <c r="N84" s="46"/>
      <c r="O84" s="46"/>
      <c r="P84" s="46"/>
      <c r="Q84" s="46"/>
      <c r="R84" s="2"/>
      <c r="S84" s="46"/>
      <c r="T84" s="46"/>
      <c r="U84" s="46"/>
      <c r="V84" s="46"/>
      <c r="W84" s="2"/>
      <c r="X84" s="46"/>
      <c r="Y84" s="46"/>
      <c r="Z84" s="46"/>
      <c r="AA84" s="46"/>
      <c r="AB84" s="2"/>
      <c r="AC84" s="46"/>
      <c r="AD84" s="46"/>
      <c r="AE84" s="46"/>
      <c r="AF84" s="46"/>
      <c r="AG84" s="2"/>
      <c r="AH84" s="46"/>
      <c r="AI84" s="46"/>
      <c r="AJ84" s="46"/>
      <c r="AK84" s="46"/>
      <c r="AL84" s="2"/>
      <c r="AM84" s="46"/>
      <c r="AN84" s="46"/>
      <c r="AO84" s="46"/>
      <c r="AP84" s="46"/>
      <c r="AQ84" s="2"/>
      <c r="AR84" s="46"/>
      <c r="AS84" s="46"/>
      <c r="AT84" s="46"/>
      <c r="AU84" s="46"/>
      <c r="AV84" s="2"/>
      <c r="AW84" s="46"/>
      <c r="AX84" s="46"/>
      <c r="AY84" s="46"/>
      <c r="AZ84" s="46"/>
      <c r="BA84" s="2"/>
      <c r="BB84" s="46"/>
      <c r="BC84" s="46"/>
      <c r="BD84" s="46"/>
      <c r="BE84" s="46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</row>
    <row r="85" spans="3:73">
      <c r="C85" s="1" t="s">
        <v>78</v>
      </c>
      <c r="D85" s="17">
        <f t="shared" ref="D85:AP85" si="126">D60</f>
        <v>2.8090000000000002</v>
      </c>
      <c r="E85" s="17">
        <f t="shared" si="126"/>
        <v>3.37</v>
      </c>
      <c r="F85" s="17">
        <f t="shared" si="126"/>
        <v>3.9009999999999998</v>
      </c>
      <c r="G85" s="17">
        <f t="shared" si="126"/>
        <v>3.8620000000000001</v>
      </c>
      <c r="H85" s="93">
        <f t="shared" si="126"/>
        <v>13.942</v>
      </c>
      <c r="I85" s="17">
        <f t="shared" si="126"/>
        <v>7.7439999999999998</v>
      </c>
      <c r="J85" s="17">
        <f t="shared" si="126"/>
        <v>15.37</v>
      </c>
      <c r="K85" s="17">
        <f t="shared" si="126"/>
        <v>32.628999999999998</v>
      </c>
      <c r="L85" s="17">
        <f t="shared" si="126"/>
        <v>25.763000000000002</v>
      </c>
      <c r="M85" s="93">
        <f t="shared" si="126"/>
        <v>81.506</v>
      </c>
      <c r="N85" s="17">
        <f t="shared" si="126"/>
        <v>27.22</v>
      </c>
      <c r="O85" s="17">
        <f t="shared" si="126"/>
        <v>25.030999999999999</v>
      </c>
      <c r="P85" s="17">
        <f t="shared" si="126"/>
        <v>24.251999999999999</v>
      </c>
      <c r="Q85" s="17">
        <f t="shared" si="126"/>
        <v>25.643000000000001</v>
      </c>
      <c r="R85" s="93">
        <f t="shared" si="126"/>
        <v>102.146</v>
      </c>
      <c r="S85" s="17">
        <f t="shared" si="126"/>
        <v>30.923999999999999</v>
      </c>
      <c r="T85" s="17">
        <f t="shared" si="126"/>
        <v>30.692</v>
      </c>
      <c r="U85" s="17">
        <f t="shared" si="126"/>
        <v>26.994</v>
      </c>
      <c r="V85" s="17">
        <f t="shared" si="126"/>
        <v>28.808</v>
      </c>
      <c r="W85" s="93">
        <f t="shared" si="126"/>
        <v>117.41800000000001</v>
      </c>
      <c r="X85" s="17">
        <f t="shared" si="126"/>
        <v>28.297999999999998</v>
      </c>
      <c r="Y85" s="17">
        <f t="shared" si="126"/>
        <v>21.812999999999999</v>
      </c>
      <c r="Z85" s="17">
        <f t="shared" si="126"/>
        <v>28.385000000000002</v>
      </c>
      <c r="AA85" s="17">
        <f t="shared" si="126"/>
        <v>24.03</v>
      </c>
      <c r="AB85" s="93">
        <f t="shared" si="126"/>
        <v>102.526</v>
      </c>
      <c r="AC85" s="17">
        <f t="shared" si="126"/>
        <v>23.439</v>
      </c>
      <c r="AD85" s="17">
        <f t="shared" si="126"/>
        <v>23.98</v>
      </c>
      <c r="AE85" s="17">
        <f t="shared" si="126"/>
        <v>24.311</v>
      </c>
      <c r="AF85" s="17">
        <f t="shared" si="126"/>
        <v>33.655999999999999</v>
      </c>
      <c r="AG85" s="93">
        <f t="shared" si="126"/>
        <v>105.386</v>
      </c>
      <c r="AH85" s="17">
        <f t="shared" si="126"/>
        <v>25.065000000000001</v>
      </c>
      <c r="AI85" s="17">
        <f t="shared" si="126"/>
        <v>28.672000000000001</v>
      </c>
      <c r="AJ85" s="17">
        <f t="shared" si="126"/>
        <v>31.202999999999999</v>
      </c>
      <c r="AK85" s="17">
        <f t="shared" si="126"/>
        <v>25.248000000000001</v>
      </c>
      <c r="AL85" s="93">
        <f t="shared" si="126"/>
        <v>110.188</v>
      </c>
      <c r="AM85" s="17">
        <f t="shared" si="126"/>
        <v>33.918999999999997</v>
      </c>
      <c r="AN85" s="17">
        <f t="shared" si="126"/>
        <v>34.713999999999999</v>
      </c>
      <c r="AO85" s="17">
        <f t="shared" si="126"/>
        <v>26.574000000000002</v>
      </c>
      <c r="AP85" s="17">
        <f t="shared" si="126"/>
        <v>26.337</v>
      </c>
      <c r="AQ85" s="19">
        <f>AQ87-AQ86</f>
        <v>121.544</v>
      </c>
      <c r="AR85" s="17">
        <f t="shared" ref="AR85" si="127">AR60</f>
        <v>33.506</v>
      </c>
      <c r="AS85" s="17">
        <f>AS60</f>
        <v>27.675999999999998</v>
      </c>
      <c r="AT85" s="17">
        <f>AT60</f>
        <v>31.4</v>
      </c>
      <c r="AU85" s="17">
        <f>AU60</f>
        <v>35.347999999999999</v>
      </c>
      <c r="AV85" s="19">
        <f>AV87-AV86</f>
        <v>127.92999999999999</v>
      </c>
      <c r="AW85" s="17">
        <f>AW60</f>
        <v>28.657</v>
      </c>
      <c r="AX85" s="17">
        <f>AX60</f>
        <v>28.007999999999999</v>
      </c>
      <c r="AY85" s="17">
        <f>AY60</f>
        <v>42.094999999999999</v>
      </c>
      <c r="AZ85" s="17">
        <f>AZ60</f>
        <v>50.156999999999996</v>
      </c>
      <c r="BA85" s="19">
        <f>BA87-BA86</f>
        <v>148.91699999999997</v>
      </c>
      <c r="BB85" s="17">
        <f>BB60</f>
        <v>40.189</v>
      </c>
      <c r="BC85" s="29"/>
      <c r="BD85" s="29"/>
      <c r="BE85" s="2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</row>
    <row r="86" spans="3:73" ht="15.6">
      <c r="C86" s="16" t="s">
        <v>79</v>
      </c>
      <c r="D86" s="94"/>
      <c r="E86" s="94">
        <v>-0.14899999999999999</v>
      </c>
      <c r="F86" s="94">
        <v>-0.20100000000000001</v>
      </c>
      <c r="G86" s="94">
        <v>-0.19400000000000001</v>
      </c>
      <c r="H86" s="95">
        <f>SUM(D86:G86)</f>
        <v>-0.54400000000000004</v>
      </c>
      <c r="I86" s="94">
        <v>-1.669</v>
      </c>
      <c r="J86" s="94">
        <v>-4.3049999999999997</v>
      </c>
      <c r="K86" s="94">
        <v>-10.771000000000001</v>
      </c>
      <c r="L86" s="94">
        <v>-2.6139999999999999</v>
      </c>
      <c r="M86" s="95">
        <f>SUM(I86:L86)</f>
        <v>-19.359000000000002</v>
      </c>
      <c r="N86" s="94">
        <v>-2.2959999999999998</v>
      </c>
      <c r="O86" s="94">
        <v>-1.633</v>
      </c>
      <c r="P86" s="94">
        <v>-1.103</v>
      </c>
      <c r="Q86" s="94">
        <v>-1.1499999999999999</v>
      </c>
      <c r="R86" s="95">
        <f>SUM(N86:Q86)</f>
        <v>-6.1820000000000004</v>
      </c>
      <c r="S86" s="94">
        <v>-8.2080000000000002</v>
      </c>
      <c r="T86" s="94">
        <v>-4.0739999999999998</v>
      </c>
      <c r="U86" s="94">
        <v>-0.24</v>
      </c>
      <c r="V86" s="94">
        <v>-0.67100000000000004</v>
      </c>
      <c r="W86" s="95">
        <f>SUM(S86:V86)</f>
        <v>-13.193</v>
      </c>
      <c r="X86" s="94">
        <v>-0.69499999999999995</v>
      </c>
      <c r="Y86" s="94">
        <v>-0.77200000000000002</v>
      </c>
      <c r="Z86" s="94">
        <v>-0.78600000000000003</v>
      </c>
      <c r="AA86" s="94">
        <v>-1.821</v>
      </c>
      <c r="AB86" s="95">
        <f>SUM(X86:AA86)</f>
        <v>-4.0739999999999998</v>
      </c>
      <c r="AC86" s="94">
        <v>-0.79900000000000004</v>
      </c>
      <c r="AD86" s="94">
        <v>-0.96299999999999997</v>
      </c>
      <c r="AE86" s="94">
        <v>-1.3480000000000001</v>
      </c>
      <c r="AF86" s="94">
        <v>-1.4790000000000001</v>
      </c>
      <c r="AG86" s="95">
        <f>SUM(AC86:AF86)</f>
        <v>-4.5890000000000004</v>
      </c>
      <c r="AH86" s="94">
        <v>-1.246</v>
      </c>
      <c r="AI86" s="94">
        <v>-1.5269999999999999</v>
      </c>
      <c r="AJ86" s="94">
        <v>-1.573</v>
      </c>
      <c r="AK86" s="94">
        <v>-1.466</v>
      </c>
      <c r="AL86" s="95">
        <f>SUM(AH86:AK86)</f>
        <v>-5.8120000000000003</v>
      </c>
      <c r="AM86" s="94">
        <v>-1.694</v>
      </c>
      <c r="AN86" s="94">
        <v>-1.8029999999999999</v>
      </c>
      <c r="AO86" s="94">
        <v>-1.5249999999999999</v>
      </c>
      <c r="AP86" s="94">
        <f>-1.612</f>
        <v>-1.6120000000000001</v>
      </c>
      <c r="AQ86" s="96">
        <f>SUM(AM86:AP86)</f>
        <v>-6.6340000000000003</v>
      </c>
      <c r="AR86" s="94">
        <f>-1.659</f>
        <v>-1.659</v>
      </c>
      <c r="AS86" s="97">
        <v>-1.708</v>
      </c>
      <c r="AT86" s="97">
        <v>-1.9850000000000001</v>
      </c>
      <c r="AU86" s="97">
        <f>-1.285</f>
        <v>-1.2849999999999999</v>
      </c>
      <c r="AV86" s="96">
        <f>SUM(AR86:AU86)</f>
        <v>-6.6370000000000005</v>
      </c>
      <c r="AW86" s="97">
        <f>-1.673</f>
        <v>-1.673</v>
      </c>
      <c r="AX86" s="97">
        <f>-1.921</f>
        <v>-1.921</v>
      </c>
      <c r="AY86" s="97">
        <f>-1.919</f>
        <v>-1.919</v>
      </c>
      <c r="AZ86" s="97">
        <v>-1.859</v>
      </c>
      <c r="BA86" s="96">
        <f>SUM(AW86:AZ86)</f>
        <v>-7.3719999999999999</v>
      </c>
      <c r="BB86" s="97">
        <v>-1.996</v>
      </c>
      <c r="BC86" s="26"/>
      <c r="BD86" s="26"/>
      <c r="BE86" s="26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</row>
    <row r="87" spans="3:73">
      <c r="C87" s="1" t="s">
        <v>80</v>
      </c>
      <c r="D87" s="29">
        <f t="shared" ref="D87:AM87" si="128">D85+D86</f>
        <v>2.8090000000000002</v>
      </c>
      <c r="E87" s="29">
        <f t="shared" si="128"/>
        <v>3.2210000000000001</v>
      </c>
      <c r="F87" s="29">
        <f t="shared" si="128"/>
        <v>3.6999999999999997</v>
      </c>
      <c r="G87" s="29">
        <f t="shared" si="128"/>
        <v>3.6680000000000001</v>
      </c>
      <c r="H87" s="69">
        <f t="shared" si="128"/>
        <v>13.398</v>
      </c>
      <c r="I87" s="29">
        <f t="shared" si="128"/>
        <v>6.0749999999999993</v>
      </c>
      <c r="J87" s="29">
        <f t="shared" si="128"/>
        <v>11.065</v>
      </c>
      <c r="K87" s="29">
        <f t="shared" si="128"/>
        <v>21.857999999999997</v>
      </c>
      <c r="L87" s="29">
        <f t="shared" si="128"/>
        <v>23.149000000000001</v>
      </c>
      <c r="M87" s="69">
        <f t="shared" si="128"/>
        <v>62.146999999999998</v>
      </c>
      <c r="N87" s="29">
        <f t="shared" si="128"/>
        <v>24.923999999999999</v>
      </c>
      <c r="O87" s="29">
        <f t="shared" si="128"/>
        <v>23.398</v>
      </c>
      <c r="P87" s="29">
        <f t="shared" si="128"/>
        <v>23.148999999999997</v>
      </c>
      <c r="Q87" s="29">
        <f t="shared" si="128"/>
        <v>24.493000000000002</v>
      </c>
      <c r="R87" s="69">
        <f t="shared" si="128"/>
        <v>95.963999999999999</v>
      </c>
      <c r="S87" s="29">
        <f t="shared" si="128"/>
        <v>22.716000000000001</v>
      </c>
      <c r="T87" s="29">
        <f t="shared" si="128"/>
        <v>26.618000000000002</v>
      </c>
      <c r="U87" s="29">
        <f t="shared" si="128"/>
        <v>26.754000000000001</v>
      </c>
      <c r="V87" s="29">
        <f t="shared" si="128"/>
        <v>28.137</v>
      </c>
      <c r="W87" s="69">
        <f t="shared" si="128"/>
        <v>104.22500000000001</v>
      </c>
      <c r="X87" s="29">
        <f t="shared" si="128"/>
        <v>27.602999999999998</v>
      </c>
      <c r="Y87" s="29">
        <f t="shared" si="128"/>
        <v>21.041</v>
      </c>
      <c r="Z87" s="29">
        <f t="shared" si="128"/>
        <v>27.599</v>
      </c>
      <c r="AA87" s="29">
        <f t="shared" si="128"/>
        <v>22.209</v>
      </c>
      <c r="AB87" s="69">
        <f t="shared" si="128"/>
        <v>98.451999999999998</v>
      </c>
      <c r="AC87" s="29">
        <f t="shared" si="128"/>
        <v>22.64</v>
      </c>
      <c r="AD87" s="29">
        <f t="shared" si="128"/>
        <v>23.016999999999999</v>
      </c>
      <c r="AE87" s="29">
        <f t="shared" si="128"/>
        <v>22.963000000000001</v>
      </c>
      <c r="AF87" s="29">
        <f t="shared" si="128"/>
        <v>32.177</v>
      </c>
      <c r="AG87" s="69">
        <f t="shared" si="128"/>
        <v>100.797</v>
      </c>
      <c r="AH87" s="29">
        <f t="shared" si="128"/>
        <v>23.819000000000003</v>
      </c>
      <c r="AI87" s="29">
        <f t="shared" si="128"/>
        <v>27.145</v>
      </c>
      <c r="AJ87" s="29">
        <f t="shared" si="128"/>
        <v>29.63</v>
      </c>
      <c r="AK87" s="29">
        <f t="shared" si="128"/>
        <v>23.782</v>
      </c>
      <c r="AL87" s="69">
        <f t="shared" si="128"/>
        <v>104.376</v>
      </c>
      <c r="AM87" s="29">
        <f t="shared" si="128"/>
        <v>32.224999999999994</v>
      </c>
      <c r="AN87" s="29">
        <f>AN85+AN86</f>
        <v>32.911000000000001</v>
      </c>
      <c r="AO87" s="29">
        <f>AO85+AO86</f>
        <v>25.049000000000003</v>
      </c>
      <c r="AP87" s="29">
        <f>AP85+AP86</f>
        <v>24.725000000000001</v>
      </c>
      <c r="AQ87" s="99">
        <f>AQ24</f>
        <v>114.91</v>
      </c>
      <c r="AR87" s="29">
        <f>AR85+AR86</f>
        <v>31.847000000000001</v>
      </c>
      <c r="AS87" s="29">
        <f>AS85+AS86</f>
        <v>25.968</v>
      </c>
      <c r="AT87" s="29">
        <f>AT85+AT86</f>
        <v>29.414999999999999</v>
      </c>
      <c r="AU87" s="29">
        <f>AU85+AU86</f>
        <v>34.063000000000002</v>
      </c>
      <c r="AV87" s="36">
        <f t="shared" ref="AV87" si="129">AV24</f>
        <v>121.29299999999999</v>
      </c>
      <c r="AW87" s="29">
        <f>AW85+AW86</f>
        <v>26.984000000000002</v>
      </c>
      <c r="AX87" s="29">
        <f>AX85+AX86</f>
        <v>26.087</v>
      </c>
      <c r="AY87" s="29">
        <f>AY85+AY86</f>
        <v>40.176000000000002</v>
      </c>
      <c r="AZ87" s="29">
        <f>AZ85+AZ86</f>
        <v>48.297999999999995</v>
      </c>
      <c r="BA87" s="36">
        <f t="shared" ref="BA87" si="130">BA24</f>
        <v>141.54499999999999</v>
      </c>
      <c r="BB87" s="29">
        <f>BB85+BB86</f>
        <v>38.192999999999998</v>
      </c>
      <c r="BC87" s="77"/>
      <c r="BD87" s="77"/>
      <c r="BE87" s="77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</row>
    <row r="88" spans="3:73">
      <c r="D88" s="46"/>
      <c r="E88" s="46"/>
      <c r="F88" s="46"/>
      <c r="G88" s="46"/>
      <c r="I88" s="46"/>
      <c r="J88" s="46"/>
      <c r="K88" s="46"/>
      <c r="L88" s="46"/>
      <c r="N88" s="46"/>
      <c r="O88" s="46"/>
      <c r="P88" s="46"/>
      <c r="Q88" s="46"/>
      <c r="S88" s="46"/>
      <c r="T88" s="46"/>
      <c r="U88" s="46"/>
      <c r="V88" s="46"/>
      <c r="X88" s="46"/>
      <c r="Y88" s="46"/>
      <c r="Z88" s="46"/>
      <c r="AA88" s="46"/>
      <c r="AC88" s="46"/>
      <c r="AD88" s="46"/>
      <c r="AE88" s="46"/>
      <c r="AF88" s="46"/>
      <c r="AH88" s="46"/>
      <c r="AI88" s="46"/>
      <c r="AJ88" s="46"/>
      <c r="AK88" s="46"/>
      <c r="AM88" s="46"/>
      <c r="AN88" s="46"/>
      <c r="AO88" s="46"/>
      <c r="AP88" s="46"/>
      <c r="AQ88" s="22"/>
      <c r="AR88" s="46"/>
      <c r="AS88" s="46"/>
      <c r="AT88" s="46"/>
      <c r="AU88" s="46"/>
      <c r="AV88" s="22"/>
      <c r="AW88" s="46"/>
      <c r="AX88" s="46"/>
      <c r="AY88" s="46"/>
      <c r="AZ88" s="46"/>
      <c r="BA88" s="22"/>
      <c r="BB88" s="46"/>
      <c r="BC88" s="46"/>
      <c r="BD88" s="46"/>
      <c r="BE88" s="46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</row>
    <row r="89" spans="3:73">
      <c r="C89" s="1" t="s">
        <v>81</v>
      </c>
      <c r="D89" s="17">
        <f t="shared" ref="D89:AP89" si="131">D63</f>
        <v>3.6949999999999998</v>
      </c>
      <c r="E89" s="17">
        <f t="shared" si="131"/>
        <v>3.3820000000000001</v>
      </c>
      <c r="F89" s="17">
        <f t="shared" si="131"/>
        <v>3.2789999999999999</v>
      </c>
      <c r="G89" s="17">
        <f t="shared" si="131"/>
        <v>3.7639999999999998</v>
      </c>
      <c r="H89" s="93">
        <f t="shared" si="131"/>
        <v>14.12</v>
      </c>
      <c r="I89" s="17">
        <f t="shared" si="131"/>
        <v>3.9590000000000001</v>
      </c>
      <c r="J89" s="17">
        <f t="shared" si="131"/>
        <v>2.3210000000000002</v>
      </c>
      <c r="K89" s="17">
        <f t="shared" si="131"/>
        <v>6.92</v>
      </c>
      <c r="L89" s="17">
        <f t="shared" si="131"/>
        <v>7.2770000000000001</v>
      </c>
      <c r="M89" s="93">
        <f t="shared" si="131"/>
        <v>20.477</v>
      </c>
      <c r="N89" s="17">
        <f t="shared" si="131"/>
        <v>6.7469999999999999</v>
      </c>
      <c r="O89" s="17">
        <f t="shared" si="131"/>
        <v>9.25</v>
      </c>
      <c r="P89" s="17">
        <f t="shared" si="131"/>
        <v>12.814</v>
      </c>
      <c r="Q89" s="17">
        <f t="shared" si="131"/>
        <v>13.808999999999999</v>
      </c>
      <c r="R89" s="93">
        <f t="shared" si="131"/>
        <v>42.62</v>
      </c>
      <c r="S89" s="17">
        <f t="shared" si="131"/>
        <v>18.109000000000002</v>
      </c>
      <c r="T89" s="17">
        <f t="shared" si="131"/>
        <v>20.09</v>
      </c>
      <c r="U89" s="17">
        <f t="shared" si="131"/>
        <v>22.422999999999998</v>
      </c>
      <c r="V89" s="17">
        <f t="shared" si="131"/>
        <v>24.559000000000001</v>
      </c>
      <c r="W89" s="93">
        <f t="shared" si="131"/>
        <v>85.180999999999997</v>
      </c>
      <c r="X89" s="17">
        <f t="shared" si="131"/>
        <v>27.181000000000001</v>
      </c>
      <c r="Y89" s="17">
        <f t="shared" si="131"/>
        <v>27.832999999999998</v>
      </c>
      <c r="Z89" s="17">
        <f t="shared" si="131"/>
        <v>50.783999999999999</v>
      </c>
      <c r="AA89" s="17">
        <f t="shared" si="131"/>
        <v>29.454999999999998</v>
      </c>
      <c r="AB89" s="93">
        <f t="shared" si="131"/>
        <v>135.25299999999999</v>
      </c>
      <c r="AC89" s="17">
        <f t="shared" si="131"/>
        <v>31.251999999999999</v>
      </c>
      <c r="AD89" s="17">
        <f t="shared" si="131"/>
        <v>39.091000000000001</v>
      </c>
      <c r="AE89" s="17">
        <f t="shared" si="131"/>
        <v>47.795999999999999</v>
      </c>
      <c r="AF89" s="17">
        <f t="shared" si="131"/>
        <v>44.158000000000001</v>
      </c>
      <c r="AG89" s="93">
        <f t="shared" si="131"/>
        <v>162.29700000000003</v>
      </c>
      <c r="AH89" s="17">
        <f t="shared" si="131"/>
        <v>44.927999999999997</v>
      </c>
      <c r="AI89" s="17">
        <f t="shared" si="131"/>
        <v>40.156999999999996</v>
      </c>
      <c r="AJ89" s="17">
        <f t="shared" si="131"/>
        <v>47.362000000000002</v>
      </c>
      <c r="AK89" s="17">
        <f t="shared" si="131"/>
        <v>65.995000000000005</v>
      </c>
      <c r="AL89" s="93">
        <f t="shared" si="131"/>
        <v>198.44200000000001</v>
      </c>
      <c r="AM89" s="17">
        <f t="shared" si="131"/>
        <v>62.667000000000002</v>
      </c>
      <c r="AN89" s="17">
        <f t="shared" si="131"/>
        <v>56.131999999999998</v>
      </c>
      <c r="AO89" s="17">
        <f t="shared" si="131"/>
        <v>51.16</v>
      </c>
      <c r="AP89" s="17">
        <f t="shared" si="131"/>
        <v>56.656999999999996</v>
      </c>
      <c r="AQ89" s="19">
        <f>AQ91-AQ90</f>
        <v>226.61600000000001</v>
      </c>
      <c r="AR89" s="17">
        <f t="shared" ref="AR89" si="132">AR63</f>
        <v>60.104999999999997</v>
      </c>
      <c r="AS89" s="17">
        <f>AS63</f>
        <v>62.384</v>
      </c>
      <c r="AT89" s="17">
        <f>AT63</f>
        <v>79.855000000000004</v>
      </c>
      <c r="AU89" s="17">
        <f>AU63</f>
        <v>97.382000000000005</v>
      </c>
      <c r="AV89" s="19">
        <f>AV91-AV90</f>
        <v>299.726</v>
      </c>
      <c r="AW89" s="17">
        <f>AW63</f>
        <v>86.106999999999999</v>
      </c>
      <c r="AX89" s="17">
        <f>AX63</f>
        <v>78.921999999999997</v>
      </c>
      <c r="AY89" s="17">
        <f>AY63</f>
        <v>78.647000000000006</v>
      </c>
      <c r="AZ89" s="17">
        <f>AZ63</f>
        <v>91.698999999999998</v>
      </c>
      <c r="BA89" s="19">
        <f>BA91-BA90</f>
        <v>335.37500000000006</v>
      </c>
      <c r="BB89" s="17">
        <f>BB63</f>
        <v>76.572999999999993</v>
      </c>
      <c r="BC89" s="29"/>
      <c r="BD89" s="29"/>
      <c r="BE89" s="2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</row>
    <row r="90" spans="3:73" ht="15.6">
      <c r="C90" s="16" t="s">
        <v>79</v>
      </c>
      <c r="D90" s="94">
        <v>-0.65600000000000003</v>
      </c>
      <c r="E90" s="94">
        <v>-0.84799999999999998</v>
      </c>
      <c r="F90" s="94">
        <v>-0.83799999999999997</v>
      </c>
      <c r="G90" s="94">
        <v>-2.1459999999999999</v>
      </c>
      <c r="H90" s="95">
        <f>SUM(D90:G90)</f>
        <v>-4.4879999999999995</v>
      </c>
      <c r="I90" s="94">
        <v>-0.51500000000000001</v>
      </c>
      <c r="J90" s="94">
        <v>-0.52200000000000002</v>
      </c>
      <c r="K90" s="94">
        <v>-0.68100000000000005</v>
      </c>
      <c r="L90" s="94">
        <v>-0.92200000000000004</v>
      </c>
      <c r="M90" s="95">
        <f>SUM(I90:L90)</f>
        <v>-2.64</v>
      </c>
      <c r="N90" s="94">
        <v>-1.0640000000000001</v>
      </c>
      <c r="O90" s="94">
        <v>-1.5529999999999999</v>
      </c>
      <c r="P90" s="94">
        <v>-2.9359999999999999</v>
      </c>
      <c r="Q90" s="94">
        <v>-2.8050000000000002</v>
      </c>
      <c r="R90" s="95">
        <f>SUM(N90:Q90)</f>
        <v>-8.3580000000000005</v>
      </c>
      <c r="S90" s="94">
        <v>-2.7810000000000001</v>
      </c>
      <c r="T90" s="94">
        <v>-3.58</v>
      </c>
      <c r="U90" s="94">
        <v>-4.0549999999999997</v>
      </c>
      <c r="V90" s="94">
        <v>-3.395</v>
      </c>
      <c r="W90" s="95">
        <f>SUM(S90:V90)</f>
        <v>-13.811</v>
      </c>
      <c r="X90" s="94">
        <v>-3.4849999999999999</v>
      </c>
      <c r="Y90" s="94">
        <v>-3.8660000000000001</v>
      </c>
      <c r="Z90" s="94">
        <v>-27.786000000000001</v>
      </c>
      <c r="AA90" s="94">
        <v>-3.4380000000000002</v>
      </c>
      <c r="AB90" s="95">
        <f>SUM(X90:AA90)</f>
        <v>-38.575000000000003</v>
      </c>
      <c r="AC90" s="94">
        <v>-3.29</v>
      </c>
      <c r="AD90" s="94">
        <v>-3.5289999999999999</v>
      </c>
      <c r="AE90" s="94">
        <v>-4.4729999999999999</v>
      </c>
      <c r="AF90" s="94">
        <v>-4.5389999999999997</v>
      </c>
      <c r="AG90" s="95">
        <f>SUM(AC90:AF90)</f>
        <v>-15.831</v>
      </c>
      <c r="AH90" s="94">
        <v>-4.1420000000000003</v>
      </c>
      <c r="AI90" s="94">
        <v>-4.859</v>
      </c>
      <c r="AJ90" s="94">
        <v>-4.6500000000000004</v>
      </c>
      <c r="AK90" s="94">
        <v>-22.719000000000001</v>
      </c>
      <c r="AL90" s="95">
        <f>SUM(AH90:AK90)</f>
        <v>-36.370000000000005</v>
      </c>
      <c r="AM90" s="94">
        <v>-15.375</v>
      </c>
      <c r="AN90" s="94">
        <v>-4.7089999999999996</v>
      </c>
      <c r="AO90" s="94">
        <v>-4.5999999999999996</v>
      </c>
      <c r="AP90" s="94">
        <f>-5.353</f>
        <v>-5.3529999999999998</v>
      </c>
      <c r="AQ90" s="96">
        <f>SUM(AM90:AP90)</f>
        <v>-30.036999999999999</v>
      </c>
      <c r="AR90" s="94">
        <f>-5.523</f>
        <v>-5.5229999999999997</v>
      </c>
      <c r="AS90" s="97">
        <v>-5.8959999999999999</v>
      </c>
      <c r="AT90" s="97">
        <v>-6.4980000000000002</v>
      </c>
      <c r="AU90" s="97">
        <f>-7.312</f>
        <v>-7.3120000000000003</v>
      </c>
      <c r="AV90" s="96">
        <f>SUM(AR90:AU90)</f>
        <v>-25.229000000000003</v>
      </c>
      <c r="AW90" s="97">
        <f>-6.385</f>
        <v>-6.3849999999999998</v>
      </c>
      <c r="AX90" s="97">
        <f>-7.663</f>
        <v>-7.6630000000000003</v>
      </c>
      <c r="AY90" s="97">
        <f>-7.463</f>
        <v>-7.4630000000000001</v>
      </c>
      <c r="AZ90" s="97">
        <v>-7.7309999999999999</v>
      </c>
      <c r="BA90" s="96">
        <f>SUM(AW90:AZ90)</f>
        <v>-29.241999999999997</v>
      </c>
      <c r="BB90" s="97">
        <v>-8.6430000000000007</v>
      </c>
      <c r="BC90" s="26"/>
      <c r="BD90" s="26"/>
      <c r="BE90" s="26"/>
      <c r="BF90" s="40"/>
      <c r="BG90" s="40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</row>
    <row r="91" spans="3:73">
      <c r="C91" s="1" t="s">
        <v>82</v>
      </c>
      <c r="D91" s="29">
        <f t="shared" ref="D91:AM91" si="133">D89+D90</f>
        <v>3.0389999999999997</v>
      </c>
      <c r="E91" s="29">
        <f t="shared" si="133"/>
        <v>2.5340000000000003</v>
      </c>
      <c r="F91" s="29">
        <f t="shared" si="133"/>
        <v>2.4409999999999998</v>
      </c>
      <c r="G91" s="29">
        <f t="shared" si="133"/>
        <v>1.6179999999999999</v>
      </c>
      <c r="H91" s="69">
        <f t="shared" si="133"/>
        <v>9.6319999999999997</v>
      </c>
      <c r="I91" s="29">
        <f t="shared" si="133"/>
        <v>3.444</v>
      </c>
      <c r="J91" s="29">
        <f t="shared" si="133"/>
        <v>1.7990000000000002</v>
      </c>
      <c r="K91" s="29">
        <f t="shared" si="133"/>
        <v>6.2389999999999999</v>
      </c>
      <c r="L91" s="29">
        <f t="shared" si="133"/>
        <v>6.3550000000000004</v>
      </c>
      <c r="M91" s="69">
        <f t="shared" si="133"/>
        <v>17.837</v>
      </c>
      <c r="N91" s="29">
        <f t="shared" si="133"/>
        <v>5.6829999999999998</v>
      </c>
      <c r="O91" s="29">
        <f t="shared" si="133"/>
        <v>7.6970000000000001</v>
      </c>
      <c r="P91" s="29">
        <f t="shared" si="133"/>
        <v>9.8780000000000001</v>
      </c>
      <c r="Q91" s="29">
        <f t="shared" si="133"/>
        <v>11.004</v>
      </c>
      <c r="R91" s="69">
        <f t="shared" si="133"/>
        <v>34.262</v>
      </c>
      <c r="S91" s="29">
        <f t="shared" si="133"/>
        <v>15.328000000000001</v>
      </c>
      <c r="T91" s="29">
        <f t="shared" si="133"/>
        <v>16.509999999999998</v>
      </c>
      <c r="U91" s="29">
        <f t="shared" si="133"/>
        <v>18.367999999999999</v>
      </c>
      <c r="V91" s="29">
        <f t="shared" si="133"/>
        <v>21.164000000000001</v>
      </c>
      <c r="W91" s="69">
        <f t="shared" si="133"/>
        <v>71.37</v>
      </c>
      <c r="X91" s="29">
        <f t="shared" si="133"/>
        <v>23.696000000000002</v>
      </c>
      <c r="Y91" s="29">
        <f t="shared" si="133"/>
        <v>23.966999999999999</v>
      </c>
      <c r="Z91" s="29">
        <f t="shared" si="133"/>
        <v>22.997999999999998</v>
      </c>
      <c r="AA91" s="29">
        <f t="shared" si="133"/>
        <v>26.016999999999999</v>
      </c>
      <c r="AB91" s="69">
        <f t="shared" si="133"/>
        <v>96.677999999999983</v>
      </c>
      <c r="AC91" s="29">
        <f t="shared" si="133"/>
        <v>27.962</v>
      </c>
      <c r="AD91" s="29">
        <f t="shared" si="133"/>
        <v>35.561999999999998</v>
      </c>
      <c r="AE91" s="29">
        <f t="shared" si="133"/>
        <v>43.323</v>
      </c>
      <c r="AF91" s="29">
        <f t="shared" si="133"/>
        <v>39.619</v>
      </c>
      <c r="AG91" s="69">
        <f t="shared" si="133"/>
        <v>146.46600000000004</v>
      </c>
      <c r="AH91" s="29">
        <f t="shared" si="133"/>
        <v>40.785999999999994</v>
      </c>
      <c r="AI91" s="29">
        <f t="shared" si="133"/>
        <v>35.297999999999995</v>
      </c>
      <c r="AJ91" s="29">
        <f t="shared" si="133"/>
        <v>42.712000000000003</v>
      </c>
      <c r="AK91" s="29">
        <f t="shared" si="133"/>
        <v>43.276000000000003</v>
      </c>
      <c r="AL91" s="69">
        <f t="shared" si="133"/>
        <v>162.072</v>
      </c>
      <c r="AM91" s="29">
        <f t="shared" si="133"/>
        <v>47.292000000000002</v>
      </c>
      <c r="AN91" s="29">
        <f>AN89+AN90</f>
        <v>51.423000000000002</v>
      </c>
      <c r="AO91" s="29">
        <f>AO89+AO90</f>
        <v>46.559999999999995</v>
      </c>
      <c r="AP91" s="29">
        <f>AP89+AP90</f>
        <v>51.303999999999995</v>
      </c>
      <c r="AQ91" s="91">
        <f>AQ27</f>
        <v>196.57900000000001</v>
      </c>
      <c r="AR91" s="29">
        <f>AR89+AR90</f>
        <v>54.581999999999994</v>
      </c>
      <c r="AS91" s="29">
        <f>AS89+AS90</f>
        <v>56.488</v>
      </c>
      <c r="AT91" s="29">
        <f>AT89+AT90</f>
        <v>73.356999999999999</v>
      </c>
      <c r="AU91" s="29">
        <f>AU89+AU90</f>
        <v>90.070000000000007</v>
      </c>
      <c r="AV91" s="100">
        <f t="shared" ref="AV91" si="134">AV27</f>
        <v>274.49700000000001</v>
      </c>
      <c r="AW91" s="29">
        <f>AW89+AW90</f>
        <v>79.721999999999994</v>
      </c>
      <c r="AX91" s="29">
        <f>AX89+AX90</f>
        <v>71.259</v>
      </c>
      <c r="AY91" s="29">
        <f>AY89+AY90</f>
        <v>71.184000000000012</v>
      </c>
      <c r="AZ91" s="29">
        <f>AZ89+AZ90</f>
        <v>83.968000000000004</v>
      </c>
      <c r="BA91" s="100">
        <f t="shared" ref="BA91" si="135">BA27</f>
        <v>306.13300000000004</v>
      </c>
      <c r="BB91" s="29">
        <f>BB89+BB90</f>
        <v>67.929999999999993</v>
      </c>
      <c r="BC91" s="77"/>
      <c r="BD91" s="77"/>
      <c r="BE91" s="77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</row>
    <row r="92" spans="3:73">
      <c r="D92" s="46"/>
      <c r="E92" s="46"/>
      <c r="F92" s="46"/>
      <c r="G92" s="46"/>
      <c r="I92" s="46"/>
      <c r="J92" s="46"/>
      <c r="K92" s="46"/>
      <c r="L92" s="46"/>
      <c r="N92" s="46"/>
      <c r="O92" s="46"/>
      <c r="P92" s="46"/>
      <c r="Q92" s="46"/>
      <c r="S92" s="46"/>
      <c r="T92" s="46"/>
      <c r="U92" s="46"/>
      <c r="V92" s="46"/>
      <c r="X92" s="46"/>
      <c r="Y92" s="46"/>
      <c r="Z92" s="46"/>
      <c r="AA92" s="46"/>
      <c r="AC92" s="46"/>
      <c r="AD92" s="46"/>
      <c r="AE92" s="46"/>
      <c r="AF92" s="46"/>
      <c r="AH92" s="46"/>
      <c r="AI92" s="46"/>
      <c r="AJ92" s="46"/>
      <c r="AK92" s="46"/>
      <c r="AM92" s="46"/>
      <c r="AN92" s="46"/>
      <c r="AO92" s="46"/>
      <c r="AP92" s="46"/>
      <c r="AR92" s="46"/>
      <c r="AS92" s="46"/>
      <c r="AT92" s="46"/>
      <c r="AU92" s="46"/>
      <c r="AW92" s="46"/>
      <c r="AX92" s="46"/>
      <c r="AY92" s="46"/>
      <c r="AZ92" s="46"/>
      <c r="BB92" s="46"/>
      <c r="BC92" s="46"/>
      <c r="BD92" s="46"/>
      <c r="BE92" s="46"/>
    </row>
    <row r="93" spans="3:73">
      <c r="C93" s="1" t="s">
        <v>83</v>
      </c>
      <c r="D93" s="17">
        <f t="shared" ref="D93:AP93" si="136">D62</f>
        <v>19.911000000000001</v>
      </c>
      <c r="E93" s="17">
        <f t="shared" si="136"/>
        <v>22.094000000000001</v>
      </c>
      <c r="F93" s="17">
        <f t="shared" si="136"/>
        <v>30.547000000000001</v>
      </c>
      <c r="G93" s="17">
        <f t="shared" si="136"/>
        <v>36.384</v>
      </c>
      <c r="H93" s="93">
        <f t="shared" si="136"/>
        <v>108.93600000000001</v>
      </c>
      <c r="I93" s="17">
        <f t="shared" si="136"/>
        <v>44.356000000000002</v>
      </c>
      <c r="J93" s="17">
        <f t="shared" si="136"/>
        <v>60.637999999999998</v>
      </c>
      <c r="K93" s="17">
        <f t="shared" si="136"/>
        <v>60.923999999999999</v>
      </c>
      <c r="L93" s="17">
        <f t="shared" si="136"/>
        <v>61.378</v>
      </c>
      <c r="M93" s="93">
        <f t="shared" si="136"/>
        <v>227.29599999999999</v>
      </c>
      <c r="N93" s="17">
        <f t="shared" si="136"/>
        <v>70.528000000000006</v>
      </c>
      <c r="O93" s="17">
        <f t="shared" si="136"/>
        <v>77.506</v>
      </c>
      <c r="P93" s="17">
        <f t="shared" si="136"/>
        <v>74.97</v>
      </c>
      <c r="Q93" s="17">
        <f t="shared" si="136"/>
        <v>81.299000000000007</v>
      </c>
      <c r="R93" s="93">
        <f t="shared" si="136"/>
        <v>304.303</v>
      </c>
      <c r="S93" s="17">
        <f t="shared" si="136"/>
        <v>106.363</v>
      </c>
      <c r="T93" s="17">
        <f t="shared" si="136"/>
        <v>100.556</v>
      </c>
      <c r="U93" s="17">
        <f t="shared" si="136"/>
        <v>93.501000000000005</v>
      </c>
      <c r="V93" s="17">
        <f t="shared" si="136"/>
        <v>105.694</v>
      </c>
      <c r="W93" s="93">
        <f t="shared" si="136"/>
        <v>406.11399999999998</v>
      </c>
      <c r="X93" s="17">
        <f t="shared" si="136"/>
        <v>112.38800000000001</v>
      </c>
      <c r="Y93" s="17">
        <f t="shared" si="136"/>
        <v>107.13200000000001</v>
      </c>
      <c r="Z93" s="17">
        <f t="shared" si="136"/>
        <v>104.044</v>
      </c>
      <c r="AA93" s="17">
        <f t="shared" si="136"/>
        <v>125.55500000000001</v>
      </c>
      <c r="AB93" s="93">
        <f t="shared" si="136"/>
        <v>449.11900000000003</v>
      </c>
      <c r="AC93" s="17">
        <f t="shared" si="136"/>
        <v>128.76499999999999</v>
      </c>
      <c r="AD93" s="17">
        <f t="shared" si="136"/>
        <v>122.61799999999999</v>
      </c>
      <c r="AE93" s="17">
        <f t="shared" si="136"/>
        <v>124.36799999999999</v>
      </c>
      <c r="AF93" s="17">
        <f t="shared" si="136"/>
        <v>127.14100000000001</v>
      </c>
      <c r="AG93" s="93">
        <f t="shared" si="136"/>
        <v>502.892</v>
      </c>
      <c r="AH93" s="17">
        <f t="shared" si="136"/>
        <v>144.255</v>
      </c>
      <c r="AI93" s="17">
        <f t="shared" si="136"/>
        <v>132.328</v>
      </c>
      <c r="AJ93" s="17">
        <f t="shared" si="136"/>
        <v>124.523</v>
      </c>
      <c r="AK93" s="17">
        <f t="shared" si="136"/>
        <v>143.05000000000001</v>
      </c>
      <c r="AL93" s="93">
        <f t="shared" si="136"/>
        <v>544.15599999999995</v>
      </c>
      <c r="AM93" s="17">
        <f t="shared" si="136"/>
        <v>207.21299999999999</v>
      </c>
      <c r="AN93" s="17">
        <f t="shared" si="136"/>
        <v>158.57900000000001</v>
      </c>
      <c r="AO93" s="17">
        <f t="shared" si="136"/>
        <v>155.87299999999999</v>
      </c>
      <c r="AP93" s="17">
        <f t="shared" si="136"/>
        <v>161.86500000000001</v>
      </c>
      <c r="AQ93" s="69">
        <f>AQ95-AQ94</f>
        <v>683.53</v>
      </c>
      <c r="AR93" s="17">
        <f t="shared" ref="AR93" si="137">AR62</f>
        <v>167.947</v>
      </c>
      <c r="AS93" s="17">
        <f>AS62</f>
        <v>176.01400000000001</v>
      </c>
      <c r="AT93" s="17">
        <f>AT62</f>
        <v>178.70599999999999</v>
      </c>
      <c r="AU93" s="17">
        <f>AU62</f>
        <v>214.27500000000001</v>
      </c>
      <c r="AV93" s="69">
        <f>AV95-AV94</f>
        <v>736.94200000000001</v>
      </c>
      <c r="AW93" s="17">
        <f>AW62</f>
        <v>208.4</v>
      </c>
      <c r="AX93" s="17">
        <f>AX62</f>
        <v>191.40600000000001</v>
      </c>
      <c r="AY93" s="17">
        <f>AY62</f>
        <v>207.255</v>
      </c>
      <c r="AZ93" s="17">
        <f>AZ62</f>
        <v>247.172</v>
      </c>
      <c r="BA93" s="69">
        <f>BA95-BA94</f>
        <v>854.23299999999995</v>
      </c>
      <c r="BB93" s="17">
        <f>BB62</f>
        <v>260.50799999999998</v>
      </c>
      <c r="BC93" s="29"/>
      <c r="BD93" s="29"/>
      <c r="BE93" s="2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</row>
    <row r="94" spans="3:73" ht="15.6">
      <c r="C94" s="16" t="s">
        <v>79</v>
      </c>
      <c r="D94" s="94">
        <v>-2.4119999999999999</v>
      </c>
      <c r="E94" s="94">
        <v>-2.4180000000000001</v>
      </c>
      <c r="F94" s="94">
        <v>-8.1300000000000008</v>
      </c>
      <c r="G94" s="94">
        <v>-13.877000000000001</v>
      </c>
      <c r="H94" s="95">
        <f>SUM(D94:G94)</f>
        <v>-26.837000000000003</v>
      </c>
      <c r="I94" s="94">
        <v>-8.5</v>
      </c>
      <c r="J94" s="94">
        <v>-15.282999999999999</v>
      </c>
      <c r="K94" s="94">
        <v>-9.2750000000000004</v>
      </c>
      <c r="L94" s="94">
        <v>-7.242</v>
      </c>
      <c r="M94" s="95">
        <f>SUM(I94:L94)</f>
        <v>-40.299999999999997</v>
      </c>
      <c r="N94" s="94">
        <v>-13.988</v>
      </c>
      <c r="O94" s="94">
        <v>-14.62</v>
      </c>
      <c r="P94" s="94">
        <v>-15.345000000000001</v>
      </c>
      <c r="Q94" s="94">
        <v>-16.818000000000001</v>
      </c>
      <c r="R94" s="95">
        <f>SUM(N94:Q94)</f>
        <v>-60.771000000000001</v>
      </c>
      <c r="S94" s="94">
        <v>-29.89</v>
      </c>
      <c r="T94" s="94">
        <v>-20.12</v>
      </c>
      <c r="U94" s="94">
        <v>-14.834</v>
      </c>
      <c r="V94" s="94">
        <v>-22.216999999999999</v>
      </c>
      <c r="W94" s="95">
        <f>SUM(S94:V94)</f>
        <v>-87.061000000000007</v>
      </c>
      <c r="X94" s="94">
        <v>-17.347000000000001</v>
      </c>
      <c r="Y94" s="94">
        <v>-18.661999999999999</v>
      </c>
      <c r="Z94" s="94">
        <v>-19.542000000000002</v>
      </c>
      <c r="AA94" s="94">
        <v>-38.146000000000001</v>
      </c>
      <c r="AB94" s="95">
        <f>SUM(X94:AA94)</f>
        <v>-93.697000000000003</v>
      </c>
      <c r="AC94" s="94">
        <v>-26.154</v>
      </c>
      <c r="AD94" s="94">
        <v>-23.13</v>
      </c>
      <c r="AE94" s="94">
        <v>-29.834</v>
      </c>
      <c r="AF94" s="94">
        <v>-18.937000000000001</v>
      </c>
      <c r="AG94" s="95">
        <f>SUM(AC94:AF94)</f>
        <v>-98.054999999999993</v>
      </c>
      <c r="AH94" s="94">
        <v>-25.805</v>
      </c>
      <c r="AI94" s="94">
        <v>-20.873999999999999</v>
      </c>
      <c r="AJ94" s="94">
        <v>-20.902999999999999</v>
      </c>
      <c r="AK94" s="94">
        <v>-21.635999999999999</v>
      </c>
      <c r="AL94" s="95">
        <f>SUM(AH94:AK94)</f>
        <v>-89.217999999999989</v>
      </c>
      <c r="AM94" s="94">
        <v>-75.233999999999995</v>
      </c>
      <c r="AN94" s="94">
        <v>-20.873000000000001</v>
      </c>
      <c r="AO94" s="94">
        <v>-18.978000000000002</v>
      </c>
      <c r="AP94" s="94">
        <f>-19.758</f>
        <v>-19.757999999999999</v>
      </c>
      <c r="AQ94" s="96">
        <f>SUM(AM94:AP94)</f>
        <v>-134.84300000000002</v>
      </c>
      <c r="AR94" s="94">
        <f>-20.37</f>
        <v>-20.37</v>
      </c>
      <c r="AS94" s="97">
        <v>-20.684999999999999</v>
      </c>
      <c r="AT94" s="97">
        <v>-20.302</v>
      </c>
      <c r="AU94" s="97">
        <f>-17.34</f>
        <v>-17.34</v>
      </c>
      <c r="AV94" s="96">
        <f>SUM(AR94:AU94)</f>
        <v>-78.697000000000003</v>
      </c>
      <c r="AW94" s="97">
        <f>-20.596</f>
        <v>-20.596</v>
      </c>
      <c r="AX94" s="97">
        <f>-21.02</f>
        <v>-21.02</v>
      </c>
      <c r="AY94" s="97">
        <f>-20.974</f>
        <v>-20.974</v>
      </c>
      <c r="AZ94" s="97">
        <v>-21.794</v>
      </c>
      <c r="BA94" s="96">
        <f>SUM(AW94:AZ94)</f>
        <v>-84.384</v>
      </c>
      <c r="BB94" s="97">
        <f>-23.846-8.262</f>
        <v>-32.108000000000004</v>
      </c>
      <c r="BC94" s="26"/>
      <c r="BD94" s="26"/>
      <c r="BE94" s="26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</row>
    <row r="95" spans="3:73">
      <c r="C95" s="1" t="s">
        <v>84</v>
      </c>
      <c r="D95" s="29">
        <f t="shared" ref="D95:AM95" si="138">D93+D94</f>
        <v>17.499000000000002</v>
      </c>
      <c r="E95" s="29">
        <f t="shared" si="138"/>
        <v>19.676000000000002</v>
      </c>
      <c r="F95" s="29">
        <f t="shared" si="138"/>
        <v>22.417000000000002</v>
      </c>
      <c r="G95" s="29">
        <f t="shared" si="138"/>
        <v>22.506999999999998</v>
      </c>
      <c r="H95" s="69">
        <f t="shared" si="138"/>
        <v>82.099000000000004</v>
      </c>
      <c r="I95" s="29">
        <f t="shared" si="138"/>
        <v>35.856000000000002</v>
      </c>
      <c r="J95" s="29">
        <f t="shared" si="138"/>
        <v>45.354999999999997</v>
      </c>
      <c r="K95" s="29">
        <f t="shared" si="138"/>
        <v>51.649000000000001</v>
      </c>
      <c r="L95" s="29">
        <f t="shared" si="138"/>
        <v>54.136000000000003</v>
      </c>
      <c r="M95" s="69">
        <f t="shared" si="138"/>
        <v>186.99599999999998</v>
      </c>
      <c r="N95" s="29">
        <f t="shared" si="138"/>
        <v>56.540000000000006</v>
      </c>
      <c r="O95" s="29">
        <f t="shared" si="138"/>
        <v>62.886000000000003</v>
      </c>
      <c r="P95" s="29">
        <f t="shared" si="138"/>
        <v>59.625</v>
      </c>
      <c r="Q95" s="29">
        <f t="shared" si="138"/>
        <v>64.481000000000009</v>
      </c>
      <c r="R95" s="69">
        <f t="shared" si="138"/>
        <v>243.53199999999998</v>
      </c>
      <c r="S95" s="29">
        <f t="shared" si="138"/>
        <v>76.472999999999999</v>
      </c>
      <c r="T95" s="29">
        <f t="shared" si="138"/>
        <v>80.435999999999993</v>
      </c>
      <c r="U95" s="29">
        <f t="shared" si="138"/>
        <v>78.667000000000002</v>
      </c>
      <c r="V95" s="29">
        <f t="shared" si="138"/>
        <v>83.477000000000004</v>
      </c>
      <c r="W95" s="69">
        <f t="shared" si="138"/>
        <v>319.053</v>
      </c>
      <c r="X95" s="29">
        <f t="shared" si="138"/>
        <v>95.040999999999997</v>
      </c>
      <c r="Y95" s="29">
        <f t="shared" si="138"/>
        <v>88.47</v>
      </c>
      <c r="Z95" s="29">
        <f t="shared" si="138"/>
        <v>84.501999999999995</v>
      </c>
      <c r="AA95" s="29">
        <f t="shared" si="138"/>
        <v>87.409000000000006</v>
      </c>
      <c r="AB95" s="69">
        <f t="shared" si="138"/>
        <v>355.42200000000003</v>
      </c>
      <c r="AC95" s="29">
        <f t="shared" si="138"/>
        <v>102.61099999999999</v>
      </c>
      <c r="AD95" s="29">
        <f t="shared" si="138"/>
        <v>99.488</v>
      </c>
      <c r="AE95" s="29">
        <f t="shared" si="138"/>
        <v>94.533999999999992</v>
      </c>
      <c r="AF95" s="29">
        <f t="shared" si="138"/>
        <v>108.20400000000001</v>
      </c>
      <c r="AG95" s="69">
        <f t="shared" si="138"/>
        <v>404.83699999999999</v>
      </c>
      <c r="AH95" s="29">
        <f t="shared" si="138"/>
        <v>118.44999999999999</v>
      </c>
      <c r="AI95" s="29">
        <f t="shared" si="138"/>
        <v>111.45400000000001</v>
      </c>
      <c r="AJ95" s="29">
        <f t="shared" si="138"/>
        <v>103.62</v>
      </c>
      <c r="AK95" s="29">
        <f t="shared" si="138"/>
        <v>121.41400000000002</v>
      </c>
      <c r="AL95" s="69">
        <f t="shared" si="138"/>
        <v>454.93799999999999</v>
      </c>
      <c r="AM95" s="29">
        <f t="shared" si="138"/>
        <v>131.97899999999998</v>
      </c>
      <c r="AN95" s="29">
        <f>AN93+AN94</f>
        <v>137.70600000000002</v>
      </c>
      <c r="AO95" s="29">
        <f>AO93+AO94</f>
        <v>136.89499999999998</v>
      </c>
      <c r="AP95" s="29">
        <f>AP93+AP94</f>
        <v>142.107</v>
      </c>
      <c r="AQ95" s="91">
        <f>AQ26</f>
        <v>548.68700000000001</v>
      </c>
      <c r="AR95" s="29">
        <f>AR93+AR94</f>
        <v>147.577</v>
      </c>
      <c r="AS95" s="29">
        <f>AS93+AS94</f>
        <v>155.32900000000001</v>
      </c>
      <c r="AT95" s="29">
        <f>AT93+AT94</f>
        <v>158.404</v>
      </c>
      <c r="AU95" s="29">
        <f>AU93+AU94</f>
        <v>196.935</v>
      </c>
      <c r="AV95" s="100">
        <f t="shared" ref="AV95" si="139">AV26</f>
        <v>658.245</v>
      </c>
      <c r="AW95" s="29">
        <f>AW93+AW94</f>
        <v>187.804</v>
      </c>
      <c r="AX95" s="29">
        <f>AX93+AX94</f>
        <v>170.386</v>
      </c>
      <c r="AY95" s="29">
        <f>AY93+AY94</f>
        <v>186.28100000000001</v>
      </c>
      <c r="AZ95" s="29">
        <f>AZ93+AZ94</f>
        <v>225.37799999999999</v>
      </c>
      <c r="BA95" s="100">
        <f t="shared" ref="BA95" si="140">BA26</f>
        <v>769.84899999999993</v>
      </c>
      <c r="BB95" s="29">
        <f>BB93+BB94</f>
        <v>228.39999999999998</v>
      </c>
      <c r="BC95" s="77"/>
      <c r="BD95" s="77"/>
      <c r="BE95" s="77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</row>
    <row r="96" spans="3:73">
      <c r="D96" s="46"/>
      <c r="E96" s="46"/>
      <c r="F96" s="46"/>
      <c r="G96" s="46"/>
      <c r="I96" s="46"/>
      <c r="J96" s="46"/>
      <c r="K96" s="46"/>
      <c r="L96" s="46"/>
      <c r="N96" s="46"/>
      <c r="O96" s="46"/>
      <c r="P96" s="46"/>
      <c r="Q96" s="46"/>
      <c r="S96" s="46"/>
      <c r="T96" s="46"/>
      <c r="U96" s="46"/>
      <c r="V96" s="46"/>
      <c r="X96" s="46"/>
      <c r="Y96" s="46"/>
      <c r="Z96" s="46"/>
      <c r="AA96" s="46"/>
      <c r="AC96" s="46"/>
      <c r="AD96" s="46"/>
      <c r="AE96" s="46"/>
      <c r="AF96" s="46"/>
      <c r="AH96" s="46"/>
      <c r="AI96" s="46"/>
      <c r="AJ96" s="46"/>
      <c r="AK96" s="46"/>
      <c r="AM96" s="46"/>
      <c r="AN96" s="46"/>
      <c r="AO96" s="46"/>
      <c r="AP96" s="46"/>
      <c r="AR96" s="46"/>
      <c r="AS96" s="46"/>
      <c r="AT96" s="46"/>
      <c r="AU96" s="46"/>
      <c r="AW96" s="46"/>
      <c r="AX96" s="46"/>
      <c r="AY96" s="46"/>
      <c r="AZ96" s="46"/>
      <c r="BB96" s="46"/>
      <c r="BC96" s="46"/>
      <c r="BD96" s="46"/>
      <c r="BE96" s="46"/>
    </row>
    <row r="97" spans="2:73">
      <c r="C97" s="1" t="s">
        <v>85</v>
      </c>
      <c r="D97" s="17">
        <f t="shared" ref="D97:AP97" si="141">D64</f>
        <v>1.8620000000000001</v>
      </c>
      <c r="E97" s="17">
        <f t="shared" si="141"/>
        <v>1.8620000000000001</v>
      </c>
      <c r="F97" s="17">
        <f t="shared" si="141"/>
        <v>1.8620000000000001</v>
      </c>
      <c r="G97" s="17">
        <f t="shared" si="141"/>
        <v>1.8620000000000001</v>
      </c>
      <c r="H97" s="93">
        <f t="shared" si="141"/>
        <v>7.4480000000000004</v>
      </c>
      <c r="I97" s="17">
        <f t="shared" si="141"/>
        <v>10.731999999999999</v>
      </c>
      <c r="J97" s="17">
        <f t="shared" si="141"/>
        <v>15.750999999999999</v>
      </c>
      <c r="K97" s="17">
        <f t="shared" si="141"/>
        <v>19.742000000000001</v>
      </c>
      <c r="L97" s="17">
        <f t="shared" si="141"/>
        <v>21.907</v>
      </c>
      <c r="M97" s="93">
        <f t="shared" si="141"/>
        <v>68.131999999999991</v>
      </c>
      <c r="N97" s="17">
        <f t="shared" si="141"/>
        <v>23.555</v>
      </c>
      <c r="O97" s="17">
        <f t="shared" si="141"/>
        <v>19.399000000000001</v>
      </c>
      <c r="P97" s="17">
        <f t="shared" si="141"/>
        <v>19.564</v>
      </c>
      <c r="Q97" s="17">
        <f t="shared" si="141"/>
        <v>20.524000000000001</v>
      </c>
      <c r="R97" s="93">
        <f t="shared" si="141"/>
        <v>83.042000000000002</v>
      </c>
      <c r="S97" s="17">
        <f t="shared" si="141"/>
        <v>158.18199999999999</v>
      </c>
      <c r="T97" s="17">
        <f t="shared" si="141"/>
        <v>65.600999999999999</v>
      </c>
      <c r="U97" s="17">
        <f t="shared" si="141"/>
        <v>105.63</v>
      </c>
      <c r="V97" s="17">
        <f t="shared" si="141"/>
        <v>39.161999999999999</v>
      </c>
      <c r="W97" s="93">
        <f t="shared" si="141"/>
        <v>368.57499999999999</v>
      </c>
      <c r="X97" s="17">
        <f t="shared" si="141"/>
        <v>24.677</v>
      </c>
      <c r="Y97" s="17">
        <f t="shared" si="141"/>
        <v>23.667999999999999</v>
      </c>
      <c r="Z97" s="17">
        <f t="shared" si="141"/>
        <v>26.126999999999999</v>
      </c>
      <c r="AA97" s="17">
        <f t="shared" si="141"/>
        <v>55.213000000000001</v>
      </c>
      <c r="AB97" s="93">
        <f t="shared" si="141"/>
        <v>129.685</v>
      </c>
      <c r="AC97" s="17">
        <f t="shared" si="141"/>
        <v>31.391999999999999</v>
      </c>
      <c r="AD97" s="17">
        <f t="shared" si="141"/>
        <v>26.736999999999998</v>
      </c>
      <c r="AE97" s="17">
        <f t="shared" si="141"/>
        <v>41.453000000000003</v>
      </c>
      <c r="AF97" s="17">
        <f t="shared" si="141"/>
        <v>26.161999999999999</v>
      </c>
      <c r="AG97" s="93">
        <f t="shared" si="141"/>
        <v>125.744</v>
      </c>
      <c r="AH97" s="17">
        <f t="shared" si="141"/>
        <v>25.664999999999999</v>
      </c>
      <c r="AI97" s="17">
        <f t="shared" si="141"/>
        <v>28.186</v>
      </c>
      <c r="AJ97" s="17">
        <f t="shared" si="141"/>
        <v>122.313</v>
      </c>
      <c r="AK97" s="17">
        <f t="shared" si="141"/>
        <v>60.901000000000003</v>
      </c>
      <c r="AL97" s="93">
        <f t="shared" si="141"/>
        <v>237.065</v>
      </c>
      <c r="AM97" s="17">
        <f t="shared" si="141"/>
        <v>53.006999999999998</v>
      </c>
      <c r="AN97" s="17">
        <f t="shared" si="141"/>
        <v>97.855000000000004</v>
      </c>
      <c r="AO97" s="17">
        <f t="shared" si="141"/>
        <v>46.988999999999997</v>
      </c>
      <c r="AP97" s="17">
        <f t="shared" si="141"/>
        <v>46.542999999999999</v>
      </c>
      <c r="AQ97" s="69">
        <f>AQ101-SUM(AQ98:AQ100)</f>
        <v>244.39400000000001</v>
      </c>
      <c r="AR97" s="17">
        <f t="shared" ref="AR97" si="142">AR64</f>
        <v>112.88499999999999</v>
      </c>
      <c r="AS97" s="17">
        <f>AS64</f>
        <v>63.776000000000003</v>
      </c>
      <c r="AT97" s="17">
        <f>AT64</f>
        <v>114.63800000000001</v>
      </c>
      <c r="AU97" s="17">
        <f>AU64</f>
        <v>173.49</v>
      </c>
      <c r="AV97" s="69">
        <f>AV101-SUM(AV98:AV100)</f>
        <v>464.78900000000004</v>
      </c>
      <c r="AW97" s="17">
        <f>AW64</f>
        <v>401.23599999999999</v>
      </c>
      <c r="AX97" s="17">
        <f>AX64</f>
        <v>65.97399999999999</v>
      </c>
      <c r="AY97" s="17">
        <f>AY64</f>
        <v>76.683999999999997</v>
      </c>
      <c r="AZ97" s="17">
        <f>AZ64</f>
        <v>103.075</v>
      </c>
      <c r="BA97" s="69">
        <f>BA101-SUM(BA98:BA100)</f>
        <v>646.96899999999994</v>
      </c>
      <c r="BB97" s="17">
        <f>BB64</f>
        <v>68.191999999999993</v>
      </c>
      <c r="BC97" s="29"/>
      <c r="BD97" s="29"/>
      <c r="BE97" s="29"/>
      <c r="BF97" s="6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69"/>
      <c r="BS97" s="69"/>
      <c r="BT97" s="69"/>
    </row>
    <row r="98" spans="2:73">
      <c r="C98" s="16" t="s">
        <v>86</v>
      </c>
      <c r="D98" s="20">
        <v>-1.8620000000000001</v>
      </c>
      <c r="E98" s="20">
        <v>-1.8620000000000001</v>
      </c>
      <c r="F98" s="20">
        <v>-1.8620000000000001</v>
      </c>
      <c r="G98" s="20">
        <v>-1.8620000000000001</v>
      </c>
      <c r="H98" s="18">
        <f>SUM(D98:G98)</f>
        <v>-7.4480000000000004</v>
      </c>
      <c r="I98" s="20">
        <v>-10.731999999999999</v>
      </c>
      <c r="J98" s="20">
        <v>-15.750999999999999</v>
      </c>
      <c r="K98" s="20">
        <v>-19.742000000000001</v>
      </c>
      <c r="L98" s="20">
        <v>-21.907</v>
      </c>
      <c r="M98" s="18">
        <f>SUM(I98:L98)</f>
        <v>-68.131999999999991</v>
      </c>
      <c r="N98" s="20">
        <v>-19.555</v>
      </c>
      <c r="O98" s="20">
        <v>-19.399000000000001</v>
      </c>
      <c r="P98" s="20">
        <v>-19.564</v>
      </c>
      <c r="Q98" s="20">
        <v>-20.524000000000001</v>
      </c>
      <c r="R98" s="18">
        <f>SUM(N98:Q98)</f>
        <v>-79.042000000000002</v>
      </c>
      <c r="S98" s="20">
        <v>-31.181999999999999</v>
      </c>
      <c r="T98" s="20">
        <v>-32.795000000000002</v>
      </c>
      <c r="U98" s="20">
        <v>-30.63</v>
      </c>
      <c r="V98" s="20">
        <v>-31.977</v>
      </c>
      <c r="W98" s="18">
        <f>SUM(S98:V98)</f>
        <v>-126.584</v>
      </c>
      <c r="X98" s="20">
        <v>-24.677</v>
      </c>
      <c r="Y98" s="20">
        <v>-23.667999999999999</v>
      </c>
      <c r="Z98" s="20">
        <v>-26.126999999999999</v>
      </c>
      <c r="AA98" s="20">
        <v>-23.69</v>
      </c>
      <c r="AB98" s="18">
        <f>SUM(X98:AA98)</f>
        <v>-98.161999999999992</v>
      </c>
      <c r="AC98" s="20">
        <v>-22.641999999999999</v>
      </c>
      <c r="AD98" s="20">
        <v>-26.736999999999998</v>
      </c>
      <c r="AE98" s="20">
        <v>-26.452999999999999</v>
      </c>
      <c r="AF98" s="20">
        <v>-26.161999999999999</v>
      </c>
      <c r="AG98" s="18">
        <f>SUM(AC98:AF98)</f>
        <v>-101.994</v>
      </c>
      <c r="AH98" s="20">
        <v>-25.664999999999999</v>
      </c>
      <c r="AI98" s="20">
        <v>-26.186</v>
      </c>
      <c r="AJ98" s="20">
        <v>-47.313000000000002</v>
      </c>
      <c r="AK98" s="20">
        <v>-52.901000000000003</v>
      </c>
      <c r="AL98" s="18">
        <f>SUM(AH98:AK98)</f>
        <v>-152.065</v>
      </c>
      <c r="AM98" s="20">
        <v>-53.006999999999998</v>
      </c>
      <c r="AN98" s="20">
        <v>-54.959000000000003</v>
      </c>
      <c r="AO98" s="20">
        <f>-46.989</f>
        <v>-46.988999999999997</v>
      </c>
      <c r="AP98" s="20">
        <f>-46.543</f>
        <v>-46.542999999999999</v>
      </c>
      <c r="AQ98" s="18">
        <f>SUM(AM98:AP98)</f>
        <v>-201.49800000000002</v>
      </c>
      <c r="AR98" s="20">
        <f>-56.885</f>
        <v>-56.884999999999998</v>
      </c>
      <c r="AS98" s="20">
        <f>-61.576</f>
        <v>-61.576000000000001</v>
      </c>
      <c r="AT98" s="20">
        <v>-62.863</v>
      </c>
      <c r="AU98" s="20">
        <f>-173.49</f>
        <v>-173.49</v>
      </c>
      <c r="AV98" s="18">
        <f>SUM(AR98:AU98)</f>
        <v>-354.81400000000002</v>
      </c>
      <c r="AW98" s="20">
        <f>-62.847</f>
        <v>-62.847000000000001</v>
      </c>
      <c r="AX98" s="20">
        <f>-62.974</f>
        <v>-62.973999999999997</v>
      </c>
      <c r="AY98" s="20">
        <f>-66.684</f>
        <v>-66.683999999999997</v>
      </c>
      <c r="AZ98" s="20">
        <v>-67.075000000000003</v>
      </c>
      <c r="BA98" s="18">
        <f>SUM(AW98:AZ98)</f>
        <v>-259.58</v>
      </c>
      <c r="BB98" s="20">
        <v>-68.191999999999993</v>
      </c>
      <c r="BC98" s="32"/>
      <c r="BD98" s="32"/>
      <c r="BE98" s="32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</row>
    <row r="99" spans="2:73">
      <c r="C99" s="16" t="s">
        <v>87</v>
      </c>
      <c r="D99" s="20">
        <v>0</v>
      </c>
      <c r="E99" s="20">
        <v>0</v>
      </c>
      <c r="F99" s="20">
        <v>0</v>
      </c>
      <c r="G99" s="20">
        <v>0</v>
      </c>
      <c r="H99" s="18">
        <f>SUM(D99:G99)</f>
        <v>0</v>
      </c>
      <c r="I99" s="20">
        <v>0</v>
      </c>
      <c r="J99" s="20">
        <v>0</v>
      </c>
      <c r="K99" s="20">
        <v>0</v>
      </c>
      <c r="L99" s="20">
        <v>0</v>
      </c>
      <c r="M99" s="18">
        <f>SUM(I99:L99)</f>
        <v>0</v>
      </c>
      <c r="N99" s="20">
        <v>0</v>
      </c>
      <c r="O99" s="20">
        <v>0</v>
      </c>
      <c r="P99" s="20">
        <v>0</v>
      </c>
      <c r="Q99" s="20">
        <v>0</v>
      </c>
      <c r="R99" s="18">
        <f>SUM(N99:Q99)</f>
        <v>0</v>
      </c>
      <c r="S99" s="20">
        <v>0</v>
      </c>
      <c r="T99" s="20">
        <v>-32.805999999999997</v>
      </c>
      <c r="U99" s="20">
        <v>0</v>
      </c>
      <c r="V99" s="20">
        <v>-6.5590000000000002</v>
      </c>
      <c r="W99" s="18">
        <f>SUM(S99:V99)</f>
        <v>-39.364999999999995</v>
      </c>
      <c r="X99" s="20">
        <v>0</v>
      </c>
      <c r="Y99" s="20">
        <v>0</v>
      </c>
      <c r="Z99" s="20">
        <v>0</v>
      </c>
      <c r="AA99" s="20">
        <v>-31.523</v>
      </c>
      <c r="AB99" s="18">
        <f>SUM(X99:AA99)</f>
        <v>-31.523</v>
      </c>
      <c r="AC99" s="20"/>
      <c r="AD99" s="20">
        <v>0</v>
      </c>
      <c r="AE99" s="20"/>
      <c r="AF99" s="20">
        <v>0</v>
      </c>
      <c r="AG99" s="18">
        <f>SUM(AC99:AF99)</f>
        <v>0</v>
      </c>
      <c r="AH99" s="20">
        <v>0</v>
      </c>
      <c r="AI99" s="20">
        <v>0</v>
      </c>
      <c r="AJ99" s="20"/>
      <c r="AK99" s="20">
        <v>0</v>
      </c>
      <c r="AL99" s="18">
        <f>SUM(AH99:AK99)</f>
        <v>0</v>
      </c>
      <c r="AM99" s="20">
        <v>0</v>
      </c>
      <c r="AN99" s="20">
        <v>-42.896000000000001</v>
      </c>
      <c r="AO99" s="20">
        <v>0</v>
      </c>
      <c r="AP99" s="20">
        <v>0</v>
      </c>
      <c r="AQ99" s="18">
        <f>SUM(AM99:AP99)</f>
        <v>-42.896000000000001</v>
      </c>
      <c r="AR99" s="20">
        <v>0</v>
      </c>
      <c r="AS99" s="20">
        <v>0</v>
      </c>
      <c r="AT99" s="20">
        <v>0</v>
      </c>
      <c r="AU99" s="20">
        <v>0</v>
      </c>
      <c r="AV99" s="18">
        <f>SUM(AR99:AU99)</f>
        <v>0</v>
      </c>
      <c r="AW99" s="20">
        <f>-136.139</f>
        <v>-136.13900000000001</v>
      </c>
      <c r="AX99" s="20">
        <v>0</v>
      </c>
      <c r="AY99" s="20">
        <v>0</v>
      </c>
      <c r="AZ99" s="20">
        <v>0</v>
      </c>
      <c r="BA99" s="18">
        <f>SUM(AW99:AZ99)</f>
        <v>-136.13900000000001</v>
      </c>
      <c r="BB99" s="20">
        <v>0</v>
      </c>
      <c r="BC99" s="32"/>
      <c r="BD99" s="32"/>
      <c r="BE99" s="32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</row>
    <row r="100" spans="2:73" ht="15.6">
      <c r="C100" s="16" t="s">
        <v>88</v>
      </c>
      <c r="D100" s="94">
        <v>0</v>
      </c>
      <c r="E100" s="94">
        <v>0</v>
      </c>
      <c r="F100" s="94">
        <v>0</v>
      </c>
      <c r="G100" s="94">
        <v>0</v>
      </c>
      <c r="H100" s="95">
        <f>SUM(D100:G100)</f>
        <v>0</v>
      </c>
      <c r="I100" s="94">
        <v>0</v>
      </c>
      <c r="J100" s="94">
        <v>0</v>
      </c>
      <c r="K100" s="94">
        <v>0</v>
      </c>
      <c r="L100" s="94">
        <v>0</v>
      </c>
      <c r="M100" s="95">
        <f>SUM(I100:L100)</f>
        <v>0</v>
      </c>
      <c r="N100" s="94">
        <v>-4</v>
      </c>
      <c r="O100" s="94">
        <v>0</v>
      </c>
      <c r="P100" s="94">
        <v>0</v>
      </c>
      <c r="Q100" s="94">
        <v>0</v>
      </c>
      <c r="R100" s="95">
        <f>SUM(N100:Q100)</f>
        <v>-4</v>
      </c>
      <c r="S100" s="94">
        <v>-127</v>
      </c>
      <c r="T100" s="94">
        <v>0</v>
      </c>
      <c r="U100" s="94">
        <v>-75</v>
      </c>
      <c r="V100" s="94">
        <v>-0.626</v>
      </c>
      <c r="W100" s="95">
        <f>SUM(S100:V100)</f>
        <v>-202.626</v>
      </c>
      <c r="X100" s="94">
        <v>0</v>
      </c>
      <c r="Y100" s="94">
        <v>0</v>
      </c>
      <c r="Z100" s="94">
        <v>0</v>
      </c>
      <c r="AA100" s="94">
        <v>0</v>
      </c>
      <c r="AB100" s="95">
        <f>SUM(X100:AA100)</f>
        <v>0</v>
      </c>
      <c r="AC100" s="94">
        <v>-8.75</v>
      </c>
      <c r="AD100" s="94">
        <v>0</v>
      </c>
      <c r="AE100" s="94">
        <v>-15</v>
      </c>
      <c r="AF100" s="94">
        <v>0</v>
      </c>
      <c r="AG100" s="95">
        <f>SUM(AC100:AF100)</f>
        <v>-23.75</v>
      </c>
      <c r="AH100" s="94">
        <v>0</v>
      </c>
      <c r="AI100" s="94">
        <v>0</v>
      </c>
      <c r="AJ100" s="94">
        <v>-75</v>
      </c>
      <c r="AK100" s="94">
        <v>-8</v>
      </c>
      <c r="AL100" s="95">
        <f>SUM(AH100:AK100)</f>
        <v>-83</v>
      </c>
      <c r="AM100" s="94">
        <v>0</v>
      </c>
      <c r="AN100" s="94">
        <v>0</v>
      </c>
      <c r="AO100" s="94">
        <v>0</v>
      </c>
      <c r="AP100" s="94">
        <v>0</v>
      </c>
      <c r="AQ100" s="24">
        <f>SUM(AM100:AP100)</f>
        <v>0</v>
      </c>
      <c r="AR100" s="94">
        <f>-56</f>
        <v>-56</v>
      </c>
      <c r="AS100" s="94">
        <v>0</v>
      </c>
      <c r="AT100" s="94">
        <f>-48.275</f>
        <v>-48.274999999999999</v>
      </c>
      <c r="AU100" s="94">
        <v>0</v>
      </c>
      <c r="AV100" s="24">
        <f>SUM(AR100:AU100)</f>
        <v>-104.27500000000001</v>
      </c>
      <c r="AW100" s="94">
        <v>0</v>
      </c>
      <c r="AX100" s="94">
        <v>0</v>
      </c>
      <c r="AY100" s="94">
        <v>0</v>
      </c>
      <c r="AZ100" s="94">
        <v>0</v>
      </c>
      <c r="BA100" s="24">
        <f>SUM(AW100:AZ100)</f>
        <v>0</v>
      </c>
      <c r="BB100" s="94">
        <v>0</v>
      </c>
      <c r="BC100" s="26"/>
      <c r="BD100" s="26"/>
      <c r="BE100" s="26"/>
      <c r="BF100" s="101"/>
      <c r="BG100" s="101"/>
      <c r="BH100" s="101"/>
      <c r="BI100" s="101"/>
      <c r="BJ100" s="101"/>
      <c r="BK100" s="101"/>
      <c r="BL100" s="101"/>
      <c r="BM100" s="101"/>
      <c r="BN100" s="101"/>
      <c r="BO100" s="101"/>
      <c r="BP100" s="101"/>
      <c r="BQ100" s="101"/>
      <c r="BR100" s="101"/>
      <c r="BS100" s="101"/>
      <c r="BT100" s="101"/>
    </row>
    <row r="101" spans="2:73">
      <c r="C101" s="1" t="s">
        <v>89</v>
      </c>
      <c r="D101" s="29">
        <f t="shared" ref="D101:AM101" si="143">D97+SUM(D98:D100)</f>
        <v>0</v>
      </c>
      <c r="E101" s="29">
        <f t="shared" si="143"/>
        <v>0</v>
      </c>
      <c r="F101" s="29">
        <f t="shared" si="143"/>
        <v>0</v>
      </c>
      <c r="G101" s="29">
        <f t="shared" si="143"/>
        <v>0</v>
      </c>
      <c r="H101" s="69">
        <f t="shared" si="143"/>
        <v>0</v>
      </c>
      <c r="I101" s="29">
        <f t="shared" si="143"/>
        <v>0</v>
      </c>
      <c r="J101" s="29">
        <f t="shared" si="143"/>
        <v>0</v>
      </c>
      <c r="K101" s="29">
        <f t="shared" si="143"/>
        <v>0</v>
      </c>
      <c r="L101" s="29">
        <f t="shared" si="143"/>
        <v>0</v>
      </c>
      <c r="M101" s="69">
        <f t="shared" si="143"/>
        <v>0</v>
      </c>
      <c r="N101" s="29">
        <f t="shared" si="143"/>
        <v>0</v>
      </c>
      <c r="O101" s="29">
        <f t="shared" si="143"/>
        <v>0</v>
      </c>
      <c r="P101" s="29">
        <f t="shared" si="143"/>
        <v>0</v>
      </c>
      <c r="Q101" s="29">
        <f t="shared" si="143"/>
        <v>0</v>
      </c>
      <c r="R101" s="69">
        <f t="shared" si="143"/>
        <v>0</v>
      </c>
      <c r="S101" s="29">
        <f t="shared" si="143"/>
        <v>0</v>
      </c>
      <c r="T101" s="29">
        <f t="shared" si="143"/>
        <v>0</v>
      </c>
      <c r="U101" s="29">
        <f t="shared" si="143"/>
        <v>0</v>
      </c>
      <c r="V101" s="29">
        <f t="shared" si="143"/>
        <v>0</v>
      </c>
      <c r="W101" s="69">
        <f t="shared" si="143"/>
        <v>0</v>
      </c>
      <c r="X101" s="29">
        <f t="shared" si="143"/>
        <v>0</v>
      </c>
      <c r="Y101" s="29">
        <f t="shared" si="143"/>
        <v>0</v>
      </c>
      <c r="Z101" s="29">
        <f t="shared" si="143"/>
        <v>0</v>
      </c>
      <c r="AA101" s="29">
        <f t="shared" si="143"/>
        <v>0</v>
      </c>
      <c r="AB101" s="69">
        <f t="shared" si="143"/>
        <v>0</v>
      </c>
      <c r="AC101" s="29">
        <f t="shared" si="143"/>
        <v>0</v>
      </c>
      <c r="AD101" s="29">
        <f t="shared" si="143"/>
        <v>0</v>
      </c>
      <c r="AE101" s="29">
        <f t="shared" si="143"/>
        <v>0</v>
      </c>
      <c r="AF101" s="29">
        <f t="shared" si="143"/>
        <v>0</v>
      </c>
      <c r="AG101" s="69">
        <f t="shared" si="143"/>
        <v>0</v>
      </c>
      <c r="AH101" s="29">
        <f t="shared" si="143"/>
        <v>0</v>
      </c>
      <c r="AI101" s="29">
        <f t="shared" si="143"/>
        <v>2</v>
      </c>
      <c r="AJ101" s="29">
        <f t="shared" si="143"/>
        <v>0</v>
      </c>
      <c r="AK101" s="29">
        <f t="shared" si="143"/>
        <v>0</v>
      </c>
      <c r="AL101" s="69">
        <f t="shared" si="143"/>
        <v>2</v>
      </c>
      <c r="AM101" s="29">
        <f t="shared" si="143"/>
        <v>0</v>
      </c>
      <c r="AN101" s="29">
        <f>AN97+SUM(AN98:AN100)</f>
        <v>0</v>
      </c>
      <c r="AO101" s="29">
        <f>AO97+SUM(AO98:AO100)</f>
        <v>0</v>
      </c>
      <c r="AP101" s="29">
        <f>AP97+SUM(AP98:AP100)</f>
        <v>0</v>
      </c>
      <c r="AQ101" s="100">
        <f>AQ28</f>
        <v>0</v>
      </c>
      <c r="AR101" s="29">
        <f>AR97+SUM(AR98:AR100)</f>
        <v>0</v>
      </c>
      <c r="AS101" s="29">
        <f>AS97+SUM(AS98:AS100)</f>
        <v>2.2000000000000028</v>
      </c>
      <c r="AT101" s="29">
        <f>AT97+SUM(AT98:AT100)</f>
        <v>3.5</v>
      </c>
      <c r="AU101" s="29">
        <f>AU97+SUM(AU98:AU100)</f>
        <v>0</v>
      </c>
      <c r="AV101" s="100">
        <f t="shared" ref="AV101" si="144">AV28</f>
        <v>5.7000000000000028</v>
      </c>
      <c r="AW101" s="29">
        <f>AW97+SUM(AW98:AW100)</f>
        <v>202.24999999999997</v>
      </c>
      <c r="AX101" s="29">
        <f>AX97+SUM(AX98:AX100)</f>
        <v>2.9999999999999929</v>
      </c>
      <c r="AY101" s="29">
        <f>AY97+SUM(AY98:AY100)</f>
        <v>10</v>
      </c>
      <c r="AZ101" s="29">
        <f>AZ97+SUM(AZ98:AZ100)</f>
        <v>36</v>
      </c>
      <c r="BA101" s="100">
        <f t="shared" ref="BA101" si="145">BA28</f>
        <v>251.24999999999997</v>
      </c>
      <c r="BB101" s="29">
        <f>BB97+SUM(BB98:BB100)</f>
        <v>0</v>
      </c>
      <c r="BC101" s="77"/>
      <c r="BD101" s="77"/>
      <c r="BE101" s="77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</row>
    <row r="102" spans="2:73" s="2" customFormat="1">
      <c r="B102" s="1"/>
      <c r="C102" s="1"/>
      <c r="D102" s="46"/>
      <c r="E102" s="46"/>
      <c r="F102" s="46"/>
      <c r="G102" s="46"/>
      <c r="H102" s="1"/>
      <c r="I102" s="46"/>
      <c r="J102" s="46"/>
      <c r="K102" s="46"/>
      <c r="L102" s="46"/>
      <c r="M102" s="1"/>
      <c r="N102" s="46"/>
      <c r="O102" s="46"/>
      <c r="P102" s="46"/>
      <c r="Q102" s="46"/>
      <c r="R102" s="1"/>
      <c r="S102" s="46"/>
      <c r="T102" s="46"/>
      <c r="U102" s="46"/>
      <c r="V102" s="46"/>
      <c r="W102" s="1"/>
      <c r="X102" s="46"/>
      <c r="Y102" s="46"/>
      <c r="Z102" s="46"/>
      <c r="AA102" s="46"/>
      <c r="AB102" s="1"/>
      <c r="AC102" s="46"/>
      <c r="AD102" s="46"/>
      <c r="AE102" s="46"/>
      <c r="AF102" s="46"/>
      <c r="AG102" s="1"/>
      <c r="AH102" s="46"/>
      <c r="AI102" s="46"/>
      <c r="AJ102" s="46"/>
      <c r="AK102" s="46"/>
      <c r="AL102" s="1"/>
      <c r="AM102" s="46"/>
      <c r="AN102" s="46"/>
      <c r="AO102" s="46"/>
      <c r="AP102" s="46"/>
      <c r="AQ102" s="1"/>
      <c r="AR102" s="46"/>
      <c r="AS102" s="46"/>
      <c r="AT102" s="46"/>
      <c r="AU102" s="46"/>
      <c r="AV102" s="1"/>
      <c r="AW102" s="46"/>
      <c r="AX102" s="46"/>
      <c r="AY102" s="46"/>
      <c r="AZ102" s="46"/>
      <c r="BA102" s="1"/>
      <c r="BB102" s="46"/>
      <c r="BC102" s="46"/>
      <c r="BD102" s="46"/>
      <c r="BE102" s="46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</row>
    <row r="103" spans="2:73">
      <c r="C103" s="1" t="s">
        <v>90</v>
      </c>
      <c r="D103" s="17">
        <f t="shared" ref="D103:AP103" si="146">D66</f>
        <v>-0.77700000000000002</v>
      </c>
      <c r="E103" s="17">
        <f t="shared" si="146"/>
        <v>-0.65700000000000003</v>
      </c>
      <c r="F103" s="17">
        <f t="shared" si="146"/>
        <v>-0.125</v>
      </c>
      <c r="G103" s="17">
        <f t="shared" si="146"/>
        <v>-4.1000000000000002E-2</v>
      </c>
      <c r="H103" s="93">
        <f t="shared" si="146"/>
        <v>-1.6</v>
      </c>
      <c r="I103" s="17">
        <f t="shared" si="146"/>
        <v>1.3000000000000008E-3</v>
      </c>
      <c r="J103" s="17">
        <f t="shared" si="146"/>
        <v>-1.4810000000000001</v>
      </c>
      <c r="K103" s="17">
        <f t="shared" si="146"/>
        <v>-7.75</v>
      </c>
      <c r="L103" s="17">
        <f t="shared" si="146"/>
        <v>-7.6689999999999996</v>
      </c>
      <c r="M103" s="93">
        <f t="shared" si="146"/>
        <v>-16.898699999999998</v>
      </c>
      <c r="N103" s="17">
        <f t="shared" si="146"/>
        <v>-7.399</v>
      </c>
      <c r="O103" s="17">
        <f t="shared" si="146"/>
        <v>-7.1420000000000003</v>
      </c>
      <c r="P103" s="17">
        <f t="shared" si="146"/>
        <v>-6.202</v>
      </c>
      <c r="Q103" s="17">
        <f t="shared" si="146"/>
        <v>-6.173</v>
      </c>
      <c r="R103" s="93">
        <f t="shared" si="146"/>
        <v>-26.916000000000004</v>
      </c>
      <c r="S103" s="17">
        <f t="shared" si="146"/>
        <v>-10.076000000000001</v>
      </c>
      <c r="T103" s="17">
        <f t="shared" si="146"/>
        <v>-11.429</v>
      </c>
      <c r="U103" s="17">
        <f t="shared" si="146"/>
        <v>-14.53</v>
      </c>
      <c r="V103" s="17">
        <f t="shared" si="146"/>
        <v>-16.678000000000001</v>
      </c>
      <c r="W103" s="93">
        <f t="shared" si="146"/>
        <v>-52.713000000000008</v>
      </c>
      <c r="X103" s="17">
        <f t="shared" si="146"/>
        <v>-16.245000000000001</v>
      </c>
      <c r="Y103" s="17">
        <f t="shared" si="146"/>
        <v>-15.811999999999999</v>
      </c>
      <c r="Z103" s="17">
        <f t="shared" si="146"/>
        <v>-12.65</v>
      </c>
      <c r="AA103" s="17">
        <f t="shared" si="146"/>
        <v>-12.21</v>
      </c>
      <c r="AB103" s="93">
        <f t="shared" si="146"/>
        <v>-56.917000000000002</v>
      </c>
      <c r="AC103" s="17">
        <f t="shared" si="146"/>
        <v>-12.192</v>
      </c>
      <c r="AD103" s="17">
        <f t="shared" si="146"/>
        <v>-12.121</v>
      </c>
      <c r="AE103" s="17">
        <f t="shared" si="146"/>
        <v>-18.498000000000001</v>
      </c>
      <c r="AF103" s="17">
        <f t="shared" si="146"/>
        <v>-19.131</v>
      </c>
      <c r="AG103" s="93">
        <f t="shared" si="146"/>
        <v>-61.942000000000007</v>
      </c>
      <c r="AH103" s="17">
        <f t="shared" si="146"/>
        <v>-18.844000000000001</v>
      </c>
      <c r="AI103" s="17">
        <f t="shared" si="146"/>
        <v>-18.294</v>
      </c>
      <c r="AJ103" s="17">
        <f t="shared" si="146"/>
        <v>-19.192</v>
      </c>
      <c r="AK103" s="17">
        <f t="shared" si="146"/>
        <v>-21.425999999999998</v>
      </c>
      <c r="AL103" s="93">
        <f t="shared" si="146"/>
        <v>-77.756</v>
      </c>
      <c r="AM103" s="17">
        <f t="shared" si="146"/>
        <v>-20.605</v>
      </c>
      <c r="AN103" s="17">
        <f t="shared" si="146"/>
        <v>-19.646000000000001</v>
      </c>
      <c r="AO103" s="17">
        <f t="shared" si="146"/>
        <v>-18.920000000000002</v>
      </c>
      <c r="AP103" s="17">
        <f t="shared" si="146"/>
        <v>-17.904</v>
      </c>
      <c r="AQ103" s="69">
        <f>AQ105+AQ104</f>
        <v>-77.074999999999989</v>
      </c>
      <c r="AR103" s="17">
        <f t="shared" ref="AR103" si="147">AR66</f>
        <v>-17.922000000000001</v>
      </c>
      <c r="AS103" s="17">
        <f>AS66</f>
        <v>-18.234000000000002</v>
      </c>
      <c r="AT103" s="17">
        <f>AT66</f>
        <v>-17.861000000000001</v>
      </c>
      <c r="AU103" s="17">
        <f>AU66</f>
        <v>-18.244</v>
      </c>
      <c r="AV103" s="69">
        <f>AV105+AV104</f>
        <v>-72.260999999999996</v>
      </c>
      <c r="AW103" s="17">
        <f>AW66</f>
        <v>-18.495999999999999</v>
      </c>
      <c r="AX103" s="17">
        <f>AX66</f>
        <v>-26.21</v>
      </c>
      <c r="AY103" s="17">
        <f>AY66</f>
        <v>-27.428000000000001</v>
      </c>
      <c r="AZ103" s="17">
        <f>AZ66</f>
        <v>-27.573</v>
      </c>
      <c r="BA103" s="69">
        <f>BA105+BA104</f>
        <v>-99.706999999999994</v>
      </c>
      <c r="BB103" s="17">
        <f>BB66</f>
        <v>-27.376000000000001</v>
      </c>
      <c r="BC103" s="29"/>
      <c r="BD103" s="29"/>
      <c r="BE103" s="29"/>
      <c r="BF103" s="69"/>
      <c r="BG103" s="69"/>
      <c r="BH103" s="69"/>
      <c r="BI103" s="69"/>
      <c r="BJ103" s="69"/>
      <c r="BK103" s="69"/>
      <c r="BL103" s="69"/>
      <c r="BM103" s="69"/>
      <c r="BN103" s="69"/>
      <c r="BO103" s="69"/>
      <c r="BP103" s="69"/>
      <c r="BQ103" s="69"/>
      <c r="BR103" s="69"/>
      <c r="BS103" s="69"/>
      <c r="BT103" s="69"/>
    </row>
    <row r="104" spans="2:73" ht="15.6">
      <c r="C104" s="16" t="s">
        <v>79</v>
      </c>
      <c r="D104" s="94">
        <v>-0.20599999999999999</v>
      </c>
      <c r="E104" s="94">
        <v>-0.188</v>
      </c>
      <c r="F104" s="94">
        <v>0</v>
      </c>
      <c r="G104" s="94">
        <v>0</v>
      </c>
      <c r="H104" s="95">
        <f>SUM(D104:G104)</f>
        <v>-0.39400000000000002</v>
      </c>
      <c r="I104" s="94">
        <v>-4.2000000000000003E-2</v>
      </c>
      <c r="J104" s="94">
        <v>-0.26700000000000002</v>
      </c>
      <c r="K104" s="94">
        <v>-1.2609999999999999</v>
      </c>
      <c r="L104" s="94">
        <v>-1.29</v>
      </c>
      <c r="M104" s="95">
        <f>SUM(I104:L104)</f>
        <v>-2.86</v>
      </c>
      <c r="N104" s="94">
        <v>-1.2290000000000001</v>
      </c>
      <c r="O104" s="94">
        <v>-1.1930000000000001</v>
      </c>
      <c r="P104" s="94">
        <v>-1.083</v>
      </c>
      <c r="Q104" s="94">
        <v>-1.085</v>
      </c>
      <c r="R104" s="95">
        <f>SUM(N104:Q104)</f>
        <v>-4.59</v>
      </c>
      <c r="S104" s="94">
        <v>-1.6379999999999999</v>
      </c>
      <c r="T104" s="94">
        <v>-1.9</v>
      </c>
      <c r="U104" s="94">
        <v>-4.0650000000000004</v>
      </c>
      <c r="V104" s="94">
        <v>-6.1219999999999999</v>
      </c>
      <c r="W104" s="95">
        <f>SUM(S104:V104)</f>
        <v>-13.725</v>
      </c>
      <c r="X104" s="94">
        <v>-6.016</v>
      </c>
      <c r="Y104" s="94">
        <v>-6.032</v>
      </c>
      <c r="Z104" s="94">
        <v>-5.3</v>
      </c>
      <c r="AA104" s="94">
        <v>-5.39</v>
      </c>
      <c r="AB104" s="95">
        <f>SUM(X104:AA104)</f>
        <v>-22.738</v>
      </c>
      <c r="AC104" s="94">
        <v>-5.3620000000000001</v>
      </c>
      <c r="AD104" s="94">
        <v>-5.4139999999999997</v>
      </c>
      <c r="AE104" s="94">
        <v>-5.6420000000000003</v>
      </c>
      <c r="AF104" s="94">
        <v>-5.7149999999999999</v>
      </c>
      <c r="AG104" s="95">
        <f>SUM(AC104:AF104)</f>
        <v>-22.132999999999999</v>
      </c>
      <c r="AH104" s="94">
        <v>-5.6150000000000002</v>
      </c>
      <c r="AI104" s="94">
        <v>-5.7640000000000002</v>
      </c>
      <c r="AJ104" s="94">
        <v>-7.8550000000000004</v>
      </c>
      <c r="AK104" s="94">
        <v>-10.792</v>
      </c>
      <c r="AL104" s="95">
        <f>SUM(AH104:AK104)</f>
        <v>-30.026000000000003</v>
      </c>
      <c r="AM104" s="94">
        <v>-10.617000000000001</v>
      </c>
      <c r="AN104" s="94">
        <v>-10.887</v>
      </c>
      <c r="AO104" s="94">
        <v>-11.164999999999999</v>
      </c>
      <c r="AP104" s="94">
        <f>-11.291</f>
        <v>-11.291</v>
      </c>
      <c r="AQ104" s="24">
        <f>SUM(AM104:AP104)</f>
        <v>-43.959999999999994</v>
      </c>
      <c r="AR104" s="94">
        <f>-11.133</f>
        <v>-11.132999999999999</v>
      </c>
      <c r="AS104" s="94">
        <v>-11.451000000000001</v>
      </c>
      <c r="AT104" s="94">
        <f>-11.831</f>
        <v>-11.831</v>
      </c>
      <c r="AU104" s="94">
        <f>-11.981</f>
        <v>-11.981</v>
      </c>
      <c r="AV104" s="24">
        <f>SUM(AR104:AU104)</f>
        <v>-46.396000000000001</v>
      </c>
      <c r="AW104" s="94">
        <f>-12</f>
        <v>-12</v>
      </c>
      <c r="AX104" s="94">
        <f>-12.793-4.475</f>
        <v>-17.268000000000001</v>
      </c>
      <c r="AY104" s="94">
        <f>-15.82</f>
        <v>-15.82</v>
      </c>
      <c r="AZ104" s="94">
        <v>-16.045999999999999</v>
      </c>
      <c r="BA104" s="24">
        <f>SUM(AW104:AZ104)</f>
        <v>-61.134</v>
      </c>
      <c r="BB104" s="94">
        <v>-15.688000000000001</v>
      </c>
      <c r="BC104" s="26"/>
      <c r="BD104" s="26"/>
      <c r="BE104" s="26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</row>
    <row r="105" spans="2:73">
      <c r="C105" s="1" t="s">
        <v>91</v>
      </c>
      <c r="D105" s="29">
        <f t="shared" ref="D105:AM105" si="148">D103-D104</f>
        <v>-0.57100000000000006</v>
      </c>
      <c r="E105" s="29">
        <f t="shared" si="148"/>
        <v>-0.46900000000000003</v>
      </c>
      <c r="F105" s="29">
        <f t="shared" si="148"/>
        <v>-0.125</v>
      </c>
      <c r="G105" s="29">
        <f t="shared" si="148"/>
        <v>-4.1000000000000002E-2</v>
      </c>
      <c r="H105" s="69">
        <f t="shared" si="148"/>
        <v>-1.206</v>
      </c>
      <c r="I105" s="29">
        <f t="shared" si="148"/>
        <v>4.3300000000000005E-2</v>
      </c>
      <c r="J105" s="29">
        <f t="shared" si="148"/>
        <v>-1.214</v>
      </c>
      <c r="K105" s="29">
        <f t="shared" si="148"/>
        <v>-6.4889999999999999</v>
      </c>
      <c r="L105" s="29">
        <f t="shared" si="148"/>
        <v>-6.3789999999999996</v>
      </c>
      <c r="M105" s="69">
        <f t="shared" si="148"/>
        <v>-14.038699999999999</v>
      </c>
      <c r="N105" s="29">
        <f t="shared" si="148"/>
        <v>-6.17</v>
      </c>
      <c r="O105" s="29">
        <f t="shared" si="148"/>
        <v>-5.9489999999999998</v>
      </c>
      <c r="P105" s="29">
        <f t="shared" si="148"/>
        <v>-5.1189999999999998</v>
      </c>
      <c r="Q105" s="29">
        <f t="shared" si="148"/>
        <v>-5.0880000000000001</v>
      </c>
      <c r="R105" s="69">
        <f t="shared" si="148"/>
        <v>-22.326000000000004</v>
      </c>
      <c r="S105" s="29">
        <f t="shared" si="148"/>
        <v>-8.4380000000000006</v>
      </c>
      <c r="T105" s="29">
        <f t="shared" si="148"/>
        <v>-9.5289999999999999</v>
      </c>
      <c r="U105" s="29">
        <f t="shared" si="148"/>
        <v>-10.465</v>
      </c>
      <c r="V105" s="29">
        <f t="shared" si="148"/>
        <v>-10.556000000000001</v>
      </c>
      <c r="W105" s="69">
        <f t="shared" si="148"/>
        <v>-38.988000000000007</v>
      </c>
      <c r="X105" s="29">
        <f t="shared" si="148"/>
        <v>-10.229000000000001</v>
      </c>
      <c r="Y105" s="29">
        <f t="shared" si="148"/>
        <v>-9.7799999999999994</v>
      </c>
      <c r="Z105" s="29">
        <f t="shared" si="148"/>
        <v>-7.3500000000000005</v>
      </c>
      <c r="AA105" s="29">
        <f t="shared" si="148"/>
        <v>-6.8200000000000012</v>
      </c>
      <c r="AB105" s="69">
        <f t="shared" si="148"/>
        <v>-34.179000000000002</v>
      </c>
      <c r="AC105" s="29">
        <f t="shared" si="148"/>
        <v>-6.83</v>
      </c>
      <c r="AD105" s="29">
        <f t="shared" si="148"/>
        <v>-6.7070000000000007</v>
      </c>
      <c r="AE105" s="29">
        <f t="shared" si="148"/>
        <v>-12.856000000000002</v>
      </c>
      <c r="AF105" s="29">
        <f t="shared" si="148"/>
        <v>-13.416</v>
      </c>
      <c r="AG105" s="69">
        <f t="shared" si="148"/>
        <v>-39.809000000000012</v>
      </c>
      <c r="AH105" s="29">
        <f t="shared" si="148"/>
        <v>-13.229000000000001</v>
      </c>
      <c r="AI105" s="29">
        <f t="shared" si="148"/>
        <v>-12.530000000000001</v>
      </c>
      <c r="AJ105" s="29">
        <f t="shared" si="148"/>
        <v>-11.337</v>
      </c>
      <c r="AK105" s="29">
        <f t="shared" si="148"/>
        <v>-10.633999999999999</v>
      </c>
      <c r="AL105" s="69">
        <f t="shared" si="148"/>
        <v>-47.73</v>
      </c>
      <c r="AM105" s="29">
        <f t="shared" si="148"/>
        <v>-9.9879999999999995</v>
      </c>
      <c r="AN105" s="29">
        <f>AN103-AN104</f>
        <v>-8.7590000000000003</v>
      </c>
      <c r="AO105" s="29">
        <f>AO103-AO104</f>
        <v>-7.7550000000000026</v>
      </c>
      <c r="AP105" s="29">
        <f>AP103-AP104</f>
        <v>-6.6129999999999995</v>
      </c>
      <c r="AQ105" s="102">
        <f>AQ30</f>
        <v>-33.115000000000002</v>
      </c>
      <c r="AR105" s="29">
        <f>AR103-AR104</f>
        <v>-6.7890000000000015</v>
      </c>
      <c r="AS105" s="29">
        <f>AS103-AS104</f>
        <v>-6.7830000000000013</v>
      </c>
      <c r="AT105" s="29">
        <f>AT103-AT104</f>
        <v>-6.0300000000000011</v>
      </c>
      <c r="AU105" s="29">
        <f>AU103-AU104</f>
        <v>-6.2629999999999999</v>
      </c>
      <c r="AV105" s="69">
        <f t="shared" ref="AV105" si="149">AV30</f>
        <v>-25.865000000000002</v>
      </c>
      <c r="AW105" s="29">
        <f>AW103-AW104</f>
        <v>-6.4959999999999987</v>
      </c>
      <c r="AX105" s="29">
        <f>AX103-AX104</f>
        <v>-8.9420000000000002</v>
      </c>
      <c r="AY105" s="29">
        <f>AY103-AY104</f>
        <v>-11.608000000000001</v>
      </c>
      <c r="AZ105" s="29">
        <f>AZ103-AZ104</f>
        <v>-11.527000000000001</v>
      </c>
      <c r="BA105" s="69">
        <f t="shared" ref="BA105" si="150">BA30</f>
        <v>-38.573</v>
      </c>
      <c r="BB105" s="29">
        <f>BB103-BB104</f>
        <v>-11.688000000000001</v>
      </c>
      <c r="BC105" s="29"/>
      <c r="BD105" s="29"/>
      <c r="BE105" s="29"/>
      <c r="BF105" s="69"/>
      <c r="BG105" s="69"/>
      <c r="BH105" s="69"/>
      <c r="BI105" s="69"/>
      <c r="BJ105" s="69"/>
      <c r="BK105" s="69"/>
      <c r="BL105" s="69"/>
      <c r="BM105" s="69"/>
      <c r="BN105" s="69"/>
      <c r="BO105" s="69"/>
      <c r="BP105" s="69"/>
      <c r="BQ105" s="69"/>
      <c r="BR105" s="69"/>
      <c r="BS105" s="69"/>
      <c r="BT105" s="69"/>
    </row>
    <row r="106" spans="2:73">
      <c r="D106" s="46"/>
      <c r="E106" s="46"/>
      <c r="F106" s="46"/>
      <c r="G106" s="46"/>
      <c r="I106" s="46"/>
      <c r="J106" s="46"/>
      <c r="K106" s="46"/>
      <c r="L106" s="46"/>
      <c r="N106" s="46"/>
      <c r="O106" s="46"/>
      <c r="P106" s="46"/>
      <c r="Q106" s="46"/>
      <c r="S106" s="46"/>
      <c r="T106" s="46"/>
      <c r="U106" s="46"/>
      <c r="V106" s="46"/>
      <c r="X106" s="46"/>
      <c r="Y106" s="46"/>
      <c r="Z106" s="46"/>
      <c r="AA106" s="46"/>
      <c r="AC106" s="46"/>
      <c r="AD106" s="46"/>
      <c r="AE106" s="46"/>
      <c r="AF106" s="46"/>
      <c r="AH106" s="46"/>
      <c r="AI106" s="46"/>
      <c r="AJ106" s="46"/>
      <c r="AK106" s="46"/>
      <c r="AM106" s="46"/>
      <c r="AN106" s="46"/>
      <c r="AO106" s="46"/>
      <c r="AP106" s="46"/>
      <c r="AR106" s="46"/>
      <c r="AS106" s="46"/>
      <c r="AT106" s="46"/>
      <c r="AU106" s="46"/>
      <c r="AW106" s="46"/>
      <c r="AX106" s="46"/>
      <c r="AY106" s="46"/>
      <c r="AZ106" s="46"/>
      <c r="BB106" s="46"/>
      <c r="BC106" s="46"/>
      <c r="BD106" s="46"/>
      <c r="BE106" s="46"/>
    </row>
    <row r="107" spans="2:73">
      <c r="C107" s="18" t="s">
        <v>92</v>
      </c>
      <c r="D107" s="32">
        <f t="shared" ref="D107:AN107" si="151">SUM(D67:D68)</f>
        <v>0</v>
      </c>
      <c r="E107" s="32">
        <f t="shared" si="151"/>
        <v>0</v>
      </c>
      <c r="F107" s="32">
        <f t="shared" si="151"/>
        <v>-1.097</v>
      </c>
      <c r="G107" s="32">
        <f t="shared" si="151"/>
        <v>-0.15</v>
      </c>
      <c r="H107" s="18">
        <f t="shared" si="151"/>
        <v>-1.2469999999999999</v>
      </c>
      <c r="I107" s="32">
        <f t="shared" si="151"/>
        <v>0</v>
      </c>
      <c r="J107" s="32">
        <f t="shared" si="151"/>
        <v>-0.24</v>
      </c>
      <c r="K107" s="32">
        <f t="shared" si="151"/>
        <v>-1.099</v>
      </c>
      <c r="L107" s="32">
        <f t="shared" si="151"/>
        <v>-2.2629999999999999</v>
      </c>
      <c r="M107" s="18">
        <f t="shared" si="151"/>
        <v>-3.6020000000000003</v>
      </c>
      <c r="N107" s="32">
        <f t="shared" si="151"/>
        <v>0.27100000000000002</v>
      </c>
      <c r="O107" s="32">
        <f t="shared" si="151"/>
        <v>-4.1340000000000003</v>
      </c>
      <c r="P107" s="32">
        <f t="shared" si="151"/>
        <v>-0.61399999999999999</v>
      </c>
      <c r="Q107" s="32">
        <f t="shared" si="151"/>
        <v>-0.96899999999999997</v>
      </c>
      <c r="R107" s="18">
        <f t="shared" si="151"/>
        <v>-5.4459999999999997</v>
      </c>
      <c r="S107" s="32">
        <f t="shared" si="151"/>
        <v>0.123</v>
      </c>
      <c r="T107" s="32">
        <f t="shared" si="151"/>
        <v>7.3999999999999996E-2</v>
      </c>
      <c r="U107" s="32">
        <f t="shared" si="151"/>
        <v>6.4829999999999997</v>
      </c>
      <c r="V107" s="32">
        <f t="shared" si="151"/>
        <v>2.0030000000000001</v>
      </c>
      <c r="W107" s="18">
        <f t="shared" si="151"/>
        <v>8.6829999999999998</v>
      </c>
      <c r="X107" s="32">
        <f t="shared" si="151"/>
        <v>2.2450000000000001</v>
      </c>
      <c r="Y107" s="32">
        <f t="shared" si="151"/>
        <v>-18.729000000000003</v>
      </c>
      <c r="Z107" s="32">
        <f t="shared" si="151"/>
        <v>-0.97699999999999998</v>
      </c>
      <c r="AA107" s="32">
        <f t="shared" si="151"/>
        <v>2.0910000000000002</v>
      </c>
      <c r="AB107" s="18">
        <f t="shared" si="151"/>
        <v>-15.370000000000001</v>
      </c>
      <c r="AC107" s="32">
        <f t="shared" si="151"/>
        <v>-0.81899999999999995</v>
      </c>
      <c r="AD107" s="32">
        <f t="shared" si="151"/>
        <v>0</v>
      </c>
      <c r="AE107" s="32">
        <f t="shared" si="151"/>
        <v>-1.387</v>
      </c>
      <c r="AF107" s="32">
        <f t="shared" si="151"/>
        <v>4.9400000000000004</v>
      </c>
      <c r="AG107" s="18">
        <f t="shared" si="151"/>
        <v>2.7340000000000004</v>
      </c>
      <c r="AH107" s="32">
        <f t="shared" si="151"/>
        <v>-1.464</v>
      </c>
      <c r="AI107" s="32">
        <f t="shared" si="151"/>
        <v>-5.4269999999999996</v>
      </c>
      <c r="AJ107" s="32">
        <f t="shared" si="151"/>
        <v>-2.2240000000000002</v>
      </c>
      <c r="AK107" s="32">
        <f t="shared" si="151"/>
        <v>-0.85399999999999998</v>
      </c>
      <c r="AL107" s="18">
        <f t="shared" si="151"/>
        <v>-9.9689999999999994</v>
      </c>
      <c r="AM107" s="32">
        <f t="shared" si="151"/>
        <v>-1.728</v>
      </c>
      <c r="AN107" s="32">
        <f t="shared" si="151"/>
        <v>-4.1219999999999999</v>
      </c>
      <c r="AO107" s="32">
        <f t="shared" ref="AO107:AP107" ca="1" si="152">SUM(AO67:AO68)</f>
        <v>-0.75600000000000001</v>
      </c>
      <c r="AP107" s="32">
        <f t="shared" si="152"/>
        <v>-1.694</v>
      </c>
      <c r="AQ107" s="69">
        <f ca="1">AQ110+AQ109+AQ108</f>
        <v>-8.3000000000000007</v>
      </c>
      <c r="AR107" s="32">
        <f>SUM(AR67:AR68)</f>
        <v>-0.61099999999999999</v>
      </c>
      <c r="AS107" s="32">
        <f>SUM(AS67:AS68)</f>
        <v>-1.9330000000000001</v>
      </c>
      <c r="AT107" s="32">
        <f>SUM(AT67:AT68)</f>
        <v>-1.0329999999999999</v>
      </c>
      <c r="AU107" s="32">
        <f>SUM(AU67:AU68)</f>
        <v>-2.234</v>
      </c>
      <c r="AV107" s="69">
        <f>AV110+AV109+AV108</f>
        <v>-5.8109999999999999</v>
      </c>
      <c r="AW107" s="32">
        <f>SUM(AW67:AW68)</f>
        <v>-1.1319999999999999</v>
      </c>
      <c r="AX107" s="32">
        <f>SUM(AX67:AX68)</f>
        <v>-0.46400000000000002</v>
      </c>
      <c r="AY107" s="32">
        <f>SUM(AY67:AY68)</f>
        <v>-0.63900000000000001</v>
      </c>
      <c r="AZ107" s="32">
        <f>SUM(AZ67:AZ68)</f>
        <v>-1.036</v>
      </c>
      <c r="BA107" s="69">
        <f>BA110+BA109+BA108</f>
        <v>-3.2709999999999999</v>
      </c>
      <c r="BB107" s="32">
        <f>SUM(BB67:BB68)</f>
        <v>0.94299999999999995</v>
      </c>
      <c r="BC107" s="29"/>
      <c r="BD107" s="29"/>
      <c r="BE107" s="29"/>
      <c r="BF107" s="69"/>
      <c r="BG107" s="69"/>
      <c r="BH107" s="69"/>
      <c r="BI107" s="69"/>
      <c r="BJ107" s="69"/>
      <c r="BK107" s="69"/>
      <c r="BL107" s="69"/>
      <c r="BM107" s="69"/>
      <c r="BN107" s="69"/>
      <c r="BO107" s="69"/>
      <c r="BP107" s="69"/>
      <c r="BQ107" s="69"/>
      <c r="BR107" s="69"/>
      <c r="BS107" s="69"/>
      <c r="BT107" s="69"/>
    </row>
    <row r="108" spans="2:73">
      <c r="C108" s="103" t="s">
        <v>54</v>
      </c>
      <c r="D108" s="32">
        <v>0</v>
      </c>
      <c r="E108" s="32">
        <v>0</v>
      </c>
      <c r="F108" s="32">
        <v>0</v>
      </c>
      <c r="G108" s="32">
        <v>0</v>
      </c>
      <c r="H108" s="18">
        <f>SUM(D108:G108)</f>
        <v>0</v>
      </c>
      <c r="I108" s="32">
        <v>0</v>
      </c>
      <c r="J108" s="32">
        <v>0</v>
      </c>
      <c r="K108" s="32">
        <v>0</v>
      </c>
      <c r="L108" s="32">
        <v>0</v>
      </c>
      <c r="M108" s="18">
        <f>SUM(I108:L108)</f>
        <v>0</v>
      </c>
      <c r="N108" s="32">
        <v>0</v>
      </c>
      <c r="O108" s="32">
        <v>0</v>
      </c>
      <c r="P108" s="32">
        <v>0</v>
      </c>
      <c r="Q108" s="32">
        <v>0</v>
      </c>
      <c r="R108" s="18">
        <f>SUM(N108:Q108)</f>
        <v>0</v>
      </c>
      <c r="S108" s="32">
        <v>0</v>
      </c>
      <c r="T108" s="32">
        <v>0</v>
      </c>
      <c r="U108" s="32">
        <v>0</v>
      </c>
      <c r="V108" s="32">
        <v>0</v>
      </c>
      <c r="W108" s="18">
        <f>SUM(S108:V108)</f>
        <v>0</v>
      </c>
      <c r="X108" s="32">
        <v>0</v>
      </c>
      <c r="Y108" s="32">
        <v>0</v>
      </c>
      <c r="Z108" s="32">
        <v>0</v>
      </c>
      <c r="AA108" s="32">
        <v>0</v>
      </c>
      <c r="AB108" s="18">
        <f>SUM(X108:AA108)</f>
        <v>0</v>
      </c>
      <c r="AC108" s="32">
        <v>0</v>
      </c>
      <c r="AD108" s="32">
        <v>0</v>
      </c>
      <c r="AE108" s="32">
        <v>0</v>
      </c>
      <c r="AF108" s="32">
        <v>0</v>
      </c>
      <c r="AG108" s="18">
        <f>SUM(AC108:AF108)</f>
        <v>0</v>
      </c>
      <c r="AH108" s="32">
        <v>0</v>
      </c>
      <c r="AI108" s="32">
        <v>0</v>
      </c>
      <c r="AJ108" s="32">
        <v>0</v>
      </c>
      <c r="AK108" s="32">
        <v>0</v>
      </c>
      <c r="AL108" s="18">
        <f>SUM(AH108:AK108)</f>
        <v>0</v>
      </c>
      <c r="AM108" s="32">
        <v>0</v>
      </c>
      <c r="AN108" s="32">
        <v>0</v>
      </c>
      <c r="AO108" s="32">
        <v>0</v>
      </c>
      <c r="AP108" s="32">
        <v>0</v>
      </c>
      <c r="AQ108" s="18">
        <f>SUM(AM108:AP108)</f>
        <v>0</v>
      </c>
      <c r="AR108" s="32">
        <v>0</v>
      </c>
      <c r="AS108" s="20">
        <v>0</v>
      </c>
      <c r="AT108" s="20">
        <v>0</v>
      </c>
      <c r="AU108" s="20">
        <v>0</v>
      </c>
      <c r="AV108" s="18">
        <f>SUM(AR108:AU108)</f>
        <v>0</v>
      </c>
      <c r="AW108" s="20">
        <v>0</v>
      </c>
      <c r="AX108" s="20">
        <v>0</v>
      </c>
      <c r="AY108" s="20">
        <v>0</v>
      </c>
      <c r="AZ108" s="20">
        <v>0</v>
      </c>
      <c r="BA108" s="18">
        <f>SUM(AW108:AZ108)</f>
        <v>0</v>
      </c>
      <c r="BB108" s="20">
        <v>0</v>
      </c>
      <c r="BC108" s="32"/>
      <c r="BD108" s="32"/>
      <c r="BE108" s="32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</row>
    <row r="109" spans="2:73" ht="15.6">
      <c r="B109" s="2"/>
      <c r="C109" s="16" t="s">
        <v>93</v>
      </c>
      <c r="D109" s="94">
        <v>0</v>
      </c>
      <c r="E109" s="94">
        <v>0</v>
      </c>
      <c r="F109" s="94">
        <v>-1.097</v>
      </c>
      <c r="G109" s="94">
        <v>-0.15</v>
      </c>
      <c r="H109" s="95">
        <f>SUM(D109:G109)</f>
        <v>-1.2469999999999999</v>
      </c>
      <c r="I109" s="94">
        <v>0</v>
      </c>
      <c r="J109" s="94">
        <v>0</v>
      </c>
      <c r="K109" s="94">
        <v>0</v>
      </c>
      <c r="L109" s="94">
        <v>0</v>
      </c>
      <c r="M109" s="95">
        <f>SUM(I109:L109)</f>
        <v>0</v>
      </c>
      <c r="N109" s="94">
        <v>0</v>
      </c>
      <c r="O109" s="94">
        <v>-3.7490000000000001</v>
      </c>
      <c r="P109" s="94">
        <v>0</v>
      </c>
      <c r="Q109" s="94">
        <v>0</v>
      </c>
      <c r="R109" s="95">
        <f>SUM(N109:Q109)</f>
        <v>-3.7490000000000001</v>
      </c>
      <c r="S109" s="94">
        <v>0</v>
      </c>
      <c r="T109" s="94">
        <v>0</v>
      </c>
      <c r="U109" s="94">
        <v>0</v>
      </c>
      <c r="V109" s="94">
        <v>0</v>
      </c>
      <c r="W109" s="95">
        <f>SUM(S109:V109)</f>
        <v>0</v>
      </c>
      <c r="X109" s="94">
        <v>0</v>
      </c>
      <c r="Y109" s="94">
        <v>-16.815000000000001</v>
      </c>
      <c r="Z109" s="94">
        <v>0</v>
      </c>
      <c r="AA109" s="94">
        <v>0</v>
      </c>
      <c r="AB109" s="95">
        <f>SUM(X109:AA109)</f>
        <v>-16.815000000000001</v>
      </c>
      <c r="AC109" s="94">
        <v>0</v>
      </c>
      <c r="AD109" s="94">
        <v>0</v>
      </c>
      <c r="AE109" s="94">
        <v>-0.63800000000000001</v>
      </c>
      <c r="AF109" s="94">
        <v>0</v>
      </c>
      <c r="AG109" s="95">
        <f>SUM(AC109:AF109)</f>
        <v>-0.63800000000000001</v>
      </c>
      <c r="AH109" s="94">
        <v>0</v>
      </c>
      <c r="AI109" s="94">
        <v>0</v>
      </c>
      <c r="AJ109" s="94">
        <v>0</v>
      </c>
      <c r="AK109" s="94">
        <v>0</v>
      </c>
      <c r="AL109" s="95">
        <f>SUM(AH109:AK109)</f>
        <v>0</v>
      </c>
      <c r="AM109" s="94">
        <v>0</v>
      </c>
      <c r="AN109" s="94">
        <v>0</v>
      </c>
      <c r="AO109" s="94">
        <v>0</v>
      </c>
      <c r="AP109" s="94">
        <v>0</v>
      </c>
      <c r="AQ109" s="24">
        <f>SUM(AM109:AP109)</f>
        <v>0</v>
      </c>
      <c r="AR109" s="94">
        <v>0</v>
      </c>
      <c r="AS109" s="94">
        <v>0</v>
      </c>
      <c r="AT109" s="94">
        <v>0</v>
      </c>
      <c r="AU109" s="94">
        <v>0</v>
      </c>
      <c r="AV109" s="24">
        <f>SUM(AR109:AU109)</f>
        <v>0</v>
      </c>
      <c r="AW109" s="94">
        <v>0</v>
      </c>
      <c r="AX109" s="94">
        <v>0</v>
      </c>
      <c r="AY109" s="94">
        <v>0</v>
      </c>
      <c r="AZ109" s="94">
        <v>0</v>
      </c>
      <c r="BA109" s="24">
        <f>SUM(AW109:AZ109)</f>
        <v>0</v>
      </c>
      <c r="BB109" s="94">
        <v>0</v>
      </c>
      <c r="BC109" s="26"/>
      <c r="BD109" s="26"/>
      <c r="BE109" s="26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</row>
    <row r="110" spans="2:73">
      <c r="C110" s="1" t="s">
        <v>94</v>
      </c>
      <c r="D110" s="29">
        <f t="shared" ref="D110:AL110" si="153">D107-D109-D108</f>
        <v>0</v>
      </c>
      <c r="E110" s="29">
        <f t="shared" si="153"/>
        <v>0</v>
      </c>
      <c r="F110" s="29">
        <f t="shared" si="153"/>
        <v>0</v>
      </c>
      <c r="G110" s="29">
        <f t="shared" si="153"/>
        <v>0</v>
      </c>
      <c r="H110" s="69">
        <f t="shared" si="153"/>
        <v>0</v>
      </c>
      <c r="I110" s="29">
        <f t="shared" si="153"/>
        <v>0</v>
      </c>
      <c r="J110" s="29">
        <f t="shared" si="153"/>
        <v>-0.24</v>
      </c>
      <c r="K110" s="29">
        <f t="shared" si="153"/>
        <v>-1.099</v>
      </c>
      <c r="L110" s="29">
        <f t="shared" si="153"/>
        <v>-2.2629999999999999</v>
      </c>
      <c r="M110" s="69">
        <f t="shared" si="153"/>
        <v>-3.6020000000000003</v>
      </c>
      <c r="N110" s="29">
        <f t="shared" si="153"/>
        <v>0.27100000000000002</v>
      </c>
      <c r="O110" s="29">
        <f t="shared" si="153"/>
        <v>-0.38500000000000023</v>
      </c>
      <c r="P110" s="29">
        <f t="shared" si="153"/>
        <v>-0.61399999999999999</v>
      </c>
      <c r="Q110" s="29">
        <f t="shared" si="153"/>
        <v>-0.96899999999999997</v>
      </c>
      <c r="R110" s="69">
        <f t="shared" si="153"/>
        <v>-1.6969999999999996</v>
      </c>
      <c r="S110" s="29">
        <f t="shared" si="153"/>
        <v>0.123</v>
      </c>
      <c r="T110" s="29">
        <f t="shared" si="153"/>
        <v>7.3999999999999996E-2</v>
      </c>
      <c r="U110" s="29">
        <f t="shared" si="153"/>
        <v>6.4829999999999997</v>
      </c>
      <c r="V110" s="29">
        <f t="shared" si="153"/>
        <v>2.0030000000000001</v>
      </c>
      <c r="W110" s="69">
        <f t="shared" si="153"/>
        <v>8.6829999999999998</v>
      </c>
      <c r="X110" s="29">
        <f t="shared" si="153"/>
        <v>2.2450000000000001</v>
      </c>
      <c r="Y110" s="29">
        <f t="shared" si="153"/>
        <v>-1.9140000000000015</v>
      </c>
      <c r="Z110" s="29">
        <f t="shared" si="153"/>
        <v>-0.97699999999999998</v>
      </c>
      <c r="AA110" s="29">
        <f t="shared" si="153"/>
        <v>2.0910000000000002</v>
      </c>
      <c r="AB110" s="69">
        <f t="shared" si="153"/>
        <v>1.4450000000000003</v>
      </c>
      <c r="AC110" s="29">
        <f t="shared" si="153"/>
        <v>-0.81899999999999995</v>
      </c>
      <c r="AD110" s="29">
        <f t="shared" si="153"/>
        <v>0</v>
      </c>
      <c r="AE110" s="29">
        <f t="shared" si="153"/>
        <v>-0.749</v>
      </c>
      <c r="AF110" s="29">
        <f t="shared" si="153"/>
        <v>4.9400000000000004</v>
      </c>
      <c r="AG110" s="69">
        <f t="shared" si="153"/>
        <v>3.3720000000000003</v>
      </c>
      <c r="AH110" s="29">
        <f t="shared" si="153"/>
        <v>-1.464</v>
      </c>
      <c r="AI110" s="29">
        <f t="shared" si="153"/>
        <v>-5.4269999999999996</v>
      </c>
      <c r="AJ110" s="29">
        <f t="shared" si="153"/>
        <v>-2.2240000000000002</v>
      </c>
      <c r="AK110" s="29">
        <f t="shared" si="153"/>
        <v>-0.85399999999999998</v>
      </c>
      <c r="AL110" s="69">
        <f t="shared" si="153"/>
        <v>-9.9689999999999994</v>
      </c>
      <c r="AM110" s="29">
        <f>AM107-AM109-AM108</f>
        <v>-1.728</v>
      </c>
      <c r="AN110" s="29">
        <f>AN107-AN109-AN108</f>
        <v>-4.1219999999999999</v>
      </c>
      <c r="AO110" s="29">
        <f ca="1">AO107-AO109-AO108</f>
        <v>-0.75600000000000001</v>
      </c>
      <c r="AP110" s="29">
        <f>AP107-AP109-AP108</f>
        <v>-1.694</v>
      </c>
      <c r="AQ110" s="102">
        <f ca="1">SUM(AQ31:AQ32)</f>
        <v>-8.3000000000000007</v>
      </c>
      <c r="AR110" s="29">
        <f>AR107-AR109-AR108</f>
        <v>-0.61099999999999999</v>
      </c>
      <c r="AS110" s="29">
        <f>AS107-AS109-AS108</f>
        <v>-1.9330000000000001</v>
      </c>
      <c r="AT110" s="29">
        <f>AT107-AT109-AT108</f>
        <v>-1.0329999999999999</v>
      </c>
      <c r="AU110" s="29">
        <f>AU107-AU109-AU108</f>
        <v>-2.234</v>
      </c>
      <c r="AV110" s="69">
        <f t="shared" ref="AV110" si="154">SUM(AV31:AV32)</f>
        <v>-5.8109999999999999</v>
      </c>
      <c r="AW110" s="29">
        <f>AW107-AW109-AW108</f>
        <v>-1.1319999999999999</v>
      </c>
      <c r="AX110" s="29">
        <f>AX107-AX109-AX108</f>
        <v>-0.46400000000000002</v>
      </c>
      <c r="AY110" s="29">
        <f>AY107-AY109-AY108</f>
        <v>-0.63900000000000001</v>
      </c>
      <c r="AZ110" s="29">
        <f>AZ107-AZ109-AZ108</f>
        <v>-1.036</v>
      </c>
      <c r="BA110" s="69">
        <f t="shared" ref="BA110" si="155">SUM(BA31:BA32)</f>
        <v>-3.2709999999999999</v>
      </c>
      <c r="BB110" s="29">
        <f>BB107-BB109-BB108</f>
        <v>0.94299999999999995</v>
      </c>
      <c r="BC110" s="29"/>
      <c r="BD110" s="29"/>
      <c r="BE110" s="29"/>
      <c r="BF110" s="69"/>
      <c r="BG110" s="69"/>
      <c r="BH110" s="69"/>
      <c r="BI110" s="69"/>
      <c r="BJ110" s="69"/>
      <c r="BK110" s="69"/>
      <c r="BL110" s="69"/>
      <c r="BM110" s="69"/>
      <c r="BN110" s="69"/>
      <c r="BO110" s="69"/>
      <c r="BP110" s="69"/>
      <c r="BQ110" s="69"/>
      <c r="BR110" s="69"/>
      <c r="BS110" s="69"/>
      <c r="BT110" s="69"/>
    </row>
    <row r="111" spans="2:73">
      <c r="D111" s="46"/>
      <c r="E111" s="46"/>
      <c r="F111" s="46"/>
      <c r="G111" s="46"/>
      <c r="I111" s="46"/>
      <c r="J111" s="46"/>
      <c r="K111" s="46"/>
      <c r="L111" s="46"/>
      <c r="N111" s="46"/>
      <c r="O111" s="46"/>
      <c r="P111" s="46"/>
      <c r="Q111" s="46"/>
      <c r="S111" s="46"/>
      <c r="T111" s="46"/>
      <c r="U111" s="46"/>
      <c r="V111" s="46"/>
      <c r="X111" s="46"/>
      <c r="Y111" s="46"/>
      <c r="Z111" s="46"/>
      <c r="AA111" s="46"/>
      <c r="AC111" s="46"/>
      <c r="AD111" s="46"/>
      <c r="AE111" s="46"/>
      <c r="AF111" s="46"/>
      <c r="AH111" s="46"/>
      <c r="AI111" s="46"/>
      <c r="AJ111" s="46"/>
      <c r="AK111" s="46"/>
      <c r="AM111" s="46"/>
      <c r="AN111" s="46"/>
      <c r="AO111" s="46"/>
      <c r="AP111" s="46"/>
      <c r="AR111" s="46"/>
      <c r="AS111" s="46"/>
      <c r="AT111" s="46"/>
      <c r="AU111" s="46"/>
      <c r="AW111" s="46"/>
      <c r="AX111" s="46"/>
      <c r="AY111" s="46"/>
      <c r="AZ111" s="46"/>
      <c r="BB111" s="46"/>
      <c r="BC111" s="46"/>
      <c r="BD111" s="46"/>
      <c r="BE111" s="46"/>
    </row>
    <row r="112" spans="2:73">
      <c r="C112" s="18" t="s">
        <v>95</v>
      </c>
      <c r="D112" s="17">
        <f t="shared" ref="D112:AP112" si="156">D70</f>
        <v>0</v>
      </c>
      <c r="E112" s="17">
        <f t="shared" si="156"/>
        <v>0</v>
      </c>
      <c r="F112" s="17">
        <f t="shared" si="156"/>
        <v>0</v>
      </c>
      <c r="G112" s="17">
        <f t="shared" si="156"/>
        <v>0</v>
      </c>
      <c r="H112" s="93">
        <f t="shared" si="156"/>
        <v>0</v>
      </c>
      <c r="I112" s="17">
        <f t="shared" si="156"/>
        <v>5.5170000000000003</v>
      </c>
      <c r="J112" s="17">
        <f t="shared" si="156"/>
        <v>6.593</v>
      </c>
      <c r="K112" s="17">
        <f t="shared" si="156"/>
        <v>12.856</v>
      </c>
      <c r="L112" s="17">
        <f t="shared" si="156"/>
        <v>-108.76</v>
      </c>
      <c r="M112" s="93">
        <f t="shared" si="156"/>
        <v>-83.794000000000011</v>
      </c>
      <c r="N112" s="17">
        <f t="shared" si="156"/>
        <v>17.634</v>
      </c>
      <c r="O112" s="17">
        <f t="shared" si="156"/>
        <v>23.605</v>
      </c>
      <c r="P112" s="17">
        <f t="shared" si="156"/>
        <v>18.335000000000001</v>
      </c>
      <c r="Q112" s="17">
        <f t="shared" si="156"/>
        <v>32.064</v>
      </c>
      <c r="R112" s="93">
        <f t="shared" si="156"/>
        <v>91.638000000000005</v>
      </c>
      <c r="S112" s="17">
        <f t="shared" si="156"/>
        <v>17.027000000000001</v>
      </c>
      <c r="T112" s="17">
        <f t="shared" si="156"/>
        <v>19.350000000000001</v>
      </c>
      <c r="U112" s="17">
        <f t="shared" si="156"/>
        <v>24.221</v>
      </c>
      <c r="V112" s="17">
        <f t="shared" si="156"/>
        <v>33.633000000000003</v>
      </c>
      <c r="W112" s="93">
        <f t="shared" si="156"/>
        <v>94.230999999999995</v>
      </c>
      <c r="X112" s="17">
        <f t="shared" si="156"/>
        <v>32.058999999999997</v>
      </c>
      <c r="Y112" s="17">
        <f t="shared" si="156"/>
        <v>30.646999999999998</v>
      </c>
      <c r="Z112" s="17">
        <f t="shared" si="156"/>
        <v>29.945</v>
      </c>
      <c r="AA112" s="17">
        <f t="shared" si="156"/>
        <v>13.747999999999999</v>
      </c>
      <c r="AB112" s="93">
        <f t="shared" si="156"/>
        <v>106.399</v>
      </c>
      <c r="AC112" s="17">
        <f t="shared" si="156"/>
        <v>32.338999999999999</v>
      </c>
      <c r="AD112" s="17">
        <f t="shared" si="156"/>
        <v>42.112000000000002</v>
      </c>
      <c r="AE112" s="17">
        <f t="shared" si="156"/>
        <v>26.437000000000001</v>
      </c>
      <c r="AF112" s="17">
        <f t="shared" si="156"/>
        <v>34.347999999999999</v>
      </c>
      <c r="AG112" s="93">
        <f t="shared" si="156"/>
        <v>135.23599999999999</v>
      </c>
      <c r="AH112" s="17">
        <f t="shared" si="156"/>
        <v>29.16</v>
      </c>
      <c r="AI112" s="17">
        <f t="shared" si="156"/>
        <v>35.515000000000001</v>
      </c>
      <c r="AJ112" s="17">
        <f t="shared" si="156"/>
        <v>1.2390000000000001</v>
      </c>
      <c r="AK112" s="17">
        <f t="shared" si="156"/>
        <v>-113.654</v>
      </c>
      <c r="AL112" s="93">
        <f t="shared" si="156"/>
        <v>-47.739999999999995</v>
      </c>
      <c r="AM112" s="17">
        <f t="shared" si="156"/>
        <v>19.146000000000001</v>
      </c>
      <c r="AN112" s="17">
        <f t="shared" si="156"/>
        <v>36.524000000000001</v>
      </c>
      <c r="AO112" s="17">
        <f t="shared" si="156"/>
        <v>19.347999999999999</v>
      </c>
      <c r="AP112" s="17">
        <f t="shared" si="156"/>
        <v>5.1440000000000001</v>
      </c>
      <c r="AQ112" s="69">
        <f>AQ114-AQ113</f>
        <v>80.161999999999978</v>
      </c>
      <c r="AR112" s="17">
        <f t="shared" ref="AR112:AW112" si="157">AR70</f>
        <v>29.116</v>
      </c>
      <c r="AS112" s="17">
        <f t="shared" si="157"/>
        <v>-78.650000000000006</v>
      </c>
      <c r="AT112" s="17">
        <f t="shared" si="157"/>
        <v>10.903</v>
      </c>
      <c r="AU112" s="17">
        <f t="shared" si="157"/>
        <v>-34.523000000000003</v>
      </c>
      <c r="AV112" s="69">
        <f>AV114-AV113</f>
        <v>-73.153999999999996</v>
      </c>
      <c r="AW112" s="17">
        <f t="shared" si="157"/>
        <v>-51.286999999999999</v>
      </c>
      <c r="AX112" s="17">
        <f>AX70</f>
        <v>54.753999999999998</v>
      </c>
      <c r="AY112" s="17">
        <f>AY70</f>
        <v>19.283000000000001</v>
      </c>
      <c r="AZ112" s="17">
        <f>AZ70</f>
        <v>10.766999999999999</v>
      </c>
      <c r="BA112" s="69">
        <f>BA114-BA113</f>
        <v>33.516999999999996</v>
      </c>
      <c r="BB112" s="17">
        <f>BB70</f>
        <v>18.018999999999998</v>
      </c>
      <c r="BC112" s="29"/>
      <c r="BD112" s="29"/>
      <c r="BE112" s="29"/>
      <c r="BF112" s="69"/>
      <c r="BG112" s="69"/>
      <c r="BH112" s="69"/>
      <c r="BI112" s="69"/>
      <c r="BJ112" s="69"/>
      <c r="BK112" s="69"/>
      <c r="BL112" s="69"/>
      <c r="BM112" s="69"/>
      <c r="BN112" s="69"/>
      <c r="BO112" s="69"/>
      <c r="BP112" s="69"/>
      <c r="BQ112" s="69"/>
      <c r="BR112" s="69"/>
      <c r="BS112" s="69"/>
      <c r="BT112" s="69"/>
    </row>
    <row r="113" spans="3:73" ht="15.6">
      <c r="C113" s="16" t="s">
        <v>79</v>
      </c>
      <c r="D113" s="94">
        <v>0</v>
      </c>
      <c r="E113" s="94">
        <v>0</v>
      </c>
      <c r="F113" s="94">
        <v>0</v>
      </c>
      <c r="G113" s="94">
        <v>0</v>
      </c>
      <c r="H113" s="95">
        <f>SUM(D113:G113)</f>
        <v>0</v>
      </c>
      <c r="I113" s="94">
        <v>0</v>
      </c>
      <c r="J113" s="94">
        <v>-2.8969999999999998</v>
      </c>
      <c r="K113" s="94">
        <v>-3.2629999999999999</v>
      </c>
      <c r="L113" s="94">
        <v>106.236</v>
      </c>
      <c r="M113" s="95">
        <f>SUM(I113:L113)</f>
        <v>100.07600000000001</v>
      </c>
      <c r="N113" s="94">
        <v>1.1319999999999999</v>
      </c>
      <c r="O113" s="94">
        <v>-3.9769999999999999</v>
      </c>
      <c r="P113" s="94">
        <v>6.0430000000000001</v>
      </c>
      <c r="Q113" s="94">
        <v>-8.4510000000000005</v>
      </c>
      <c r="R113" s="95">
        <f>SUM(N113:Q113)</f>
        <v>-5.2530000000000001</v>
      </c>
      <c r="S113" s="94">
        <v>5.944</v>
      </c>
      <c r="T113" s="94">
        <v>10.9</v>
      </c>
      <c r="U113" s="94">
        <v>10.648999999999999</v>
      </c>
      <c r="V113" s="94">
        <v>2.1269999999999998</v>
      </c>
      <c r="W113" s="95">
        <f>SUM(S113:V113)</f>
        <v>29.62</v>
      </c>
      <c r="X113" s="94">
        <v>-2.1480000000000001</v>
      </c>
      <c r="Y113" s="94">
        <v>13.776</v>
      </c>
      <c r="Z113" s="94">
        <v>8.1620000000000008</v>
      </c>
      <c r="AA113" s="94">
        <v>23.247</v>
      </c>
      <c r="AB113" s="95">
        <f>SUM(X113:AA113)</f>
        <v>43.036999999999999</v>
      </c>
      <c r="AC113" s="94">
        <v>0.123</v>
      </c>
      <c r="AD113" s="94">
        <v>8.4710000000000001</v>
      </c>
      <c r="AE113" s="94">
        <v>12.063000000000001</v>
      </c>
      <c r="AF113" s="94">
        <v>7.8840000000000003</v>
      </c>
      <c r="AG113" s="95">
        <f>SUM(AC113:AF113)</f>
        <v>28.541</v>
      </c>
      <c r="AH113" s="94">
        <v>7.7619999999999996</v>
      </c>
      <c r="AI113" s="94">
        <v>7.46</v>
      </c>
      <c r="AJ113" s="94">
        <v>23.170999999999999</v>
      </c>
      <c r="AK113" s="94">
        <v>169.22800000000001</v>
      </c>
      <c r="AL113" s="95">
        <f>SUM(AH113:AK113)</f>
        <v>207.62100000000001</v>
      </c>
      <c r="AM113" s="94">
        <v>19.547000000000001</v>
      </c>
      <c r="AN113" s="94">
        <v>13.811999999999999</v>
      </c>
      <c r="AO113" s="94">
        <v>10.917999999999999</v>
      </c>
      <c r="AP113" s="94">
        <v>24.076000000000001</v>
      </c>
      <c r="AQ113" s="104">
        <f>SUM(AM113:AP113)</f>
        <v>68.353000000000009</v>
      </c>
      <c r="AR113" s="94">
        <v>23.597999999999999</v>
      </c>
      <c r="AS113" s="94">
        <v>130.67699999999999</v>
      </c>
      <c r="AT113" s="94">
        <v>18.751999999999999</v>
      </c>
      <c r="AU113" s="94">
        <v>32.156999999999996</v>
      </c>
      <c r="AV113" s="104">
        <f>SUM(AR113:AU113)</f>
        <v>205.18399999999997</v>
      </c>
      <c r="AW113" s="94">
        <v>55.973999999999997</v>
      </c>
      <c r="AX113" s="94">
        <v>18.331</v>
      </c>
      <c r="AY113" s="94">
        <v>18.984999999999999</v>
      </c>
      <c r="AZ113" s="94">
        <v>19.201000000000001</v>
      </c>
      <c r="BA113" s="104">
        <f>SUM(AW113:AZ113)</f>
        <v>112.49099999999999</v>
      </c>
      <c r="BB113" s="94">
        <v>19.64</v>
      </c>
      <c r="BC113" s="76"/>
      <c r="BD113" s="76"/>
      <c r="BE113" s="76"/>
      <c r="BF113" s="101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</row>
    <row r="114" spans="3:73">
      <c r="C114" s="1" t="s">
        <v>96</v>
      </c>
      <c r="D114" s="29">
        <f t="shared" ref="D114:AM114" si="158">SUM(D112:D113)</f>
        <v>0</v>
      </c>
      <c r="E114" s="29">
        <f t="shared" si="158"/>
        <v>0</v>
      </c>
      <c r="F114" s="29">
        <f t="shared" si="158"/>
        <v>0</v>
      </c>
      <c r="G114" s="29">
        <f t="shared" si="158"/>
        <v>0</v>
      </c>
      <c r="H114" s="69">
        <f t="shared" si="158"/>
        <v>0</v>
      </c>
      <c r="I114" s="29">
        <f t="shared" si="158"/>
        <v>5.5170000000000003</v>
      </c>
      <c r="J114" s="29">
        <f t="shared" si="158"/>
        <v>3.6960000000000002</v>
      </c>
      <c r="K114" s="29">
        <f t="shared" si="158"/>
        <v>9.593</v>
      </c>
      <c r="L114" s="29">
        <f t="shared" si="158"/>
        <v>-2.5240000000000009</v>
      </c>
      <c r="M114" s="69">
        <f t="shared" si="158"/>
        <v>16.281999999999996</v>
      </c>
      <c r="N114" s="29">
        <f t="shared" si="158"/>
        <v>18.766000000000002</v>
      </c>
      <c r="O114" s="29">
        <f t="shared" si="158"/>
        <v>19.628</v>
      </c>
      <c r="P114" s="29">
        <f t="shared" si="158"/>
        <v>24.378</v>
      </c>
      <c r="Q114" s="29">
        <f t="shared" si="158"/>
        <v>23.613</v>
      </c>
      <c r="R114" s="69">
        <f t="shared" si="158"/>
        <v>86.385000000000005</v>
      </c>
      <c r="S114" s="29">
        <f t="shared" si="158"/>
        <v>22.971</v>
      </c>
      <c r="T114" s="29">
        <f t="shared" si="158"/>
        <v>30.25</v>
      </c>
      <c r="U114" s="29">
        <f t="shared" si="158"/>
        <v>34.869999999999997</v>
      </c>
      <c r="V114" s="29">
        <f t="shared" si="158"/>
        <v>35.760000000000005</v>
      </c>
      <c r="W114" s="69">
        <f t="shared" si="158"/>
        <v>123.851</v>
      </c>
      <c r="X114" s="29">
        <f t="shared" si="158"/>
        <v>29.910999999999998</v>
      </c>
      <c r="Y114" s="29">
        <f t="shared" si="158"/>
        <v>44.423000000000002</v>
      </c>
      <c r="Z114" s="29">
        <f t="shared" si="158"/>
        <v>38.106999999999999</v>
      </c>
      <c r="AA114" s="29">
        <f t="shared" si="158"/>
        <v>36.994999999999997</v>
      </c>
      <c r="AB114" s="69">
        <f t="shared" si="158"/>
        <v>149.43600000000001</v>
      </c>
      <c r="AC114" s="29">
        <f t="shared" si="158"/>
        <v>32.461999999999996</v>
      </c>
      <c r="AD114" s="29">
        <f t="shared" si="158"/>
        <v>50.582999999999998</v>
      </c>
      <c r="AE114" s="29">
        <f t="shared" si="158"/>
        <v>38.5</v>
      </c>
      <c r="AF114" s="29">
        <f t="shared" si="158"/>
        <v>42.231999999999999</v>
      </c>
      <c r="AG114" s="69">
        <f t="shared" si="158"/>
        <v>163.77699999999999</v>
      </c>
      <c r="AH114" s="29">
        <f t="shared" si="158"/>
        <v>36.921999999999997</v>
      </c>
      <c r="AI114" s="29">
        <f t="shared" si="158"/>
        <v>42.975000000000001</v>
      </c>
      <c r="AJ114" s="29">
        <f t="shared" si="158"/>
        <v>24.41</v>
      </c>
      <c r="AK114" s="29">
        <f t="shared" si="158"/>
        <v>55.574000000000012</v>
      </c>
      <c r="AL114" s="69">
        <f t="shared" si="158"/>
        <v>159.88100000000003</v>
      </c>
      <c r="AM114" s="29">
        <f t="shared" si="158"/>
        <v>38.692999999999998</v>
      </c>
      <c r="AN114" s="29">
        <f>SUM(AN112:AN113)</f>
        <v>50.335999999999999</v>
      </c>
      <c r="AO114" s="29">
        <f>SUM(AO112:AO113)</f>
        <v>30.265999999999998</v>
      </c>
      <c r="AP114" s="29">
        <f>SUM(AP112:AP113)</f>
        <v>29.22</v>
      </c>
      <c r="AQ114" s="91">
        <f>AQ34</f>
        <v>148.51499999999999</v>
      </c>
      <c r="AR114" s="29">
        <f>SUM(AR112:AR113)</f>
        <v>52.713999999999999</v>
      </c>
      <c r="AS114" s="29">
        <f>SUM(AS112:AS113)</f>
        <v>52.026999999999987</v>
      </c>
      <c r="AT114" s="29">
        <f>SUM(AT112:AT113)</f>
        <v>29.655000000000001</v>
      </c>
      <c r="AU114" s="29">
        <f>SUM(AU112:AU113)</f>
        <v>-2.3660000000000068</v>
      </c>
      <c r="AV114" s="100">
        <f t="shared" ref="AV114" si="159">AV34</f>
        <v>132.02999999999997</v>
      </c>
      <c r="AW114" s="29">
        <f>SUM(AW112:AW113)</f>
        <v>4.6869999999999976</v>
      </c>
      <c r="AX114" s="29">
        <f>SUM(AX112:AX113)</f>
        <v>73.084999999999994</v>
      </c>
      <c r="AY114" s="29">
        <f>SUM(AY112:AY113)</f>
        <v>38.268000000000001</v>
      </c>
      <c r="AZ114" s="29">
        <f>SUM(AZ112:AZ113)</f>
        <v>29.968</v>
      </c>
      <c r="BA114" s="100">
        <f t="shared" ref="BA114" si="160">BA34</f>
        <v>146.00799999999998</v>
      </c>
      <c r="BB114" s="29">
        <f>SUM(BB112:BB113)</f>
        <v>37.658999999999999</v>
      </c>
      <c r="BC114" s="77"/>
      <c r="BD114" s="77"/>
      <c r="BE114" s="77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</row>
    <row r="115" spans="3:73">
      <c r="C115" s="2"/>
      <c r="D115" s="46"/>
      <c r="E115" s="46"/>
      <c r="F115" s="46"/>
      <c r="G115" s="46"/>
      <c r="H115" s="2"/>
      <c r="I115" s="46"/>
      <c r="J115" s="46"/>
      <c r="K115" s="46"/>
      <c r="L115" s="46"/>
      <c r="M115" s="2"/>
      <c r="N115" s="46"/>
      <c r="O115" s="46"/>
      <c r="P115" s="46"/>
      <c r="Q115" s="46"/>
      <c r="R115" s="2"/>
      <c r="S115" s="46"/>
      <c r="T115" s="46"/>
      <c r="U115" s="46"/>
      <c r="V115" s="46"/>
      <c r="W115" s="2"/>
      <c r="X115" s="46"/>
      <c r="Y115" s="46"/>
      <c r="Z115" s="46"/>
      <c r="AA115" s="46"/>
      <c r="AB115" s="2"/>
      <c r="AC115" s="46"/>
      <c r="AD115" s="46"/>
      <c r="AE115" s="46"/>
      <c r="AF115" s="46"/>
      <c r="AG115" s="2"/>
      <c r="AH115" s="46"/>
      <c r="AI115" s="46"/>
      <c r="AJ115" s="46"/>
      <c r="AK115" s="46"/>
      <c r="AL115" s="2"/>
      <c r="AM115" s="46"/>
      <c r="AN115" s="46"/>
      <c r="AO115" s="46"/>
      <c r="AP115" s="46"/>
      <c r="AQ115" s="2"/>
      <c r="AR115" s="46"/>
      <c r="AS115" s="46"/>
      <c r="AT115" s="46"/>
      <c r="AU115" s="46"/>
      <c r="AV115" s="2"/>
      <c r="AW115" s="46"/>
      <c r="AX115" s="46"/>
      <c r="AY115" s="46"/>
      <c r="AZ115" s="46"/>
      <c r="BA115" s="2"/>
      <c r="BB115" s="46"/>
      <c r="BC115" s="46"/>
      <c r="BD115" s="46"/>
      <c r="BE115" s="4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</row>
  </sheetData>
  <phoneticPr fontId="4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EFD68-D9A7-4E0C-9163-5CF5560B90F3}">
  <sheetPr>
    <outlinePr summaryBelow="0"/>
  </sheetPr>
  <dimension ref="A1:AC51"/>
  <sheetViews>
    <sheetView showGridLines="0" zoomScale="90" zoomScaleNormal="8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E17" sqref="E17"/>
    </sheetView>
  </sheetViews>
  <sheetFormatPr defaultColWidth="0" defaultRowHeight="13.8" outlineLevelCol="1"/>
  <cols>
    <col min="1" max="1" width="0.6640625" style="1" customWidth="1"/>
    <col min="2" max="2" width="0.6640625" style="105" customWidth="1"/>
    <col min="3" max="3" width="40.44140625" style="1" customWidth="1"/>
    <col min="4" max="4" width="10.109375" style="1" customWidth="1" outlineLevel="1"/>
    <col min="5" max="5" width="11.77734375" style="1" customWidth="1" outlineLevel="1"/>
    <col min="6" max="6" width="11.44140625" style="1" customWidth="1" outlineLevel="1"/>
    <col min="7" max="8" width="11.109375" style="1" customWidth="1" outlineLevel="1"/>
    <col min="9" max="9" width="10.44140625" style="1" customWidth="1"/>
    <col min="10" max="10" width="11.33203125" style="1" customWidth="1"/>
    <col min="11" max="11" width="11.77734375" style="1" customWidth="1"/>
    <col min="12" max="12" width="12.109375" style="1" customWidth="1"/>
    <col min="13" max="13" width="11.6640625" style="1" customWidth="1"/>
    <col min="14" max="14" width="11.109375" style="1" customWidth="1"/>
    <col min="15" max="15" width="10.44140625" style="1" customWidth="1"/>
    <col min="16" max="16" width="10.77734375" style="1" customWidth="1"/>
    <col min="17" max="17" width="11.33203125" style="1" customWidth="1"/>
    <col min="18" max="18" width="12.6640625" style="1" customWidth="1"/>
    <col min="19" max="19" width="12" style="1" customWidth="1"/>
    <col min="20" max="20" width="12.109375" style="1" customWidth="1"/>
    <col min="21" max="21" width="11.77734375" style="1" customWidth="1"/>
    <col min="22" max="22" width="12.44140625" style="1" customWidth="1"/>
    <col min="23" max="23" width="11.33203125" style="1" customWidth="1"/>
    <col min="24" max="24" width="12.33203125" style="1" customWidth="1"/>
    <col min="25" max="25" width="11.44140625" style="1" customWidth="1"/>
    <col min="26" max="27" width="11.33203125" style="1" customWidth="1"/>
    <col min="28" max="28" width="11.44140625" style="1" customWidth="1"/>
    <col min="29" max="29" width="8.109375" style="1" customWidth="1"/>
    <col min="30" max="16384" width="8.109375" style="1" hidden="1"/>
  </cols>
  <sheetData>
    <row r="1" spans="2:28" ht="5.25" customHeight="1"/>
    <row r="2" spans="2:28" ht="38.25" hidden="1" customHeight="1">
      <c r="B2" s="106"/>
      <c r="C2" s="107"/>
      <c r="D2" s="108">
        <v>40908</v>
      </c>
      <c r="E2" s="108">
        <v>41274</v>
      </c>
      <c r="F2" s="108">
        <v>41639</v>
      </c>
      <c r="G2" s="108">
        <v>42004</v>
      </c>
      <c r="H2" s="108">
        <v>42369</v>
      </c>
      <c r="I2" s="108">
        <v>42735</v>
      </c>
      <c r="J2" s="108">
        <v>43100</v>
      </c>
      <c r="K2" s="108">
        <v>43465</v>
      </c>
      <c r="L2" s="108">
        <v>43830</v>
      </c>
      <c r="M2" s="108">
        <v>44196</v>
      </c>
      <c r="N2" s="108">
        <v>44561</v>
      </c>
      <c r="O2" s="108">
        <v>44926</v>
      </c>
      <c r="P2" s="108">
        <v>45291</v>
      </c>
      <c r="Q2" s="108">
        <v>45657</v>
      </c>
      <c r="R2" s="108">
        <v>46022</v>
      </c>
      <c r="S2" s="108">
        <v>46387</v>
      </c>
      <c r="T2" s="108">
        <v>46752</v>
      </c>
      <c r="U2" s="108">
        <v>47118</v>
      </c>
      <c r="V2" s="108">
        <v>47483</v>
      </c>
      <c r="W2" s="108">
        <v>47848</v>
      </c>
      <c r="X2" s="108">
        <v>48213</v>
      </c>
      <c r="Y2" s="108">
        <v>48579</v>
      </c>
      <c r="Z2" s="108">
        <v>48944</v>
      </c>
      <c r="AA2" s="108">
        <v>49309</v>
      </c>
      <c r="AB2" s="108">
        <v>49674</v>
      </c>
    </row>
    <row r="3" spans="2:28" ht="14.4">
      <c r="B3" s="183"/>
      <c r="C3" s="180" t="s">
        <v>97</v>
      </c>
      <c r="D3" s="169" t="s">
        <v>380</v>
      </c>
      <c r="E3" s="169" t="s">
        <v>381</v>
      </c>
      <c r="F3" s="169" t="s">
        <v>382</v>
      </c>
      <c r="G3" s="169" t="s">
        <v>383</v>
      </c>
      <c r="H3" s="169" t="s">
        <v>384</v>
      </c>
      <c r="I3" s="169" t="s">
        <v>359</v>
      </c>
      <c r="J3" s="169" t="s">
        <v>360</v>
      </c>
      <c r="K3" s="169" t="s">
        <v>356</v>
      </c>
      <c r="L3" s="169" t="s">
        <v>357</v>
      </c>
      <c r="M3" s="169" t="s">
        <v>358</v>
      </c>
      <c r="N3" s="178" t="s">
        <v>341</v>
      </c>
      <c r="O3" s="178" t="s">
        <v>342</v>
      </c>
      <c r="P3" s="178" t="s">
        <v>343</v>
      </c>
      <c r="Q3" s="178" t="s">
        <v>344</v>
      </c>
      <c r="R3" s="178" t="s">
        <v>345</v>
      </c>
      <c r="S3" s="178" t="s">
        <v>346</v>
      </c>
      <c r="T3" s="178" t="s">
        <v>347</v>
      </c>
      <c r="U3" s="178" t="s">
        <v>348</v>
      </c>
      <c r="V3" s="178" t="s">
        <v>349</v>
      </c>
      <c r="W3" s="178" t="s">
        <v>350</v>
      </c>
      <c r="X3" s="178" t="s">
        <v>351</v>
      </c>
      <c r="Y3" s="178" t="s">
        <v>352</v>
      </c>
      <c r="Z3" s="178" t="s">
        <v>353</v>
      </c>
      <c r="AA3" s="178" t="s">
        <v>354</v>
      </c>
      <c r="AB3" s="178" t="s">
        <v>355</v>
      </c>
    </row>
    <row r="4" spans="2:28">
      <c r="B4" s="109"/>
      <c r="C4" s="4" t="s">
        <v>42</v>
      </c>
      <c r="D4" s="110">
        <f>'Cintas PNL'!H3</f>
        <v>271.13900000000001</v>
      </c>
      <c r="E4" s="110">
        <f>'Cintas PNL'!M3</f>
        <v>591.28700000000003</v>
      </c>
      <c r="F4" s="110">
        <f>'Cintas PNL'!R3</f>
        <v>872.423</v>
      </c>
      <c r="G4" s="110">
        <f>'Cintas PNL'!W3</f>
        <v>1172.875</v>
      </c>
      <c r="H4" s="110">
        <f>'Cintas PNL'!AB3</f>
        <v>1324.8029999999999</v>
      </c>
      <c r="I4" s="110">
        <f>'Cintas PNL'!AG3</f>
        <v>1487.973</v>
      </c>
      <c r="J4" s="110">
        <f>'Cintas PNL'!AL3</f>
        <v>1618.6929999999998</v>
      </c>
      <c r="K4" s="110">
        <f>'Cintas PNL'!AQ3</f>
        <v>1890.9220000000003</v>
      </c>
      <c r="L4" s="110">
        <f>'Cintas PNL'!AV3</f>
        <v>2161.7609999999995</v>
      </c>
      <c r="M4" s="110">
        <f>'Cintas PNL'!BA3</f>
        <v>2363.567</v>
      </c>
      <c r="N4" s="184">
        <f>'Cintas PNL'!BF3</f>
        <v>2504.75103352203</v>
      </c>
      <c r="O4" s="184">
        <f>'Cintas PNL'!BG3</f>
        <v>2754.7041387817476</v>
      </c>
      <c r="P4" s="184">
        <f>'Cintas PNL'!BH3</f>
        <v>2449.8349020257542</v>
      </c>
      <c r="Q4" s="184">
        <f>'Cintas PNL'!BI3</f>
        <v>2480.2936982127299</v>
      </c>
      <c r="R4" s="184">
        <f>'Cintas PNL'!BJ3</f>
        <v>2465.4924175714405</v>
      </c>
      <c r="S4" s="184">
        <f>'Cintas PNL'!BK3</f>
        <v>2426.5333105726531</v>
      </c>
      <c r="T4" s="184">
        <f>'Cintas PNL'!BL3</f>
        <v>2387.9350947634398</v>
      </c>
      <c r="U4" s="184">
        <f>'Cintas PNL'!BM3</f>
        <v>2300.0882217835965</v>
      </c>
      <c r="V4" s="184">
        <f>'Cintas PNL'!BN3</f>
        <v>2259.9669298167764</v>
      </c>
      <c r="W4" s="184">
        <f>'Cintas PNL'!BO3</f>
        <v>2150.8298446574599</v>
      </c>
      <c r="X4" s="184">
        <f>'Cintas PNL'!BP3</f>
        <v>2020.6918960438559</v>
      </c>
      <c r="Y4" s="184">
        <f>'Cintas PNL'!BQ3</f>
        <v>1720.5779736827976</v>
      </c>
      <c r="Z4" s="184">
        <f>'Cintas PNL'!BR3</f>
        <v>1547.4954215511214</v>
      </c>
      <c r="AA4" s="184">
        <f>'Cintas PNL'!BS3</f>
        <v>1200.6112015171661</v>
      </c>
      <c r="AB4" s="184">
        <f>'Cintas PNL'!BT3</f>
        <v>1054.8641557415517</v>
      </c>
    </row>
    <row r="5" spans="2:28">
      <c r="B5" s="111"/>
      <c r="C5" s="8" t="s">
        <v>43</v>
      </c>
      <c r="D5" s="110">
        <f>'Cintas PNL'!H4</f>
        <v>3.5216034873285178</v>
      </c>
      <c r="E5" s="110">
        <f>'Cintas PNL'!M4</f>
        <v>4.8240601378852066</v>
      </c>
      <c r="F5" s="110">
        <f>'Cintas PNL'!R4</f>
        <v>6.3060468742386577</v>
      </c>
      <c r="G5" s="110">
        <f>'Cintas PNL'!W4</f>
        <v>8.3627942632638064</v>
      </c>
      <c r="H5" s="110">
        <f>'Cintas PNL'!AB4</f>
        <v>9.392727964972396</v>
      </c>
      <c r="I5" s="110">
        <f>'Cintas PNL'!AG4</f>
        <v>10.267981251010182</v>
      </c>
      <c r="J5" s="110">
        <f>'Cintas PNL'!AL4</f>
        <v>11.036384689400982</v>
      </c>
      <c r="K5" s="110">
        <f ca="1">'Cintas PNL'!AQ4</f>
        <v>13.705290166533203</v>
      </c>
      <c r="L5" s="110">
        <f>'Cintas PNL'!AV4</f>
        <v>16.232815540728378</v>
      </c>
      <c r="M5" s="110">
        <f>'Cintas PNL'!BA4</f>
        <v>12.456114586005855</v>
      </c>
      <c r="N5" s="184">
        <f ca="1">'Cintas PNL'!BF4</f>
        <v>11.786561061084024</v>
      </c>
      <c r="O5" s="184">
        <f ca="1">'Cintas PNL'!BG4</f>
        <v>13.398841359576833</v>
      </c>
      <c r="P5" s="184">
        <f ca="1">'Cintas PNL'!BH4</f>
        <v>15.130726941158965</v>
      </c>
      <c r="Q5" s="184">
        <f ca="1">'Cintas PNL'!BI4</f>
        <v>17.152689025313613</v>
      </c>
      <c r="R5" s="184">
        <f ca="1">'Cintas PNL'!BJ4</f>
        <v>17.046322141608862</v>
      </c>
      <c r="S5" s="184">
        <f ca="1">'Cintas PNL'!BK4</f>
        <v>16.766349151175806</v>
      </c>
      <c r="T5" s="184">
        <f ca="1">'Cintas PNL'!BL4</f>
        <v>18.24648660089316</v>
      </c>
      <c r="U5" s="184">
        <f ca="1">'Cintas PNL'!BM4</f>
        <v>17.55053482428993</v>
      </c>
      <c r="V5" s="184">
        <f ca="1">'Cintas PNL'!BN4</f>
        <v>17.232680773522155</v>
      </c>
      <c r="W5" s="184">
        <f ca="1">'Cintas PNL'!BO4</f>
        <v>16.368060944341067</v>
      </c>
      <c r="X5" s="184">
        <f ca="1">'Cintas PNL'!BP4</f>
        <v>15.33706537820499</v>
      </c>
      <c r="Y5" s="184">
        <f ca="1">'Cintas PNL'!BQ4</f>
        <v>12.95946432804049</v>
      </c>
      <c r="Z5" s="184">
        <f ca="1">'Cintas PNL'!BR4</f>
        <v>11.588247509853908</v>
      </c>
      <c r="AA5" s="184">
        <f ca="1">'Cintas PNL'!BS4</f>
        <v>8.8401168021888683</v>
      </c>
      <c r="AB5" s="184">
        <f ca="1">'Cintas PNL'!BT4</f>
        <v>7.6854608423178172</v>
      </c>
    </row>
    <row r="6" spans="2:28" s="2" customFormat="1" ht="14.4">
      <c r="B6" s="105">
        <v>0.5</v>
      </c>
      <c r="C6" s="112"/>
      <c r="D6" s="113"/>
      <c r="E6" s="113"/>
      <c r="F6" s="113"/>
      <c r="G6" s="113"/>
      <c r="H6" s="113"/>
      <c r="I6" s="113"/>
      <c r="J6" s="113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</row>
    <row r="7" spans="2:28">
      <c r="B7" s="182">
        <v>0.5</v>
      </c>
      <c r="C7" s="171" t="s">
        <v>98</v>
      </c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</row>
    <row r="8" spans="2:28">
      <c r="J8" s="69"/>
      <c r="K8" s="2"/>
      <c r="L8" s="2"/>
    </row>
    <row r="9" spans="2:28">
      <c r="C9" s="70" t="s">
        <v>99</v>
      </c>
      <c r="D9" s="87">
        <v>82.075999999999993</v>
      </c>
      <c r="E9" s="87">
        <v>387.19600000000003</v>
      </c>
      <c r="F9" s="87">
        <v>636.50400000000002</v>
      </c>
      <c r="G9" s="87">
        <v>684.04200000000003</v>
      </c>
      <c r="H9" s="87">
        <v>988.78499999999997</v>
      </c>
      <c r="I9" s="87">
        <v>365.96300000000002</v>
      </c>
      <c r="J9" s="87">
        <v>386.03500000000003</v>
      </c>
      <c r="K9" s="21">
        <v>309.62200000000001</v>
      </c>
      <c r="L9" s="21">
        <v>637.34400000000005</v>
      </c>
      <c r="M9" s="21">
        <v>1057.769</v>
      </c>
      <c r="N9" s="78">
        <f ca="1">'Cintas CF'!N43</f>
        <v>2006.1037258638851</v>
      </c>
      <c r="O9" s="78">
        <f ca="1">'Cintas CF'!O43</f>
        <v>3059.4655452530978</v>
      </c>
      <c r="P9" s="78">
        <f ca="1">'Cintas CF'!P43</f>
        <v>4216.8416773425433</v>
      </c>
      <c r="Q9" s="78">
        <f ca="1">'Cintas CF'!Q43</f>
        <v>5474.332534503048</v>
      </c>
      <c r="R9" s="78">
        <f ca="1">'Cintas CF'!R43</f>
        <v>6726.9965620049707</v>
      </c>
      <c r="S9" s="78">
        <f ca="1">'Cintas CF'!S43</f>
        <v>7962.3590995677769</v>
      </c>
      <c r="T9" s="78">
        <f ca="1">'Cintas CF'!T43</f>
        <v>9278.7332812820096</v>
      </c>
      <c r="U9" s="78">
        <f ca="1">'Cintas CF'!U43</f>
        <v>10552.188330828265</v>
      </c>
      <c r="V9" s="78">
        <f ca="1">'Cintas CF'!V43</f>
        <v>11802.642944079169</v>
      </c>
      <c r="W9" s="78">
        <f ca="1">'Cintas CF'!W43</f>
        <v>13000.155749015365</v>
      </c>
      <c r="X9" s="78">
        <f ca="1">'Cintas CF'!X43</f>
        <v>14131.572725272441</v>
      </c>
      <c r="Y9" s="78">
        <f ca="1">'Cintas CF'!Y43</f>
        <v>15116.447326144264</v>
      </c>
      <c r="Z9" s="78">
        <f ca="1">'Cintas CF'!Z43</f>
        <v>16005.914969842164</v>
      </c>
      <c r="AA9" s="78">
        <f ca="1">'Cintas CF'!AA43</f>
        <v>16724.905917351924</v>
      </c>
      <c r="AB9" s="78">
        <f ca="1">'Cintas CF'!AB43</f>
        <v>17359.000227735502</v>
      </c>
    </row>
    <row r="10" spans="2:28">
      <c r="C10" s="70" t="s">
        <v>100</v>
      </c>
      <c r="D10" s="87">
        <v>75.822000000000003</v>
      </c>
      <c r="E10" s="87">
        <v>0</v>
      </c>
      <c r="F10" s="87">
        <v>0</v>
      </c>
      <c r="G10" s="87">
        <v>0</v>
      </c>
      <c r="H10" s="87">
        <v>0</v>
      </c>
      <c r="I10" s="87">
        <v>60</v>
      </c>
      <c r="J10" s="87">
        <v>215</v>
      </c>
      <c r="K10" s="21">
        <v>515</v>
      </c>
      <c r="L10" s="21">
        <v>440</v>
      </c>
      <c r="M10" s="21">
        <v>1075</v>
      </c>
      <c r="N10" s="78">
        <f>M10</f>
        <v>1075</v>
      </c>
      <c r="O10" s="78">
        <f>N10</f>
        <v>1075</v>
      </c>
      <c r="P10" s="78">
        <f t="shared" ref="P10:AB10" si="0">O10</f>
        <v>1075</v>
      </c>
      <c r="Q10" s="78">
        <f t="shared" si="0"/>
        <v>1075</v>
      </c>
      <c r="R10" s="78">
        <f t="shared" si="0"/>
        <v>1075</v>
      </c>
      <c r="S10" s="78">
        <f t="shared" si="0"/>
        <v>1075</v>
      </c>
      <c r="T10" s="78">
        <f t="shared" si="0"/>
        <v>1075</v>
      </c>
      <c r="U10" s="78">
        <f t="shared" si="0"/>
        <v>1075</v>
      </c>
      <c r="V10" s="78">
        <f t="shared" si="0"/>
        <v>1075</v>
      </c>
      <c r="W10" s="78">
        <f t="shared" si="0"/>
        <v>1075</v>
      </c>
      <c r="X10" s="78">
        <f t="shared" si="0"/>
        <v>1075</v>
      </c>
      <c r="Y10" s="78">
        <f t="shared" si="0"/>
        <v>1075</v>
      </c>
      <c r="Z10" s="78">
        <f t="shared" si="0"/>
        <v>1075</v>
      </c>
      <c r="AA10" s="78">
        <f t="shared" si="0"/>
        <v>1075</v>
      </c>
      <c r="AB10" s="78">
        <f t="shared" si="0"/>
        <v>1075</v>
      </c>
    </row>
    <row r="11" spans="2:28">
      <c r="C11" s="70" t="s">
        <v>101</v>
      </c>
      <c r="D11" s="87">
        <v>34.374000000000002</v>
      </c>
      <c r="E11" s="87">
        <v>75.48</v>
      </c>
      <c r="F11" s="87">
        <v>124.80500000000001</v>
      </c>
      <c r="G11" s="87">
        <v>186.37100000000001</v>
      </c>
      <c r="H11" s="87">
        <v>209.685</v>
      </c>
      <c r="I11" s="87">
        <v>234.244</v>
      </c>
      <c r="J11" s="87">
        <v>224.12899999999999</v>
      </c>
      <c r="K11" s="21">
        <v>263.83800000000002</v>
      </c>
      <c r="L11" s="21">
        <v>355.98700000000002</v>
      </c>
      <c r="M11" s="21">
        <v>396.49</v>
      </c>
      <c r="N11" s="18">
        <f>N44</f>
        <v>420.17371933232681</v>
      </c>
      <c r="O11" s="18">
        <f t="shared" ref="O11:AB11" si="1">O44</f>
        <v>462.10352572428667</v>
      </c>
      <c r="P11" s="18">
        <f t="shared" si="1"/>
        <v>410.96150026810801</v>
      </c>
      <c r="Q11" s="18">
        <f t="shared" si="1"/>
        <v>416.0709844080431</v>
      </c>
      <c r="R11" s="18">
        <f t="shared" si="1"/>
        <v>413.5880593369684</v>
      </c>
      <c r="S11" s="18">
        <f t="shared" si="1"/>
        <v>407.05264217555555</v>
      </c>
      <c r="T11" s="18">
        <f t="shared" si="1"/>
        <v>400.57776476095506</v>
      </c>
      <c r="U11" s="18">
        <f t="shared" si="1"/>
        <v>385.84139102254272</v>
      </c>
      <c r="V11" s="18">
        <f t="shared" si="1"/>
        <v>379.11101652843087</v>
      </c>
      <c r="W11" s="18">
        <f t="shared" si="1"/>
        <v>360.80319496262905</v>
      </c>
      <c r="X11" s="18">
        <f t="shared" si="1"/>
        <v>338.97246401833689</v>
      </c>
      <c r="Y11" s="18">
        <f t="shared" si="1"/>
        <v>288.62814584291135</v>
      </c>
      <c r="Z11" s="18">
        <f t="shared" si="1"/>
        <v>259.59342793786004</v>
      </c>
      <c r="AA11" s="18">
        <f t="shared" si="1"/>
        <v>201.40335995956164</v>
      </c>
      <c r="AB11" s="18">
        <f t="shared" si="1"/>
        <v>176.95419216377951</v>
      </c>
    </row>
    <row r="12" spans="2:28">
      <c r="C12" s="70" t="s">
        <v>102</v>
      </c>
      <c r="D12" s="87">
        <v>3.9089999999999998</v>
      </c>
      <c r="E12" s="87">
        <v>26.524999999999999</v>
      </c>
      <c r="F12" s="87">
        <v>28.669</v>
      </c>
      <c r="G12" s="87">
        <v>30.036999999999999</v>
      </c>
      <c r="H12" s="87">
        <v>19.451000000000001</v>
      </c>
      <c r="I12" s="87">
        <v>34.051000000000002</v>
      </c>
      <c r="J12" s="87">
        <v>43.244999999999997</v>
      </c>
      <c r="K12" s="21">
        <v>52.956000000000003</v>
      </c>
      <c r="L12" s="21">
        <v>78.608000000000004</v>
      </c>
      <c r="M12" s="21">
        <v>95.396000000000001</v>
      </c>
      <c r="N12" s="18">
        <f>N46</f>
        <v>104.32057690392986</v>
      </c>
      <c r="O12" s="18">
        <f t="shared" ref="O12:AB12" si="2">O46</f>
        <v>114.73089385385721</v>
      </c>
      <c r="P12" s="18">
        <f t="shared" si="2"/>
        <v>102.0333705339746</v>
      </c>
      <c r="Q12" s="18">
        <f t="shared" si="2"/>
        <v>103.30195138193081</v>
      </c>
      <c r="R12" s="18">
        <f t="shared" si="2"/>
        <v>102.68549165609328</v>
      </c>
      <c r="S12" s="18">
        <f t="shared" si="2"/>
        <v>101.06288068063813</v>
      </c>
      <c r="T12" s="18">
        <f t="shared" si="2"/>
        <v>99.455300491313864</v>
      </c>
      <c r="U12" s="18">
        <f t="shared" si="2"/>
        <v>95.7965590252699</v>
      </c>
      <c r="V12" s="18">
        <f t="shared" si="2"/>
        <v>94.125544114768275</v>
      </c>
      <c r="W12" s="18">
        <f t="shared" si="2"/>
        <v>89.580084892250682</v>
      </c>
      <c r="X12" s="18">
        <f t="shared" si="2"/>
        <v>84.159959021546754</v>
      </c>
      <c r="Y12" s="18">
        <f t="shared" si="2"/>
        <v>71.660490172707384</v>
      </c>
      <c r="Z12" s="18">
        <f t="shared" si="2"/>
        <v>64.451761062017439</v>
      </c>
      <c r="AA12" s="18">
        <f t="shared" si="2"/>
        <v>50.004352330169247</v>
      </c>
      <c r="AB12" s="18">
        <f t="shared" si="2"/>
        <v>43.934121918495947</v>
      </c>
    </row>
    <row r="13" spans="2:28" ht="15.6">
      <c r="C13" s="70" t="s">
        <v>51</v>
      </c>
      <c r="D13" s="101">
        <f>1.26+1.69</f>
        <v>2.95</v>
      </c>
      <c r="E13" s="101">
        <f>54.926+7.445</f>
        <v>62.371000000000002</v>
      </c>
      <c r="F13" s="101">
        <f>67.456+7.183</f>
        <v>74.63900000000001</v>
      </c>
      <c r="G13" s="101">
        <f>21.322+32.833+48.44+12.8</f>
        <v>115.395</v>
      </c>
      <c r="H13" s="101">
        <f>19.047+20.699</f>
        <v>39.746000000000002</v>
      </c>
      <c r="I13" s="101">
        <f>29.31+24.501</f>
        <v>53.811</v>
      </c>
      <c r="J13" s="101">
        <f>76.686+23.182</f>
        <v>99.868000000000009</v>
      </c>
      <c r="K13" s="28">
        <f>25.017+67.572</f>
        <v>92.588999999999999</v>
      </c>
      <c r="L13" s="28">
        <f>39.434+78.895</f>
        <v>118.32899999999999</v>
      </c>
      <c r="M13" s="28">
        <f>62.422+152.491</f>
        <v>214.91300000000001</v>
      </c>
      <c r="N13" s="271">
        <f>M13</f>
        <v>214.91300000000001</v>
      </c>
      <c r="O13" s="271">
        <f>N13</f>
        <v>214.91300000000001</v>
      </c>
      <c r="P13" s="271">
        <f t="shared" ref="P13:AB13" si="3">O13</f>
        <v>214.91300000000001</v>
      </c>
      <c r="Q13" s="271">
        <f t="shared" si="3"/>
        <v>214.91300000000001</v>
      </c>
      <c r="R13" s="271">
        <f t="shared" si="3"/>
        <v>214.91300000000001</v>
      </c>
      <c r="S13" s="271">
        <f t="shared" si="3"/>
        <v>214.91300000000001</v>
      </c>
      <c r="T13" s="271">
        <f t="shared" si="3"/>
        <v>214.91300000000001</v>
      </c>
      <c r="U13" s="271">
        <f t="shared" si="3"/>
        <v>214.91300000000001</v>
      </c>
      <c r="V13" s="271">
        <f t="shared" si="3"/>
        <v>214.91300000000001</v>
      </c>
      <c r="W13" s="271">
        <f t="shared" si="3"/>
        <v>214.91300000000001</v>
      </c>
      <c r="X13" s="271">
        <f t="shared" si="3"/>
        <v>214.91300000000001</v>
      </c>
      <c r="Y13" s="271">
        <f t="shared" si="3"/>
        <v>214.91300000000001</v>
      </c>
      <c r="Z13" s="271">
        <f t="shared" si="3"/>
        <v>214.91300000000001</v>
      </c>
      <c r="AA13" s="271">
        <f t="shared" si="3"/>
        <v>214.91300000000001</v>
      </c>
      <c r="AB13" s="271">
        <f t="shared" si="3"/>
        <v>214.91300000000001</v>
      </c>
    </row>
    <row r="14" spans="2:28" s="118" customFormat="1">
      <c r="B14" s="115"/>
      <c r="C14" s="116" t="s">
        <v>103</v>
      </c>
      <c r="D14" s="43">
        <f t="shared" ref="D14:L14" si="4">SUM(D9:D13)</f>
        <v>199.13099999999997</v>
      </c>
      <c r="E14" s="43">
        <f t="shared" si="4"/>
        <v>551.572</v>
      </c>
      <c r="F14" s="43">
        <f t="shared" si="4"/>
        <v>864.61699999999996</v>
      </c>
      <c r="G14" s="43">
        <f t="shared" si="4"/>
        <v>1015.845</v>
      </c>
      <c r="H14" s="43">
        <f t="shared" si="4"/>
        <v>1257.6670000000001</v>
      </c>
      <c r="I14" s="43">
        <f t="shared" si="4"/>
        <v>748.06900000000007</v>
      </c>
      <c r="J14" s="43">
        <f t="shared" si="4"/>
        <v>968.27700000000016</v>
      </c>
      <c r="K14" s="117">
        <f t="shared" si="4"/>
        <v>1234.0049999999999</v>
      </c>
      <c r="L14" s="117">
        <f t="shared" si="4"/>
        <v>1630.268</v>
      </c>
      <c r="M14" s="117">
        <f t="shared" ref="M14:AB14" si="5">SUM(M9:M13)</f>
        <v>2839.5680000000002</v>
      </c>
      <c r="N14" s="117">
        <f t="shared" ca="1" si="5"/>
        <v>3820.5110221001423</v>
      </c>
      <c r="O14" s="117">
        <f t="shared" ca="1" si="5"/>
        <v>4926.2129648312421</v>
      </c>
      <c r="P14" s="117">
        <f t="shared" ca="1" si="5"/>
        <v>6019.7495481446258</v>
      </c>
      <c r="Q14" s="117">
        <f t="shared" ca="1" si="5"/>
        <v>7283.6184702930223</v>
      </c>
      <c r="R14" s="117">
        <f t="shared" ca="1" si="5"/>
        <v>8533.1831129980328</v>
      </c>
      <c r="S14" s="117">
        <f t="shared" ca="1" si="5"/>
        <v>9760.3876224239702</v>
      </c>
      <c r="T14" s="117">
        <f t="shared" ca="1" si="5"/>
        <v>11068.67934653428</v>
      </c>
      <c r="U14" s="117">
        <f t="shared" ca="1" si="5"/>
        <v>12323.739280876078</v>
      </c>
      <c r="V14" s="117">
        <f t="shared" ca="1" si="5"/>
        <v>13565.792504722369</v>
      </c>
      <c r="W14" s="117">
        <f t="shared" ca="1" si="5"/>
        <v>14740.452028870244</v>
      </c>
      <c r="X14" s="117">
        <f t="shared" ca="1" si="5"/>
        <v>15844.618148312326</v>
      </c>
      <c r="Y14" s="117">
        <f t="shared" ca="1" si="5"/>
        <v>16766.648962159885</v>
      </c>
      <c r="Z14" s="117">
        <f t="shared" ca="1" si="5"/>
        <v>17619.873158842041</v>
      </c>
      <c r="AA14" s="117">
        <f t="shared" ca="1" si="5"/>
        <v>18266.226629641653</v>
      </c>
      <c r="AB14" s="117">
        <f t="shared" ca="1" si="5"/>
        <v>18869.801541817778</v>
      </c>
    </row>
    <row r="15" spans="2:28">
      <c r="C15" s="70" t="s">
        <v>104</v>
      </c>
      <c r="D15" s="87">
        <v>1.5569999999999999</v>
      </c>
      <c r="E15" s="87">
        <v>7.2809999999999997</v>
      </c>
      <c r="F15" s="87">
        <v>14.246</v>
      </c>
      <c r="G15" s="87">
        <v>58.363</v>
      </c>
      <c r="H15" s="87">
        <v>85.572000000000003</v>
      </c>
      <c r="I15" s="87">
        <v>107.49</v>
      </c>
      <c r="J15" s="87">
        <v>170.08</v>
      </c>
      <c r="K15" s="21">
        <v>200.358</v>
      </c>
      <c r="L15" s="21">
        <v>131.506</v>
      </c>
      <c r="M15" s="21">
        <v>127.935</v>
      </c>
      <c r="N15" s="18">
        <f>M15+'Cintas CF'!N26*-1-'Cintas CF'!N11</f>
        <v>123.39629416312741</v>
      </c>
      <c r="O15" s="18">
        <f>N15+'Cintas CF'!O26*-1-'Cintas CF'!O11</f>
        <v>118.40466362331875</v>
      </c>
      <c r="P15" s="18">
        <f>O15+'Cintas CF'!P26*-1-'Cintas CF'!P11</f>
        <v>113.96546794263527</v>
      </c>
      <c r="Q15" s="18">
        <f>P15+'Cintas CF'!Q26*-1-'Cintas CF'!Q11</f>
        <v>109.47107974413753</v>
      </c>
      <c r="R15" s="18">
        <f>Q15+'Cintas CF'!R26*-1-'Cintas CF'!R11</f>
        <v>105.00351203915019</v>
      </c>
      <c r="S15" s="18">
        <f>R15+'Cintas CF'!S26*-1-'Cintas CF'!S11</f>
        <v>100.60653974423286</v>
      </c>
      <c r="T15" s="18">
        <f>S15+'Cintas CF'!T26*-1-'Cintas CF'!T11</f>
        <v>96.279508910579167</v>
      </c>
      <c r="U15" s="18">
        <f>T15+'Cintas CF'!U26*-1-'Cintas CF'!U11</f>
        <v>92.111660011500419</v>
      </c>
      <c r="V15" s="18">
        <f>U15+'Cintas CF'!V26*-1-'Cintas CF'!V11</f>
        <v>88.016512446644356</v>
      </c>
      <c r="W15" s="18">
        <f>V15+'Cintas CF'!W26*-1-'Cintas CF'!W11</f>
        <v>84.119125505020904</v>
      </c>
      <c r="X15" s="18">
        <f>W15+'Cintas CF'!X26*-1-'Cintas CF'!X11</f>
        <v>80.457553564196402</v>
      </c>
      <c r="Y15" s="18">
        <f>X15+'Cintas CF'!Y26*-1-'Cintas CF'!Y11</f>
        <v>77.339799668725306</v>
      </c>
      <c r="Z15" s="18">
        <f>Y15+'Cintas CF'!Z26*-1-'Cintas CF'!Z11</f>
        <v>74.535678058102988</v>
      </c>
      <c r="AA15" s="18">
        <f>Z15+'Cintas CF'!AA26*-1-'Cintas CF'!AA11</f>
        <v>72.360124082793021</v>
      </c>
      <c r="AB15" s="18">
        <f>AA15+'Cintas CF'!AB26*-1-'Cintas CF'!AB11</f>
        <v>70.448669396600252</v>
      </c>
    </row>
    <row r="16" spans="2:28">
      <c r="C16" s="70" t="s">
        <v>105</v>
      </c>
      <c r="D16" s="87">
        <v>14.585000000000001</v>
      </c>
      <c r="E16" s="87">
        <v>869.952</v>
      </c>
      <c r="F16" s="87">
        <v>812.39599999999996</v>
      </c>
      <c r="G16" s="87">
        <v>1437.4349999999999</v>
      </c>
      <c r="H16" s="87">
        <v>1185.606</v>
      </c>
      <c r="I16" s="87">
        <v>3012.0010000000002</v>
      </c>
      <c r="J16" s="87">
        <v>2979.127</v>
      </c>
      <c r="K16" s="21">
        <v>2731.3339999999998</v>
      </c>
      <c r="L16" s="21">
        <v>2440.9769999999999</v>
      </c>
      <c r="M16" s="21">
        <v>2195.0509999999999</v>
      </c>
      <c r="N16" s="78">
        <f>M16-'Cintas CF'!N12+'Cintas CF'!N25*-1</f>
        <v>2029.370548708735</v>
      </c>
      <c r="O16" s="78">
        <f>N16-'Cintas CF'!O12+'Cintas CF'!O25*-1</f>
        <v>1847.1565806220494</v>
      </c>
      <c r="P16" s="78">
        <f>O16-'Cintas CF'!P12+'Cintas CF'!P25*-1</f>
        <v>1685.1086378426901</v>
      </c>
      <c r="Q16" s="78">
        <f>P16-'Cintas CF'!Q12+'Cintas CF'!Q25*-1</f>
        <v>1521.0459530668174</v>
      </c>
      <c r="R16" s="78">
        <f>Q16-'Cintas CF'!R12+'Cintas CF'!R25*-1</f>
        <v>1357.9623208289088</v>
      </c>
      <c r="S16" s="78">
        <f>R16-'Cintas CF'!S12+'Cintas CF'!S25*-1</f>
        <v>1197.4556961830031</v>
      </c>
      <c r="T16" s="78">
        <f>S16-'Cintas CF'!T12+'Cintas CF'!T25*-1</f>
        <v>1039.5022074490989</v>
      </c>
      <c r="U16" s="78">
        <f>T16-'Cintas CF'!U12+'Cintas CF'!U25*-1</f>
        <v>887.35947969105166</v>
      </c>
      <c r="V16" s="78">
        <f>U16-'Cintas CF'!V12+'Cintas CF'!V25*-1</f>
        <v>737.87063396378812</v>
      </c>
      <c r="W16" s="78">
        <f>V16-'Cintas CF'!W12+'Cintas CF'!W25*-1</f>
        <v>595.6008216972607</v>
      </c>
      <c r="X16" s="78">
        <f>W16-'Cintas CF'!X12+'Cintas CF'!X25*-1</f>
        <v>461.93917597816983</v>
      </c>
      <c r="Y16" s="78">
        <f>X16-'Cintas CF'!Y12+'Cintas CF'!Y25*-1</f>
        <v>348.12900828228771</v>
      </c>
      <c r="Z16" s="78">
        <f>Y16-'Cintas CF'!Z12+'Cintas CF'!Z25*-1</f>
        <v>245.76764127119736</v>
      </c>
      <c r="AA16" s="78">
        <f>Z16-'Cintas CF'!AA12+'Cintas CF'!AA25*-1</f>
        <v>166.35144260293853</v>
      </c>
      <c r="AB16" s="78">
        <f>AA16-'Cintas CF'!AB12+'Cintas CF'!AB25*-1</f>
        <v>96.575897235266552</v>
      </c>
    </row>
    <row r="17" spans="2:28">
      <c r="C17" s="70" t="s">
        <v>106</v>
      </c>
      <c r="D17" s="87">
        <v>38.213000000000001</v>
      </c>
      <c r="E17" s="87">
        <v>442.6</v>
      </c>
      <c r="F17" s="87">
        <v>450.45600000000002</v>
      </c>
      <c r="G17" s="87">
        <v>702.71299999999997</v>
      </c>
      <c r="H17" s="87">
        <v>657.13900000000001</v>
      </c>
      <c r="I17" s="87">
        <v>893.81</v>
      </c>
      <c r="J17" s="87">
        <v>947.53700000000003</v>
      </c>
      <c r="K17" s="21">
        <v>927.63</v>
      </c>
      <c r="L17" s="21">
        <v>920.01800000000003</v>
      </c>
      <c r="M17" s="21">
        <v>958.303</v>
      </c>
      <c r="N17" s="78">
        <f>M17</f>
        <v>958.303</v>
      </c>
      <c r="O17" s="78">
        <f>N17</f>
        <v>958.303</v>
      </c>
      <c r="P17" s="78">
        <f t="shared" ref="P17:AB18" si="6">O17</f>
        <v>958.303</v>
      </c>
      <c r="Q17" s="78">
        <f t="shared" si="6"/>
        <v>958.303</v>
      </c>
      <c r="R17" s="78">
        <f t="shared" si="6"/>
        <v>958.303</v>
      </c>
      <c r="S17" s="78">
        <f t="shared" si="6"/>
        <v>958.303</v>
      </c>
      <c r="T17" s="78">
        <f t="shared" si="6"/>
        <v>958.303</v>
      </c>
      <c r="U17" s="78">
        <f t="shared" si="6"/>
        <v>958.303</v>
      </c>
      <c r="V17" s="78">
        <f t="shared" si="6"/>
        <v>958.303</v>
      </c>
      <c r="W17" s="78">
        <f t="shared" si="6"/>
        <v>958.303</v>
      </c>
      <c r="X17" s="78">
        <f t="shared" si="6"/>
        <v>958.303</v>
      </c>
      <c r="Y17" s="78">
        <f t="shared" si="6"/>
        <v>958.303</v>
      </c>
      <c r="Z17" s="78">
        <f t="shared" si="6"/>
        <v>958.303</v>
      </c>
      <c r="AA17" s="78">
        <f t="shared" si="6"/>
        <v>958.303</v>
      </c>
      <c r="AB17" s="78">
        <f t="shared" si="6"/>
        <v>958.303</v>
      </c>
    </row>
    <row r="18" spans="2:28" ht="15.6">
      <c r="C18" s="70" t="s">
        <v>51</v>
      </c>
      <c r="D18" s="101">
        <v>8.6999999999999994E-2</v>
      </c>
      <c r="E18" s="101">
        <f>3.662+16.576+74.85</f>
        <v>95.087999999999994</v>
      </c>
      <c r="F18" s="101">
        <f>7.304+14.605+74.597</f>
        <v>96.506</v>
      </c>
      <c r="G18" s="101">
        <f>15.931+33.174+75.494</f>
        <v>124.59899999999999</v>
      </c>
      <c r="H18" s="101">
        <f>27.548+23.268+122.863</f>
        <v>173.679</v>
      </c>
      <c r="I18" s="101">
        <f>14.06+9.737+15.06</f>
        <v>38.856999999999999</v>
      </c>
      <c r="J18" s="101">
        <f>16.419+7.673+34.559</f>
        <v>58.650999999999996</v>
      </c>
      <c r="K18" s="28">
        <f>57.879+9.589+42.696</f>
        <v>110.164</v>
      </c>
      <c r="L18" s="28">
        <f>221.403+7.426+47.914+139.385</f>
        <v>416.12799999999999</v>
      </c>
      <c r="M18" s="28">
        <f>129.169+254.916+5.238+25.721</f>
        <v>415.04400000000004</v>
      </c>
      <c r="N18" s="271">
        <f>M18</f>
        <v>415.04400000000004</v>
      </c>
      <c r="O18" s="271">
        <f>N18</f>
        <v>415.04400000000004</v>
      </c>
      <c r="P18" s="271">
        <f t="shared" si="6"/>
        <v>415.04400000000004</v>
      </c>
      <c r="Q18" s="271">
        <f t="shared" si="6"/>
        <v>415.04400000000004</v>
      </c>
      <c r="R18" s="271">
        <f t="shared" si="6"/>
        <v>415.04400000000004</v>
      </c>
      <c r="S18" s="271">
        <f t="shared" si="6"/>
        <v>415.04400000000004</v>
      </c>
      <c r="T18" s="271">
        <f t="shared" si="6"/>
        <v>415.04400000000004</v>
      </c>
      <c r="U18" s="271">
        <f t="shared" si="6"/>
        <v>415.04400000000004</v>
      </c>
      <c r="V18" s="271">
        <f t="shared" si="6"/>
        <v>415.04400000000004</v>
      </c>
      <c r="W18" s="271">
        <f t="shared" si="6"/>
        <v>415.04400000000004</v>
      </c>
      <c r="X18" s="271">
        <f t="shared" si="6"/>
        <v>415.04400000000004</v>
      </c>
      <c r="Y18" s="271">
        <f t="shared" si="6"/>
        <v>415.04400000000004</v>
      </c>
      <c r="Z18" s="271">
        <f t="shared" si="6"/>
        <v>415.04400000000004</v>
      </c>
      <c r="AA18" s="271">
        <f t="shared" si="6"/>
        <v>415.04400000000004</v>
      </c>
      <c r="AB18" s="271">
        <f t="shared" si="6"/>
        <v>415.04400000000004</v>
      </c>
    </row>
    <row r="19" spans="2:28" s="118" customFormat="1">
      <c r="B19" s="115"/>
      <c r="C19" s="116" t="s">
        <v>107</v>
      </c>
      <c r="D19" s="43">
        <f t="shared" ref="D19:L19" si="7">SUM(D14:D18)</f>
        <v>253.57299999999995</v>
      </c>
      <c r="E19" s="43">
        <f t="shared" si="7"/>
        <v>1966.4929999999997</v>
      </c>
      <c r="F19" s="43">
        <f t="shared" si="7"/>
        <v>2238.221</v>
      </c>
      <c r="G19" s="43">
        <f t="shared" si="7"/>
        <v>3338.9549999999999</v>
      </c>
      <c r="H19" s="43">
        <f t="shared" si="7"/>
        <v>3359.6630000000005</v>
      </c>
      <c r="I19" s="43">
        <f t="shared" si="7"/>
        <v>4800.2270000000008</v>
      </c>
      <c r="J19" s="43">
        <f t="shared" si="7"/>
        <v>5123.6720000000005</v>
      </c>
      <c r="K19" s="117">
        <f t="shared" si="7"/>
        <v>5203.491</v>
      </c>
      <c r="L19" s="117">
        <f t="shared" si="7"/>
        <v>5538.8969999999999</v>
      </c>
      <c r="M19" s="117">
        <f t="shared" ref="M19:AB19" si="8">SUM(M14:M18)</f>
        <v>6535.9009999999998</v>
      </c>
      <c r="N19" s="117">
        <f t="shared" ca="1" si="8"/>
        <v>7346.6248649720046</v>
      </c>
      <c r="O19" s="117">
        <f t="shared" ca="1" si="8"/>
        <v>8265.1212090766112</v>
      </c>
      <c r="P19" s="117">
        <f t="shared" ca="1" si="8"/>
        <v>9192.1706539299503</v>
      </c>
      <c r="Q19" s="117">
        <f t="shared" ca="1" si="8"/>
        <v>10287.482503103976</v>
      </c>
      <c r="R19" s="117">
        <f t="shared" ca="1" si="8"/>
        <v>11369.495945866091</v>
      </c>
      <c r="S19" s="117">
        <f t="shared" ca="1" si="8"/>
        <v>12431.796858351207</v>
      </c>
      <c r="T19" s="117">
        <f t="shared" ca="1" si="8"/>
        <v>13577.808062893957</v>
      </c>
      <c r="U19" s="117">
        <f t="shared" ca="1" si="8"/>
        <v>14676.557420578629</v>
      </c>
      <c r="V19" s="117">
        <f t="shared" ca="1" si="8"/>
        <v>15765.026651132801</v>
      </c>
      <c r="W19" s="117">
        <f t="shared" ca="1" si="8"/>
        <v>16793.518976072526</v>
      </c>
      <c r="X19" s="117">
        <f t="shared" ca="1" si="8"/>
        <v>17760.361877854692</v>
      </c>
      <c r="Y19" s="117">
        <f t="shared" ca="1" si="8"/>
        <v>18565.464770110899</v>
      </c>
      <c r="Z19" s="117">
        <f t="shared" ca="1" si="8"/>
        <v>19313.523478171344</v>
      </c>
      <c r="AA19" s="117">
        <f t="shared" ca="1" si="8"/>
        <v>19878.285196327386</v>
      </c>
      <c r="AB19" s="117">
        <f t="shared" ca="1" si="8"/>
        <v>20410.173108449646</v>
      </c>
    </row>
    <row r="20" spans="2:28">
      <c r="C20" s="2"/>
      <c r="K20" s="92"/>
      <c r="L20" s="92"/>
      <c r="M20" s="92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2:28">
      <c r="C21" s="70" t="s">
        <v>108</v>
      </c>
      <c r="D21" s="87">
        <v>5.1289999999999996</v>
      </c>
      <c r="E21" s="87">
        <v>15.887</v>
      </c>
      <c r="F21" s="87">
        <v>21.004999999999999</v>
      </c>
      <c r="G21" s="87">
        <v>25.126000000000001</v>
      </c>
      <c r="H21" s="87">
        <v>21.806999999999999</v>
      </c>
      <c r="I21" s="87">
        <v>22.414999999999999</v>
      </c>
      <c r="J21" s="87">
        <v>24.367999999999999</v>
      </c>
      <c r="K21" s="21">
        <v>40.601999999999997</v>
      </c>
      <c r="L21" s="21">
        <v>47.545000000000002</v>
      </c>
      <c r="M21" s="21">
        <v>26.945</v>
      </c>
      <c r="N21" s="18">
        <f>N48</f>
        <v>29.465784148983079</v>
      </c>
      <c r="O21" s="18">
        <f t="shared" ref="O21:AB21" si="9">O48</f>
        <v>32.406221800622482</v>
      </c>
      <c r="P21" s="18">
        <f t="shared" si="9"/>
        <v>28.819753124218476</v>
      </c>
      <c r="Q21" s="18">
        <f t="shared" si="9"/>
        <v>29.178069101284386</v>
      </c>
      <c r="R21" s="18">
        <f t="shared" si="9"/>
        <v>29.003947468168821</v>
      </c>
      <c r="S21" s="18">
        <f t="shared" si="9"/>
        <v>28.545634197867777</v>
      </c>
      <c r="T21" s="18">
        <f t="shared" si="9"/>
        <v>28.091566436102688</v>
      </c>
      <c r="U21" s="18">
        <f t="shared" si="9"/>
        <v>27.058139575410891</v>
      </c>
      <c r="V21" s="18">
        <f t="shared" si="9"/>
        <v>26.586154410797423</v>
      </c>
      <c r="W21" s="18">
        <f t="shared" si="9"/>
        <v>25.302270403598623</v>
      </c>
      <c r="X21" s="18">
        <f t="shared" si="9"/>
        <v>23.771333135934178</v>
      </c>
      <c r="Y21" s="18">
        <f t="shared" si="9"/>
        <v>20.240805774912996</v>
      </c>
      <c r="Z21" s="18">
        <f t="shared" si="9"/>
        <v>18.204670026165246</v>
      </c>
      <c r="AA21" s="18">
        <f t="shared" si="9"/>
        <v>14.123938881466836</v>
      </c>
      <c r="AB21" s="18">
        <f t="shared" si="9"/>
        <v>12.409376861649054</v>
      </c>
    </row>
    <row r="22" spans="2:28">
      <c r="C22" s="70" t="s">
        <v>109</v>
      </c>
      <c r="D22" s="87">
        <v>34.783000000000001</v>
      </c>
      <c r="E22" s="87">
        <v>104.666</v>
      </c>
      <c r="F22" s="87">
        <v>119.718</v>
      </c>
      <c r="G22" s="87">
        <v>164.09100000000001</v>
      </c>
      <c r="H22" s="87">
        <v>164.07</v>
      </c>
      <c r="I22" s="87">
        <v>193.268</v>
      </c>
      <c r="J22" s="87">
        <v>198.779</v>
      </c>
      <c r="K22" s="21">
        <v>264.887</v>
      </c>
      <c r="L22" s="21">
        <v>267.87299999999999</v>
      </c>
      <c r="M22" s="21">
        <v>352.73200000000003</v>
      </c>
      <c r="N22" s="18">
        <f>N50</f>
        <v>373.80190261426594</v>
      </c>
      <c r="O22" s="18">
        <f t="shared" ref="O22:AB22" si="10">O50</f>
        <v>411.10419136870814</v>
      </c>
      <c r="P22" s="18">
        <f t="shared" si="10"/>
        <v>365.6063757284428</v>
      </c>
      <c r="Q22" s="18">
        <f t="shared" si="10"/>
        <v>370.15195962626512</v>
      </c>
      <c r="R22" s="18">
        <f t="shared" si="10"/>
        <v>367.9430587052575</v>
      </c>
      <c r="S22" s="18">
        <f t="shared" si="10"/>
        <v>362.12891265824624</v>
      </c>
      <c r="T22" s="18">
        <f t="shared" si="10"/>
        <v>356.36862498338218</v>
      </c>
      <c r="U22" s="18">
        <f t="shared" si="10"/>
        <v>343.25860813176507</v>
      </c>
      <c r="V22" s="18">
        <f t="shared" si="10"/>
        <v>337.27102091378464</v>
      </c>
      <c r="W22" s="18">
        <f t="shared" si="10"/>
        <v>320.98371349985644</v>
      </c>
      <c r="X22" s="18">
        <f t="shared" si="10"/>
        <v>301.56229710236323</v>
      </c>
      <c r="Y22" s="18">
        <f t="shared" si="10"/>
        <v>256.77415102388915</v>
      </c>
      <c r="Z22" s="18">
        <f t="shared" si="10"/>
        <v>230.94380444242543</v>
      </c>
      <c r="AA22" s="18">
        <f t="shared" si="10"/>
        <v>179.1757924922598</v>
      </c>
      <c r="AB22" s="18">
        <f t="shared" si="10"/>
        <v>157.42491893947962</v>
      </c>
    </row>
    <row r="23" spans="2:28">
      <c r="C23" s="70" t="s">
        <v>110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78">
        <f t="shared" ref="N23:O25" si="11">M23</f>
        <v>0</v>
      </c>
      <c r="O23" s="78">
        <f t="shared" si="11"/>
        <v>0</v>
      </c>
      <c r="P23" s="78">
        <f t="shared" ref="P23:AB25" si="12">O23</f>
        <v>0</v>
      </c>
      <c r="Q23" s="78">
        <f t="shared" si="12"/>
        <v>0</v>
      </c>
      <c r="R23" s="78">
        <f t="shared" si="12"/>
        <v>0</v>
      </c>
      <c r="S23" s="78">
        <f t="shared" si="12"/>
        <v>0</v>
      </c>
      <c r="T23" s="78">
        <f t="shared" si="12"/>
        <v>0</v>
      </c>
      <c r="U23" s="78">
        <f t="shared" si="12"/>
        <v>0</v>
      </c>
      <c r="V23" s="78">
        <f t="shared" si="12"/>
        <v>0</v>
      </c>
      <c r="W23" s="78">
        <f t="shared" si="12"/>
        <v>0</v>
      </c>
      <c r="X23" s="78">
        <f t="shared" si="12"/>
        <v>0</v>
      </c>
      <c r="Y23" s="78">
        <f t="shared" si="12"/>
        <v>0</v>
      </c>
      <c r="Z23" s="78">
        <f t="shared" si="12"/>
        <v>0</v>
      </c>
      <c r="AA23" s="78">
        <f t="shared" si="12"/>
        <v>0</v>
      </c>
      <c r="AB23" s="78">
        <f t="shared" si="12"/>
        <v>0</v>
      </c>
    </row>
    <row r="24" spans="2:28">
      <c r="C24" s="70" t="s">
        <v>111</v>
      </c>
      <c r="D24" s="87">
        <v>0</v>
      </c>
      <c r="E24" s="87">
        <v>29.687999999999999</v>
      </c>
      <c r="F24" s="87">
        <v>5.5720000000000001</v>
      </c>
      <c r="G24" s="87">
        <v>9.4280000000000008</v>
      </c>
      <c r="H24" s="87">
        <v>37.587000000000003</v>
      </c>
      <c r="I24" s="87">
        <v>36.094000000000001</v>
      </c>
      <c r="J24" s="87">
        <v>40.604999999999997</v>
      </c>
      <c r="K24" s="21">
        <v>33.387</v>
      </c>
      <c r="L24" s="21">
        <v>33.387</v>
      </c>
      <c r="M24" s="21">
        <v>246.322</v>
      </c>
      <c r="N24" s="78">
        <f t="shared" si="11"/>
        <v>246.322</v>
      </c>
      <c r="O24" s="78">
        <f t="shared" si="11"/>
        <v>246.322</v>
      </c>
      <c r="P24" s="78">
        <f t="shared" si="12"/>
        <v>246.322</v>
      </c>
      <c r="Q24" s="78">
        <f t="shared" si="12"/>
        <v>246.322</v>
      </c>
      <c r="R24" s="78">
        <f t="shared" si="12"/>
        <v>246.322</v>
      </c>
      <c r="S24" s="78">
        <f t="shared" si="12"/>
        <v>246.322</v>
      </c>
      <c r="T24" s="78">
        <f t="shared" si="12"/>
        <v>246.322</v>
      </c>
      <c r="U24" s="78">
        <f t="shared" si="12"/>
        <v>246.322</v>
      </c>
      <c r="V24" s="78">
        <f t="shared" si="12"/>
        <v>246.322</v>
      </c>
      <c r="W24" s="78">
        <f t="shared" si="12"/>
        <v>246.322</v>
      </c>
      <c r="X24" s="78">
        <f t="shared" si="12"/>
        <v>246.322</v>
      </c>
      <c r="Y24" s="78">
        <f t="shared" si="12"/>
        <v>246.322</v>
      </c>
      <c r="Z24" s="78">
        <f t="shared" si="12"/>
        <v>246.322</v>
      </c>
      <c r="AA24" s="78">
        <f t="shared" si="12"/>
        <v>246.322</v>
      </c>
      <c r="AB24" s="78">
        <f t="shared" si="12"/>
        <v>246.322</v>
      </c>
    </row>
    <row r="25" spans="2:28" ht="15.6">
      <c r="C25" s="70" t="s">
        <v>51</v>
      </c>
      <c r="D25" s="101">
        <f>1.138+11.82</f>
        <v>12.958</v>
      </c>
      <c r="E25" s="101">
        <f>1.138+0.275+39.884</f>
        <v>41.296999999999997</v>
      </c>
      <c r="F25" s="101">
        <f>1.138+6.259+50+0.336</f>
        <v>57.732999999999997</v>
      </c>
      <c r="G25" s="101">
        <f>1.138+9.43+7.588</f>
        <v>18.155999999999999</v>
      </c>
      <c r="H25" s="101">
        <f>1.37+1.808</f>
        <v>3.1779999999999999</v>
      </c>
      <c r="I25" s="101">
        <f>1.123+4.506</f>
        <v>5.6290000000000004</v>
      </c>
      <c r="J25" s="101">
        <f>8.618+21.577</f>
        <v>30.195</v>
      </c>
      <c r="K25" s="28">
        <f>1.197+5.414</f>
        <v>6.6109999999999998</v>
      </c>
      <c r="L25" s="28">
        <f>10.965+4.72</f>
        <v>15.684999999999999</v>
      </c>
      <c r="M25" s="28">
        <f>25.2+2.546</f>
        <v>27.745999999999999</v>
      </c>
      <c r="N25" s="271">
        <f t="shared" si="11"/>
        <v>27.745999999999999</v>
      </c>
      <c r="O25" s="271">
        <f t="shared" si="11"/>
        <v>27.745999999999999</v>
      </c>
      <c r="P25" s="271">
        <f t="shared" si="12"/>
        <v>27.745999999999999</v>
      </c>
      <c r="Q25" s="271">
        <f t="shared" si="12"/>
        <v>27.745999999999999</v>
      </c>
      <c r="R25" s="271">
        <f t="shared" si="12"/>
        <v>27.745999999999999</v>
      </c>
      <c r="S25" s="271">
        <f t="shared" si="12"/>
        <v>27.745999999999999</v>
      </c>
      <c r="T25" s="271">
        <f t="shared" si="12"/>
        <v>27.745999999999999</v>
      </c>
      <c r="U25" s="271">
        <f t="shared" si="12"/>
        <v>27.745999999999999</v>
      </c>
      <c r="V25" s="271">
        <f t="shared" si="12"/>
        <v>27.745999999999999</v>
      </c>
      <c r="W25" s="271">
        <f t="shared" si="12"/>
        <v>27.745999999999999</v>
      </c>
      <c r="X25" s="271">
        <f t="shared" si="12"/>
        <v>27.745999999999999</v>
      </c>
      <c r="Y25" s="271">
        <f t="shared" si="12"/>
        <v>27.745999999999999</v>
      </c>
      <c r="Z25" s="271">
        <f t="shared" si="12"/>
        <v>27.745999999999999</v>
      </c>
      <c r="AA25" s="271">
        <f t="shared" si="12"/>
        <v>27.745999999999999</v>
      </c>
      <c r="AB25" s="271">
        <f t="shared" si="12"/>
        <v>27.745999999999999</v>
      </c>
    </row>
    <row r="26" spans="2:28" s="118" customFormat="1">
      <c r="B26" s="115"/>
      <c r="C26" s="116" t="s">
        <v>112</v>
      </c>
      <c r="D26" s="43">
        <f t="shared" ref="D26:L26" si="13">SUM(D21:D25)</f>
        <v>52.87</v>
      </c>
      <c r="E26" s="43">
        <f t="shared" si="13"/>
        <v>191.53799999999998</v>
      </c>
      <c r="F26" s="43">
        <f t="shared" si="13"/>
        <v>204.02800000000002</v>
      </c>
      <c r="G26" s="43">
        <f t="shared" si="13"/>
        <v>216.80100000000002</v>
      </c>
      <c r="H26" s="43">
        <f t="shared" si="13"/>
        <v>226.642</v>
      </c>
      <c r="I26" s="43">
        <f t="shared" si="13"/>
        <v>257.40600000000001</v>
      </c>
      <c r="J26" s="43">
        <f t="shared" si="13"/>
        <v>293.947</v>
      </c>
      <c r="K26" s="117">
        <f t="shared" si="13"/>
        <v>345.48699999999997</v>
      </c>
      <c r="L26" s="117">
        <f t="shared" si="13"/>
        <v>364.49</v>
      </c>
      <c r="M26" s="117">
        <f t="shared" ref="M26:AB26" si="14">SUM(M21:M25)</f>
        <v>653.745</v>
      </c>
      <c r="N26" s="117">
        <f t="shared" si="14"/>
        <v>677.33568676324899</v>
      </c>
      <c r="O26" s="117">
        <f t="shared" si="14"/>
        <v>717.57841316933059</v>
      </c>
      <c r="P26" s="117">
        <f t="shared" si="14"/>
        <v>668.49412885266122</v>
      </c>
      <c r="Q26" s="117">
        <f t="shared" si="14"/>
        <v>673.39802872754956</v>
      </c>
      <c r="R26" s="117">
        <f t="shared" si="14"/>
        <v>671.01500617342629</v>
      </c>
      <c r="S26" s="117">
        <f t="shared" si="14"/>
        <v>664.74254685611402</v>
      </c>
      <c r="T26" s="117">
        <f t="shared" si="14"/>
        <v>658.52819141948487</v>
      </c>
      <c r="U26" s="117">
        <f t="shared" si="14"/>
        <v>644.38474770717596</v>
      </c>
      <c r="V26" s="117">
        <f t="shared" si="14"/>
        <v>637.92517532458203</v>
      </c>
      <c r="W26" s="117">
        <f t="shared" si="14"/>
        <v>620.35398390345506</v>
      </c>
      <c r="X26" s="117">
        <f t="shared" si="14"/>
        <v>599.40163023829734</v>
      </c>
      <c r="Y26" s="117">
        <f t="shared" si="14"/>
        <v>551.08295679880212</v>
      </c>
      <c r="Z26" s="117">
        <f t="shared" si="14"/>
        <v>523.21647446859072</v>
      </c>
      <c r="AA26" s="117">
        <f t="shared" si="14"/>
        <v>467.36773137372666</v>
      </c>
      <c r="AB26" s="117">
        <f t="shared" si="14"/>
        <v>443.90229580112867</v>
      </c>
    </row>
    <row r="27" spans="2:28">
      <c r="C27" s="70" t="s">
        <v>113</v>
      </c>
      <c r="D27" s="87">
        <v>0</v>
      </c>
      <c r="E27" s="87">
        <v>427.07299999999998</v>
      </c>
      <c r="F27" s="87">
        <v>544.404</v>
      </c>
      <c r="G27" s="87">
        <v>1333</v>
      </c>
      <c r="H27" s="87">
        <v>1166.9159999999999</v>
      </c>
      <c r="I27" s="87">
        <v>1993.5309999999999</v>
      </c>
      <c r="J27" s="87">
        <v>1540.433</v>
      </c>
      <c r="K27" s="21">
        <v>1563.0250000000001</v>
      </c>
      <c r="L27" s="21">
        <v>1573.87</v>
      </c>
      <c r="M27" s="21">
        <v>1848.5160000000001</v>
      </c>
      <c r="N27" s="78">
        <f>M27</f>
        <v>1848.5160000000001</v>
      </c>
      <c r="O27" s="78">
        <f>N27</f>
        <v>1848.5160000000001</v>
      </c>
      <c r="P27" s="78">
        <f t="shared" ref="P27:AB27" si="15">O27</f>
        <v>1848.5160000000001</v>
      </c>
      <c r="Q27" s="78">
        <f t="shared" si="15"/>
        <v>1848.5160000000001</v>
      </c>
      <c r="R27" s="78">
        <f t="shared" si="15"/>
        <v>1848.5160000000001</v>
      </c>
      <c r="S27" s="78">
        <f t="shared" si="15"/>
        <v>1848.5160000000001</v>
      </c>
      <c r="T27" s="78">
        <f t="shared" si="15"/>
        <v>1848.5160000000001</v>
      </c>
      <c r="U27" s="78">
        <f t="shared" si="15"/>
        <v>1848.5160000000001</v>
      </c>
      <c r="V27" s="78">
        <f t="shared" si="15"/>
        <v>1848.5160000000001</v>
      </c>
      <c r="W27" s="78">
        <f t="shared" si="15"/>
        <v>1848.5160000000001</v>
      </c>
      <c r="X27" s="78">
        <f t="shared" si="15"/>
        <v>1848.5160000000001</v>
      </c>
      <c r="Y27" s="78">
        <f t="shared" si="15"/>
        <v>1848.5160000000001</v>
      </c>
      <c r="Z27" s="78">
        <f t="shared" si="15"/>
        <v>1848.5160000000001</v>
      </c>
      <c r="AA27" s="78">
        <f t="shared" si="15"/>
        <v>1848.5160000000001</v>
      </c>
      <c r="AB27" s="78">
        <f t="shared" si="15"/>
        <v>1848.5160000000001</v>
      </c>
    </row>
    <row r="28" spans="2:28" ht="15.6">
      <c r="C28" s="70" t="s">
        <v>51</v>
      </c>
      <c r="D28" s="101">
        <v>7.915</v>
      </c>
      <c r="E28" s="101">
        <f>6.621+34.8+178.393+6.776</f>
        <v>226.59</v>
      </c>
      <c r="F28" s="101">
        <f>20.04+168.497+5.718</f>
        <v>194.255</v>
      </c>
      <c r="G28" s="101">
        <f>38.393+375.054+4.499</f>
        <v>417.94600000000003</v>
      </c>
      <c r="H28" s="101">
        <f>69.253+294.485+3.721</f>
        <v>367.459</v>
      </c>
      <c r="I28" s="101">
        <f>112.617+556.733+2.601</f>
        <v>671.95099999999991</v>
      </c>
      <c r="J28" s="101">
        <f>176.608+383.472+16.115</f>
        <v>576.19499999999994</v>
      </c>
      <c r="K28" s="28">
        <f>9.581+309.097+218.879</f>
        <v>537.55700000000002</v>
      </c>
      <c r="L28" s="28">
        <f>4.861+151.226+224.095+109.374</f>
        <v>489.55600000000004</v>
      </c>
      <c r="M28" s="28">
        <f>2.315+140.035+130.397+101.148</f>
        <v>373.89499999999998</v>
      </c>
      <c r="N28" s="271">
        <f>M28</f>
        <v>373.89499999999998</v>
      </c>
      <c r="O28" s="271">
        <f>N28</f>
        <v>373.89499999999998</v>
      </c>
      <c r="P28" s="271">
        <f t="shared" ref="P28:AB28" si="16">O28</f>
        <v>373.89499999999998</v>
      </c>
      <c r="Q28" s="271">
        <f t="shared" si="16"/>
        <v>373.89499999999998</v>
      </c>
      <c r="R28" s="271">
        <f t="shared" si="16"/>
        <v>373.89499999999998</v>
      </c>
      <c r="S28" s="271">
        <f t="shared" si="16"/>
        <v>373.89499999999998</v>
      </c>
      <c r="T28" s="271">
        <f t="shared" si="16"/>
        <v>373.89499999999998</v>
      </c>
      <c r="U28" s="271">
        <f t="shared" si="16"/>
        <v>373.89499999999998</v>
      </c>
      <c r="V28" s="271">
        <f t="shared" si="16"/>
        <v>373.89499999999998</v>
      </c>
      <c r="W28" s="271">
        <f t="shared" si="16"/>
        <v>373.89499999999998</v>
      </c>
      <c r="X28" s="271">
        <f t="shared" si="16"/>
        <v>373.89499999999998</v>
      </c>
      <c r="Y28" s="271">
        <f t="shared" si="16"/>
        <v>373.89499999999998</v>
      </c>
      <c r="Z28" s="271">
        <f t="shared" si="16"/>
        <v>373.89499999999998</v>
      </c>
      <c r="AA28" s="271">
        <f t="shared" si="16"/>
        <v>373.89499999999998</v>
      </c>
      <c r="AB28" s="271">
        <f t="shared" si="16"/>
        <v>373.89499999999998</v>
      </c>
    </row>
    <row r="29" spans="2:28" s="118" customFormat="1">
      <c r="B29" s="115"/>
      <c r="C29" s="120" t="s">
        <v>114</v>
      </c>
      <c r="D29" s="43">
        <f t="shared" ref="D29:L29" si="17">D26+SUM(D27:D28)</f>
        <v>60.784999999999997</v>
      </c>
      <c r="E29" s="43">
        <f t="shared" si="17"/>
        <v>845.20100000000002</v>
      </c>
      <c r="F29" s="43">
        <f t="shared" si="17"/>
        <v>942.68700000000001</v>
      </c>
      <c r="G29" s="43">
        <f t="shared" si="17"/>
        <v>1967.7469999999998</v>
      </c>
      <c r="H29" s="43">
        <f t="shared" si="17"/>
        <v>1761.0170000000001</v>
      </c>
      <c r="I29" s="43">
        <f t="shared" si="17"/>
        <v>2922.8879999999999</v>
      </c>
      <c r="J29" s="43">
        <f t="shared" si="17"/>
        <v>2410.5749999999998</v>
      </c>
      <c r="K29" s="117">
        <f t="shared" si="17"/>
        <v>2446.0690000000004</v>
      </c>
      <c r="L29" s="117">
        <f t="shared" si="17"/>
        <v>2427.9160000000002</v>
      </c>
      <c r="M29" s="117">
        <f t="shared" ref="M29:AB29" si="18">M26+SUM(M27:M28)</f>
        <v>2876.1559999999999</v>
      </c>
      <c r="N29" s="117">
        <f t="shared" si="18"/>
        <v>2899.7466867632493</v>
      </c>
      <c r="O29" s="117">
        <f t="shared" si="18"/>
        <v>2939.9894131693309</v>
      </c>
      <c r="P29" s="117">
        <f t="shared" si="18"/>
        <v>2890.9051288526612</v>
      </c>
      <c r="Q29" s="117">
        <f t="shared" si="18"/>
        <v>2895.8090287275495</v>
      </c>
      <c r="R29" s="117">
        <f t="shared" si="18"/>
        <v>2893.4260061734262</v>
      </c>
      <c r="S29" s="117">
        <f t="shared" si="18"/>
        <v>2887.1535468561142</v>
      </c>
      <c r="T29" s="117">
        <f t="shared" si="18"/>
        <v>2880.9391914194848</v>
      </c>
      <c r="U29" s="117">
        <f t="shared" si="18"/>
        <v>2866.7957477071759</v>
      </c>
      <c r="V29" s="117">
        <f t="shared" si="18"/>
        <v>2860.3361753245822</v>
      </c>
      <c r="W29" s="117">
        <f t="shared" si="18"/>
        <v>2842.7649839034552</v>
      </c>
      <c r="X29" s="117">
        <f t="shared" si="18"/>
        <v>2821.8126302382975</v>
      </c>
      <c r="Y29" s="117">
        <f t="shared" si="18"/>
        <v>2773.4939567988022</v>
      </c>
      <c r="Z29" s="117">
        <f t="shared" si="18"/>
        <v>2745.6274744685907</v>
      </c>
      <c r="AA29" s="117">
        <f t="shared" si="18"/>
        <v>2689.7787313737267</v>
      </c>
      <c r="AB29" s="117">
        <f t="shared" si="18"/>
        <v>2666.3132958011288</v>
      </c>
    </row>
    <row r="30" spans="2:28">
      <c r="C30" s="70"/>
      <c r="D30" s="87"/>
      <c r="E30" s="87"/>
      <c r="F30" s="87"/>
      <c r="G30" s="87"/>
      <c r="H30" s="87"/>
      <c r="I30" s="87"/>
      <c r="J30" s="87"/>
      <c r="K30" s="92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2:28">
      <c r="C31" s="121" t="s">
        <v>115</v>
      </c>
      <c r="D31" s="87">
        <f>0.004+542.697</f>
        <v>542.70100000000002</v>
      </c>
      <c r="E31" s="87">
        <f>0.006+0.055+0.471+1151.01</f>
        <v>1151.5419999999999</v>
      </c>
      <c r="F31" s="87">
        <f>0.006+0.055+0.471+1220.317</f>
        <v>1220.8489999999999</v>
      </c>
      <c r="G31" s="87">
        <f>0.006+0.055+0.471+1458.005</f>
        <v>1458.537</v>
      </c>
      <c r="H31" s="87">
        <f>0.006+0.055+0.471+1562.9</f>
        <v>1563.432</v>
      </c>
      <c r="I31" s="87">
        <f>0.006+0.055+0.472+1665.232</f>
        <v>1665.7649999999999</v>
      </c>
      <c r="J31" s="87">
        <f>0.006+0.055+0.472+1935.486</f>
        <v>1936.019</v>
      </c>
      <c r="K31" s="87">
        <f>0.006+0.055+0.472+2113.63</f>
        <v>2114.163</v>
      </c>
      <c r="L31" s="87">
        <f>0.006+0.055+0.472+2266.026</f>
        <v>2266.5589999999997</v>
      </c>
      <c r="M31" s="87">
        <f>0.006+0.055+0.472+2633.67</f>
        <v>2634.203</v>
      </c>
      <c r="N31" s="78">
        <f>M31</f>
        <v>2634.203</v>
      </c>
      <c r="O31" s="78">
        <f t="shared" ref="O31:AB31" si="19">N31</f>
        <v>2634.203</v>
      </c>
      <c r="P31" s="78">
        <f t="shared" si="19"/>
        <v>2634.203</v>
      </c>
      <c r="Q31" s="78">
        <f t="shared" si="19"/>
        <v>2634.203</v>
      </c>
      <c r="R31" s="78">
        <f t="shared" si="19"/>
        <v>2634.203</v>
      </c>
      <c r="S31" s="78">
        <f t="shared" si="19"/>
        <v>2634.203</v>
      </c>
      <c r="T31" s="78">
        <f t="shared" si="19"/>
        <v>2634.203</v>
      </c>
      <c r="U31" s="78">
        <f t="shared" si="19"/>
        <v>2634.203</v>
      </c>
      <c r="V31" s="78">
        <f t="shared" si="19"/>
        <v>2634.203</v>
      </c>
      <c r="W31" s="78">
        <f t="shared" si="19"/>
        <v>2634.203</v>
      </c>
      <c r="X31" s="78">
        <f t="shared" si="19"/>
        <v>2634.203</v>
      </c>
      <c r="Y31" s="78">
        <f t="shared" si="19"/>
        <v>2634.203</v>
      </c>
      <c r="Z31" s="78">
        <f t="shared" si="19"/>
        <v>2634.203</v>
      </c>
      <c r="AA31" s="78">
        <f t="shared" si="19"/>
        <v>2634.203</v>
      </c>
      <c r="AB31" s="78">
        <f t="shared" si="19"/>
        <v>2634.203</v>
      </c>
    </row>
    <row r="32" spans="2:28">
      <c r="C32" s="121" t="s">
        <v>116</v>
      </c>
      <c r="D32" s="87">
        <f>-349.882</f>
        <v>-349.88200000000001</v>
      </c>
      <c r="E32" s="87">
        <f>-61.296</f>
        <v>-61.295999999999999</v>
      </c>
      <c r="F32" s="87">
        <v>18.532</v>
      </c>
      <c r="G32" s="87">
        <f>34.704</f>
        <v>34.704000000000001</v>
      </c>
      <c r="H32" s="87">
        <f>302.686</f>
        <v>302.68599999999998</v>
      </c>
      <c r="I32" s="87">
        <f>528.907</f>
        <v>528.90700000000004</v>
      </c>
      <c r="J32" s="87">
        <f>917.956</f>
        <v>917.95600000000002</v>
      </c>
      <c r="K32" s="21">
        <v>841.05</v>
      </c>
      <c r="L32" s="21">
        <v>1067.8150000000001</v>
      </c>
      <c r="M32" s="21">
        <f>1159.894</f>
        <v>1159.894</v>
      </c>
      <c r="N32" s="34">
        <f ca="1">M32+'Cintas CF'!N9+'Cintas CF'!N13</f>
        <v>1947.0271782087552</v>
      </c>
      <c r="O32" s="34">
        <f ca="1">N32+'Cintas CF'!O9+'Cintas CF'!O13</f>
        <v>2825.2807959072793</v>
      </c>
      <c r="P32" s="34">
        <f ca="1">O32+'Cintas CF'!P9+'Cintas CF'!P13</f>
        <v>3801.4145250772899</v>
      </c>
      <c r="Q32" s="34">
        <f ca="1">P32+'Cintas CF'!Q9+'Cintas CF'!Q13</f>
        <v>4891.8224743764258</v>
      </c>
      <c r="R32" s="34">
        <f ca="1">Q32+'Cintas CF'!R9+'Cintas CF'!R13</f>
        <v>5976.2189396926624</v>
      </c>
      <c r="S32" s="34">
        <f ca="1">R32+'Cintas CF'!S9+'Cintas CF'!S13</f>
        <v>7044.7923114950891</v>
      </c>
      <c r="T32" s="34">
        <f ca="1">S32+'Cintas CF'!T9+'Cintas CF'!T13</f>
        <v>8197.017871474467</v>
      </c>
      <c r="U32" s="34">
        <f ca="1">T32+'Cintas CF'!U9+'Cintas CF'!U13</f>
        <v>9309.9106728714487</v>
      </c>
      <c r="V32" s="34">
        <f ca="1">U32+'Cintas CF'!V9+'Cintas CF'!V13</f>
        <v>10404.839475808214</v>
      </c>
      <c r="W32" s="34">
        <f ca="1">V32+'Cintas CF'!W9+'Cintas CF'!W13</f>
        <v>11450.902992169065</v>
      </c>
      <c r="X32" s="34">
        <f ca="1">W32+'Cintas CF'!X9+'Cintas CF'!X13</f>
        <v>12438.698247616387</v>
      </c>
      <c r="Y32" s="34">
        <f ca="1">X32+'Cintas CF'!Y9+'Cintas CF'!Y13</f>
        <v>13292.119813312087</v>
      </c>
      <c r="Z32" s="34">
        <f ca="1">Y32+'Cintas CF'!Z9+'Cintas CF'!Z13</f>
        <v>14068.045003702744</v>
      </c>
      <c r="AA32" s="34">
        <f ca="1">Z32+'Cintas CF'!AA9+'Cintas CF'!AA13</f>
        <v>14688.65546495365</v>
      </c>
      <c r="AB32" s="34">
        <f ca="1">AA32+'Cintas CF'!AB9+'Cintas CF'!AB13</f>
        <v>15244.008812648504</v>
      </c>
    </row>
    <row r="33" spans="2:28" ht="15.6">
      <c r="C33" s="121" t="s">
        <v>117</v>
      </c>
      <c r="D33" s="101">
        <v>-3.1E-2</v>
      </c>
      <c r="E33" s="101">
        <f>31.046</f>
        <v>31.045999999999999</v>
      </c>
      <c r="F33" s="101">
        <v>56.152999999999999</v>
      </c>
      <c r="G33" s="101">
        <f>-122.097</f>
        <v>-122.09699999999999</v>
      </c>
      <c r="H33" s="101">
        <f>-267.472</f>
        <v>-267.47199999999998</v>
      </c>
      <c r="I33" s="101">
        <f>-317.333</f>
        <v>-317.33300000000003</v>
      </c>
      <c r="J33" s="101">
        <f>-140.878</f>
        <v>-140.87799999999999</v>
      </c>
      <c r="K33" s="101">
        <f>-197.791</f>
        <v>-197.791</v>
      </c>
      <c r="L33" s="101">
        <v>-223.393</v>
      </c>
      <c r="M33" s="101">
        <v>-134.352</v>
      </c>
      <c r="N33" s="271">
        <f>M33</f>
        <v>-134.352</v>
      </c>
      <c r="O33" s="271">
        <f>N33</f>
        <v>-134.352</v>
      </c>
      <c r="P33" s="271">
        <f t="shared" ref="P33:AB33" si="20">O33</f>
        <v>-134.352</v>
      </c>
      <c r="Q33" s="271">
        <f t="shared" si="20"/>
        <v>-134.352</v>
      </c>
      <c r="R33" s="271">
        <f t="shared" si="20"/>
        <v>-134.352</v>
      </c>
      <c r="S33" s="271">
        <f t="shared" si="20"/>
        <v>-134.352</v>
      </c>
      <c r="T33" s="271">
        <f t="shared" si="20"/>
        <v>-134.352</v>
      </c>
      <c r="U33" s="271">
        <f t="shared" si="20"/>
        <v>-134.352</v>
      </c>
      <c r="V33" s="271">
        <f t="shared" si="20"/>
        <v>-134.352</v>
      </c>
      <c r="W33" s="271">
        <f t="shared" si="20"/>
        <v>-134.352</v>
      </c>
      <c r="X33" s="271">
        <f t="shared" si="20"/>
        <v>-134.352</v>
      </c>
      <c r="Y33" s="271">
        <f t="shared" si="20"/>
        <v>-134.352</v>
      </c>
      <c r="Z33" s="271">
        <f t="shared" si="20"/>
        <v>-134.352</v>
      </c>
      <c r="AA33" s="271">
        <f t="shared" si="20"/>
        <v>-134.352</v>
      </c>
      <c r="AB33" s="271">
        <f t="shared" si="20"/>
        <v>-134.352</v>
      </c>
    </row>
    <row r="34" spans="2:28">
      <c r="C34" s="123"/>
      <c r="D34" s="43">
        <f>SUM(D31:D33)</f>
        <v>192.78800000000001</v>
      </c>
      <c r="E34" s="43">
        <f>SUM(E31:E33)</f>
        <v>1121.2919999999999</v>
      </c>
      <c r="F34" s="43">
        <f t="shared" ref="F34:L34" si="21">SUM(F31:F33)</f>
        <v>1295.5339999999999</v>
      </c>
      <c r="G34" s="43">
        <f t="shared" si="21"/>
        <v>1371.144</v>
      </c>
      <c r="H34" s="43">
        <f t="shared" si="21"/>
        <v>1598.646</v>
      </c>
      <c r="I34" s="43">
        <f t="shared" si="21"/>
        <v>1877.3389999999999</v>
      </c>
      <c r="J34" s="43">
        <f t="shared" si="21"/>
        <v>2713.0969999999998</v>
      </c>
      <c r="K34" s="43">
        <f t="shared" si="21"/>
        <v>2757.4219999999996</v>
      </c>
      <c r="L34" s="43">
        <f t="shared" si="21"/>
        <v>3110.9809999999998</v>
      </c>
      <c r="M34" s="43">
        <f t="shared" ref="M34:AB34" si="22">SUM(M31:M33)</f>
        <v>3659.7449999999999</v>
      </c>
      <c r="N34" s="43">
        <f t="shared" ca="1" si="22"/>
        <v>4446.8781782087553</v>
      </c>
      <c r="O34" s="43">
        <f t="shared" ca="1" si="22"/>
        <v>5325.1317959072794</v>
      </c>
      <c r="P34" s="43">
        <f t="shared" ca="1" si="22"/>
        <v>6301.2655250772905</v>
      </c>
      <c r="Q34" s="43">
        <f t="shared" ca="1" si="22"/>
        <v>7391.6734743764255</v>
      </c>
      <c r="R34" s="43">
        <f t="shared" ca="1" si="22"/>
        <v>8476.0699396926611</v>
      </c>
      <c r="S34" s="43">
        <f t="shared" ca="1" si="22"/>
        <v>9544.6433114950887</v>
      </c>
      <c r="T34" s="43">
        <f t="shared" ca="1" si="22"/>
        <v>10696.868871474466</v>
      </c>
      <c r="U34" s="43">
        <f t="shared" ca="1" si="22"/>
        <v>11809.761672871447</v>
      </c>
      <c r="V34" s="43">
        <f t="shared" ca="1" si="22"/>
        <v>12904.690475808213</v>
      </c>
      <c r="W34" s="43">
        <f t="shared" ca="1" si="22"/>
        <v>13950.753992169064</v>
      </c>
      <c r="X34" s="43">
        <f t="shared" ca="1" si="22"/>
        <v>14938.549247616385</v>
      </c>
      <c r="Y34" s="43">
        <f t="shared" ca="1" si="22"/>
        <v>15791.970813312086</v>
      </c>
      <c r="Z34" s="43">
        <f t="shared" ca="1" si="22"/>
        <v>16567.896003702746</v>
      </c>
      <c r="AA34" s="43">
        <f t="shared" ca="1" si="22"/>
        <v>17188.506464953651</v>
      </c>
      <c r="AB34" s="43">
        <f t="shared" ca="1" si="22"/>
        <v>17743.859812648505</v>
      </c>
    </row>
    <row r="35" spans="2:28">
      <c r="C35" s="16" t="s">
        <v>118</v>
      </c>
      <c r="D35" s="87"/>
      <c r="E35" s="87"/>
      <c r="F35" s="87"/>
      <c r="G35" s="87">
        <v>6.4000000000000001E-2</v>
      </c>
      <c r="H35" s="87"/>
      <c r="I35" s="87"/>
      <c r="J35" s="87"/>
      <c r="K35" s="69"/>
      <c r="L35" s="69"/>
      <c r="M35" s="69"/>
      <c r="N35" s="78">
        <f>M35</f>
        <v>0</v>
      </c>
      <c r="O35" s="78">
        <f>N35</f>
        <v>0</v>
      </c>
      <c r="P35" s="78">
        <f t="shared" ref="P35:AB35" si="23">O35</f>
        <v>0</v>
      </c>
      <c r="Q35" s="78">
        <f t="shared" si="23"/>
        <v>0</v>
      </c>
      <c r="R35" s="78">
        <f t="shared" si="23"/>
        <v>0</v>
      </c>
      <c r="S35" s="78">
        <f t="shared" si="23"/>
        <v>0</v>
      </c>
      <c r="T35" s="78">
        <f t="shared" si="23"/>
        <v>0</v>
      </c>
      <c r="U35" s="78">
        <f t="shared" si="23"/>
        <v>0</v>
      </c>
      <c r="V35" s="78">
        <f t="shared" si="23"/>
        <v>0</v>
      </c>
      <c r="W35" s="78">
        <f t="shared" si="23"/>
        <v>0</v>
      </c>
      <c r="X35" s="78">
        <f t="shared" si="23"/>
        <v>0</v>
      </c>
      <c r="Y35" s="78">
        <f t="shared" si="23"/>
        <v>0</v>
      </c>
      <c r="Z35" s="78">
        <f t="shared" si="23"/>
        <v>0</v>
      </c>
      <c r="AA35" s="78">
        <f t="shared" si="23"/>
        <v>0</v>
      </c>
      <c r="AB35" s="78">
        <f t="shared" si="23"/>
        <v>0</v>
      </c>
    </row>
    <row r="36" spans="2:28" ht="15.6">
      <c r="C36" s="41" t="s">
        <v>119</v>
      </c>
      <c r="D36" s="24">
        <f>SUM(D34:D35)</f>
        <v>192.78800000000001</v>
      </c>
      <c r="E36" s="24">
        <f t="shared" ref="E36:L36" si="24">SUM(E34:E35)</f>
        <v>1121.2919999999999</v>
      </c>
      <c r="F36" s="24">
        <f t="shared" si="24"/>
        <v>1295.5339999999999</v>
      </c>
      <c r="G36" s="24">
        <f t="shared" si="24"/>
        <v>1371.2080000000001</v>
      </c>
      <c r="H36" s="24">
        <f t="shared" si="24"/>
        <v>1598.646</v>
      </c>
      <c r="I36" s="24">
        <f t="shared" si="24"/>
        <v>1877.3389999999999</v>
      </c>
      <c r="J36" s="24">
        <f t="shared" si="24"/>
        <v>2713.0969999999998</v>
      </c>
      <c r="K36" s="24">
        <f t="shared" si="24"/>
        <v>2757.4219999999996</v>
      </c>
      <c r="L36" s="24">
        <f t="shared" si="24"/>
        <v>3110.9809999999998</v>
      </c>
      <c r="M36" s="24">
        <f t="shared" ref="M36:AB36" si="25">SUM(M34:M35)</f>
        <v>3659.7449999999999</v>
      </c>
      <c r="N36" s="24">
        <f t="shared" ca="1" si="25"/>
        <v>4446.8781782087553</v>
      </c>
      <c r="O36" s="24">
        <f t="shared" ca="1" si="25"/>
        <v>5325.1317959072794</v>
      </c>
      <c r="P36" s="24">
        <f t="shared" ca="1" si="25"/>
        <v>6301.2655250772905</v>
      </c>
      <c r="Q36" s="24">
        <f t="shared" ca="1" si="25"/>
        <v>7391.6734743764255</v>
      </c>
      <c r="R36" s="24">
        <f t="shared" ca="1" si="25"/>
        <v>8476.0699396926611</v>
      </c>
      <c r="S36" s="24">
        <f t="shared" ca="1" si="25"/>
        <v>9544.6433114950887</v>
      </c>
      <c r="T36" s="24">
        <f t="shared" ca="1" si="25"/>
        <v>10696.868871474466</v>
      </c>
      <c r="U36" s="24">
        <f t="shared" ca="1" si="25"/>
        <v>11809.761672871447</v>
      </c>
      <c r="V36" s="24">
        <f t="shared" ca="1" si="25"/>
        <v>12904.690475808213</v>
      </c>
      <c r="W36" s="24">
        <f t="shared" ca="1" si="25"/>
        <v>13950.753992169064</v>
      </c>
      <c r="X36" s="24">
        <f t="shared" ca="1" si="25"/>
        <v>14938.549247616385</v>
      </c>
      <c r="Y36" s="24">
        <f t="shared" ca="1" si="25"/>
        <v>15791.970813312086</v>
      </c>
      <c r="Z36" s="24">
        <f t="shared" ca="1" si="25"/>
        <v>16567.896003702746</v>
      </c>
      <c r="AA36" s="24">
        <f t="shared" ca="1" si="25"/>
        <v>17188.506464953651</v>
      </c>
      <c r="AB36" s="24">
        <f t="shared" ca="1" si="25"/>
        <v>17743.859812648505</v>
      </c>
    </row>
    <row r="37" spans="2:28" s="118" customFormat="1">
      <c r="B37" s="115"/>
      <c r="C37" s="41" t="s">
        <v>120</v>
      </c>
      <c r="D37" s="43">
        <f t="shared" ref="D37:L37" si="26">D29+D34+D35</f>
        <v>253.57300000000001</v>
      </c>
      <c r="E37" s="43">
        <f t="shared" si="26"/>
        <v>1966.4929999999999</v>
      </c>
      <c r="F37" s="43">
        <f t="shared" si="26"/>
        <v>2238.221</v>
      </c>
      <c r="G37" s="43">
        <f t="shared" si="26"/>
        <v>3338.9549999999995</v>
      </c>
      <c r="H37" s="43">
        <f t="shared" si="26"/>
        <v>3359.663</v>
      </c>
      <c r="I37" s="43">
        <f t="shared" si="26"/>
        <v>4800.2269999999999</v>
      </c>
      <c r="J37" s="43">
        <f t="shared" si="26"/>
        <v>5123.6719999999996</v>
      </c>
      <c r="K37" s="43">
        <f t="shared" si="26"/>
        <v>5203.491</v>
      </c>
      <c r="L37" s="43">
        <f t="shared" si="26"/>
        <v>5538.8969999999999</v>
      </c>
      <c r="M37" s="43">
        <f t="shared" ref="M37:AB37" si="27">M29+M34+M35</f>
        <v>6535.9009999999998</v>
      </c>
      <c r="N37" s="43">
        <f t="shared" ca="1" si="27"/>
        <v>7346.6248649720046</v>
      </c>
      <c r="O37" s="43">
        <f t="shared" ca="1" si="27"/>
        <v>8265.1212090766094</v>
      </c>
      <c r="P37" s="43">
        <f t="shared" ca="1" si="27"/>
        <v>9192.1706539299521</v>
      </c>
      <c r="Q37" s="43">
        <f t="shared" ca="1" si="27"/>
        <v>10287.482503103975</v>
      </c>
      <c r="R37" s="43">
        <f t="shared" ca="1" si="27"/>
        <v>11369.495945866087</v>
      </c>
      <c r="S37" s="43">
        <f t="shared" ca="1" si="27"/>
        <v>12431.796858351203</v>
      </c>
      <c r="T37" s="43">
        <f t="shared" ca="1" si="27"/>
        <v>13577.80806289395</v>
      </c>
      <c r="U37" s="43">
        <f t="shared" ca="1" si="27"/>
        <v>14676.557420578623</v>
      </c>
      <c r="V37" s="43">
        <f t="shared" ca="1" si="27"/>
        <v>15765.026651132795</v>
      </c>
      <c r="W37" s="43">
        <f t="shared" ca="1" si="27"/>
        <v>16793.518976072519</v>
      </c>
      <c r="X37" s="43">
        <f t="shared" ca="1" si="27"/>
        <v>17760.361877854684</v>
      </c>
      <c r="Y37" s="43">
        <f t="shared" ca="1" si="27"/>
        <v>18565.464770110888</v>
      </c>
      <c r="Z37" s="43">
        <f t="shared" ca="1" si="27"/>
        <v>19313.523478171337</v>
      </c>
      <c r="AA37" s="43">
        <f t="shared" ca="1" si="27"/>
        <v>19878.285196327379</v>
      </c>
      <c r="AB37" s="43">
        <f t="shared" ca="1" si="27"/>
        <v>20410.173108449635</v>
      </c>
    </row>
    <row r="38" spans="2:28">
      <c r="C38" s="16" t="s">
        <v>121</v>
      </c>
      <c r="D38" s="18">
        <f t="shared" ref="D38:L38" si="28">D37-D19</f>
        <v>0</v>
      </c>
      <c r="E38" s="18">
        <f t="shared" si="28"/>
        <v>0</v>
      </c>
      <c r="F38" s="18">
        <f t="shared" si="28"/>
        <v>0</v>
      </c>
      <c r="G38" s="18">
        <f t="shared" si="28"/>
        <v>0</v>
      </c>
      <c r="H38" s="18">
        <f t="shared" si="28"/>
        <v>0</v>
      </c>
      <c r="I38" s="18">
        <f t="shared" si="28"/>
        <v>0</v>
      </c>
      <c r="J38" s="18">
        <f t="shared" si="28"/>
        <v>0</v>
      </c>
      <c r="K38" s="18">
        <f>K37-K19</f>
        <v>0</v>
      </c>
      <c r="L38" s="18">
        <f t="shared" si="28"/>
        <v>0</v>
      </c>
      <c r="M38" s="18">
        <f t="shared" ref="M38:AB38" si="29">M37-M19</f>
        <v>0</v>
      </c>
      <c r="N38" s="18">
        <f t="shared" ca="1" si="29"/>
        <v>0</v>
      </c>
      <c r="O38" s="18">
        <f t="shared" ca="1" si="29"/>
        <v>0</v>
      </c>
      <c r="P38" s="18">
        <f t="shared" ca="1" si="29"/>
        <v>0</v>
      </c>
      <c r="Q38" s="18">
        <f t="shared" ca="1" si="29"/>
        <v>0</v>
      </c>
      <c r="R38" s="18">
        <f t="shared" ca="1" si="29"/>
        <v>0</v>
      </c>
      <c r="S38" s="18">
        <f t="shared" ca="1" si="29"/>
        <v>0</v>
      </c>
      <c r="T38" s="18">
        <f t="shared" ca="1" si="29"/>
        <v>0</v>
      </c>
      <c r="U38" s="18">
        <f t="shared" ca="1" si="29"/>
        <v>0</v>
      </c>
      <c r="V38" s="18">
        <f t="shared" ca="1" si="29"/>
        <v>0</v>
      </c>
      <c r="W38" s="18">
        <f t="shared" ca="1" si="29"/>
        <v>0</v>
      </c>
      <c r="X38" s="18">
        <f t="shared" ca="1" si="29"/>
        <v>0</v>
      </c>
      <c r="Y38" s="18">
        <f t="shared" ca="1" si="29"/>
        <v>0</v>
      </c>
      <c r="Z38" s="18">
        <f t="shared" ca="1" si="29"/>
        <v>0</v>
      </c>
      <c r="AA38" s="18">
        <f t="shared" ca="1" si="29"/>
        <v>0</v>
      </c>
      <c r="AB38" s="18">
        <f t="shared" ca="1" si="29"/>
        <v>0</v>
      </c>
    </row>
    <row r="39" spans="2:28">
      <c r="L39" s="69"/>
      <c r="O39" s="69"/>
      <c r="P39" s="69"/>
      <c r="Q39" s="69"/>
      <c r="R39" s="69"/>
    </row>
    <row r="41" spans="2:28">
      <c r="C41" s="1" t="s">
        <v>194</v>
      </c>
      <c r="D41" s="69">
        <f t="shared" ref="D41:AB41" si="30">D24+D27</f>
        <v>0</v>
      </c>
      <c r="E41" s="69">
        <f t="shared" si="30"/>
        <v>456.76099999999997</v>
      </c>
      <c r="F41" s="69">
        <f t="shared" si="30"/>
        <v>549.976</v>
      </c>
      <c r="G41" s="69">
        <f t="shared" si="30"/>
        <v>1342.4280000000001</v>
      </c>
      <c r="H41" s="69">
        <f t="shared" si="30"/>
        <v>1204.5029999999999</v>
      </c>
      <c r="I41" s="69">
        <f t="shared" si="30"/>
        <v>2029.625</v>
      </c>
      <c r="J41" s="69">
        <f t="shared" si="30"/>
        <v>1581.038</v>
      </c>
      <c r="K41" s="69">
        <f t="shared" si="30"/>
        <v>1596.412</v>
      </c>
      <c r="L41" s="69">
        <f t="shared" si="30"/>
        <v>1607.2569999999998</v>
      </c>
      <c r="M41" s="69">
        <f t="shared" si="30"/>
        <v>2094.8380000000002</v>
      </c>
      <c r="N41" s="69">
        <f t="shared" si="30"/>
        <v>2094.8380000000002</v>
      </c>
      <c r="O41" s="69">
        <f t="shared" si="30"/>
        <v>2094.8380000000002</v>
      </c>
      <c r="P41" s="69">
        <f t="shared" si="30"/>
        <v>2094.8380000000002</v>
      </c>
      <c r="Q41" s="69">
        <f t="shared" si="30"/>
        <v>2094.8380000000002</v>
      </c>
      <c r="R41" s="69">
        <f t="shared" si="30"/>
        <v>2094.8380000000002</v>
      </c>
      <c r="S41" s="69">
        <f t="shared" si="30"/>
        <v>2094.8380000000002</v>
      </c>
      <c r="T41" s="69">
        <f t="shared" si="30"/>
        <v>2094.8380000000002</v>
      </c>
      <c r="U41" s="69">
        <f t="shared" si="30"/>
        <v>2094.8380000000002</v>
      </c>
      <c r="V41" s="69">
        <f t="shared" si="30"/>
        <v>2094.8380000000002</v>
      </c>
      <c r="W41" s="69">
        <f t="shared" si="30"/>
        <v>2094.8380000000002</v>
      </c>
      <c r="X41" s="69">
        <f t="shared" si="30"/>
        <v>2094.8380000000002</v>
      </c>
      <c r="Y41" s="69">
        <f t="shared" si="30"/>
        <v>2094.8380000000002</v>
      </c>
      <c r="Z41" s="69">
        <f t="shared" si="30"/>
        <v>2094.8380000000002</v>
      </c>
      <c r="AA41" s="69">
        <f t="shared" si="30"/>
        <v>2094.8380000000002</v>
      </c>
      <c r="AB41" s="69">
        <f t="shared" si="30"/>
        <v>2094.8380000000002</v>
      </c>
    </row>
    <row r="43" spans="2:28">
      <c r="C43" s="118" t="s">
        <v>195</v>
      </c>
    </row>
    <row r="44" spans="2:28">
      <c r="C44" s="70" t="s">
        <v>101</v>
      </c>
      <c r="D44" s="69">
        <f t="shared" ref="D44:M44" si="31">D11</f>
        <v>34.374000000000002</v>
      </c>
      <c r="E44" s="69">
        <f t="shared" si="31"/>
        <v>75.48</v>
      </c>
      <c r="F44" s="69">
        <f t="shared" si="31"/>
        <v>124.80500000000001</v>
      </c>
      <c r="G44" s="69">
        <f t="shared" si="31"/>
        <v>186.37100000000001</v>
      </c>
      <c r="H44" s="69">
        <f t="shared" si="31"/>
        <v>209.685</v>
      </c>
      <c r="I44" s="69">
        <f t="shared" si="31"/>
        <v>234.244</v>
      </c>
      <c r="J44" s="69">
        <f t="shared" si="31"/>
        <v>224.12899999999999</v>
      </c>
      <c r="K44" s="69">
        <f t="shared" si="31"/>
        <v>263.83800000000002</v>
      </c>
      <c r="L44" s="69">
        <f t="shared" si="31"/>
        <v>355.98700000000002</v>
      </c>
      <c r="M44" s="69">
        <f t="shared" si="31"/>
        <v>396.49</v>
      </c>
      <c r="N44" s="69">
        <f>N45/365*'Cintas PNL'!BF$23</f>
        <v>420.17371933232681</v>
      </c>
      <c r="O44" s="69">
        <f>O45/365*'Cintas PNL'!BG$23</f>
        <v>462.10352572428667</v>
      </c>
      <c r="P44" s="69">
        <f>P45/365*'Cintas PNL'!BH$23</f>
        <v>410.96150026810801</v>
      </c>
      <c r="Q44" s="69">
        <f>Q45/365*'Cintas PNL'!BI$23</f>
        <v>416.0709844080431</v>
      </c>
      <c r="R44" s="69">
        <f>R45/365*'Cintas PNL'!BJ$23</f>
        <v>413.5880593369684</v>
      </c>
      <c r="S44" s="69">
        <f>S45/365*'Cintas PNL'!BK$23</f>
        <v>407.05264217555555</v>
      </c>
      <c r="T44" s="69">
        <f>T45/365*'Cintas PNL'!BL$23</f>
        <v>400.57776476095506</v>
      </c>
      <c r="U44" s="69">
        <f>U45/365*'Cintas PNL'!BM$23</f>
        <v>385.84139102254272</v>
      </c>
      <c r="V44" s="69">
        <f>V45/365*'Cintas PNL'!BN$23</f>
        <v>379.11101652843087</v>
      </c>
      <c r="W44" s="69">
        <f>W45/365*'Cintas PNL'!BO$23</f>
        <v>360.80319496262905</v>
      </c>
      <c r="X44" s="69">
        <f>X45/365*'Cintas PNL'!BP$23</f>
        <v>338.97246401833689</v>
      </c>
      <c r="Y44" s="69">
        <f>Y45/365*'Cintas PNL'!BQ$23</f>
        <v>288.62814584291135</v>
      </c>
      <c r="Z44" s="69">
        <f>Z45/365*'Cintas PNL'!BR$23</f>
        <v>259.59342793786004</v>
      </c>
      <c r="AA44" s="69">
        <f>AA45/365*'Cintas PNL'!BS$23</f>
        <v>201.40335995956164</v>
      </c>
      <c r="AB44" s="69">
        <f>AB45/365*'Cintas PNL'!BT$23</f>
        <v>176.95419216377951</v>
      </c>
    </row>
    <row r="45" spans="2:28" ht="14.4">
      <c r="C45" s="268" t="s">
        <v>196</v>
      </c>
      <c r="D45" s="69"/>
      <c r="E45" s="69"/>
      <c r="F45" s="69"/>
      <c r="G45" s="69"/>
      <c r="H45" s="69"/>
      <c r="I45" s="138">
        <f>I44/'Cintas PNL'!AG$23*365</f>
        <v>57.460088321495085</v>
      </c>
      <c r="J45" s="269">
        <f>J44/'Cintas PNL'!AL$23*365</f>
        <v>50.538974963133846</v>
      </c>
      <c r="K45" s="138">
        <f>K44/'Cintas PNL'!AQ$23*365</f>
        <v>50.927997030020272</v>
      </c>
      <c r="L45" s="138">
        <f>L44/'Cintas PNL'!AV$23*365</f>
        <v>60.106207392954182</v>
      </c>
      <c r="M45" s="138">
        <f>M44/'Cintas PNL'!BA$23*365</f>
        <v>61.22900260496106</v>
      </c>
      <c r="N45" s="270">
        <f>M45</f>
        <v>61.22900260496106</v>
      </c>
      <c r="O45" s="270">
        <f>N45</f>
        <v>61.22900260496106</v>
      </c>
      <c r="P45" s="270">
        <f t="shared" ref="P45:AB45" si="32">O45</f>
        <v>61.22900260496106</v>
      </c>
      <c r="Q45" s="270">
        <f t="shared" si="32"/>
        <v>61.22900260496106</v>
      </c>
      <c r="R45" s="270">
        <f t="shared" si="32"/>
        <v>61.22900260496106</v>
      </c>
      <c r="S45" s="270">
        <f t="shared" si="32"/>
        <v>61.22900260496106</v>
      </c>
      <c r="T45" s="270">
        <f t="shared" si="32"/>
        <v>61.22900260496106</v>
      </c>
      <c r="U45" s="270">
        <f t="shared" si="32"/>
        <v>61.22900260496106</v>
      </c>
      <c r="V45" s="270">
        <f t="shared" si="32"/>
        <v>61.22900260496106</v>
      </c>
      <c r="W45" s="270">
        <f t="shared" si="32"/>
        <v>61.22900260496106</v>
      </c>
      <c r="X45" s="270">
        <f t="shared" si="32"/>
        <v>61.22900260496106</v>
      </c>
      <c r="Y45" s="270">
        <f t="shared" si="32"/>
        <v>61.22900260496106</v>
      </c>
      <c r="Z45" s="270">
        <f t="shared" si="32"/>
        <v>61.22900260496106</v>
      </c>
      <c r="AA45" s="270">
        <f t="shared" si="32"/>
        <v>61.22900260496106</v>
      </c>
      <c r="AB45" s="270">
        <f t="shared" si="32"/>
        <v>61.22900260496106</v>
      </c>
    </row>
    <row r="46" spans="2:28">
      <c r="C46" s="70" t="s">
        <v>102</v>
      </c>
      <c r="D46" s="69">
        <f t="shared" ref="D46:M46" si="33">D12</f>
        <v>3.9089999999999998</v>
      </c>
      <c r="E46" s="69">
        <f t="shared" si="33"/>
        <v>26.524999999999999</v>
      </c>
      <c r="F46" s="69">
        <f t="shared" si="33"/>
        <v>28.669</v>
      </c>
      <c r="G46" s="69">
        <f t="shared" si="33"/>
        <v>30.036999999999999</v>
      </c>
      <c r="H46" s="69">
        <f t="shared" si="33"/>
        <v>19.451000000000001</v>
      </c>
      <c r="I46" s="69">
        <f t="shared" si="33"/>
        <v>34.051000000000002</v>
      </c>
      <c r="J46" s="69">
        <f t="shared" si="33"/>
        <v>43.244999999999997</v>
      </c>
      <c r="K46" s="69">
        <f t="shared" si="33"/>
        <v>52.956000000000003</v>
      </c>
      <c r="L46" s="69">
        <f t="shared" si="33"/>
        <v>78.608000000000004</v>
      </c>
      <c r="M46" s="69">
        <f t="shared" si="33"/>
        <v>95.396000000000001</v>
      </c>
      <c r="N46" s="69">
        <f>N47/365*'Cintas PNL'!BF$24</f>
        <v>104.32057690392986</v>
      </c>
      <c r="O46" s="69">
        <f>O47/365*'Cintas PNL'!BG$24</f>
        <v>114.73089385385721</v>
      </c>
      <c r="P46" s="69">
        <f>P47/365*'Cintas PNL'!BH$24</f>
        <v>102.0333705339746</v>
      </c>
      <c r="Q46" s="69">
        <f>Q47/365*'Cintas PNL'!BI$24</f>
        <v>103.30195138193081</v>
      </c>
      <c r="R46" s="69">
        <f>R47/365*'Cintas PNL'!BJ$24</f>
        <v>102.68549165609328</v>
      </c>
      <c r="S46" s="69">
        <f>S47/365*'Cintas PNL'!BK$24</f>
        <v>101.06288068063813</v>
      </c>
      <c r="T46" s="69">
        <f>T47/365*'Cintas PNL'!BL$24</f>
        <v>99.455300491313864</v>
      </c>
      <c r="U46" s="69">
        <f>U47/365*'Cintas PNL'!BM$24</f>
        <v>95.7965590252699</v>
      </c>
      <c r="V46" s="69">
        <f>V47/365*'Cintas PNL'!BN$24</f>
        <v>94.125544114768275</v>
      </c>
      <c r="W46" s="69">
        <f>W47/365*'Cintas PNL'!BO$24</f>
        <v>89.580084892250682</v>
      </c>
      <c r="X46" s="69">
        <f>X47/365*'Cintas PNL'!BP$24</f>
        <v>84.159959021546754</v>
      </c>
      <c r="Y46" s="69">
        <f>Y47/365*'Cintas PNL'!BQ$24</f>
        <v>71.660490172707384</v>
      </c>
      <c r="Z46" s="69">
        <f>Z47/365*'Cintas PNL'!BR$24</f>
        <v>64.451761062017439</v>
      </c>
      <c r="AA46" s="69">
        <f>AA47/365*'Cintas PNL'!BS$24</f>
        <v>50.004352330169247</v>
      </c>
      <c r="AB46" s="69">
        <f>AB47/365*'Cintas PNL'!BT$24</f>
        <v>43.934121918495947</v>
      </c>
    </row>
    <row r="47" spans="2:28" ht="14.4">
      <c r="C47" s="268" t="s">
        <v>197</v>
      </c>
      <c r="D47" s="69"/>
      <c r="E47" s="69"/>
      <c r="F47" s="69"/>
      <c r="G47" s="69"/>
      <c r="H47" s="69"/>
      <c r="I47" s="138">
        <f>I46/'Cintas PNL'!AG$24*365</f>
        <v>123.30342172882131</v>
      </c>
      <c r="J47" s="269">
        <f>J46/'Cintas PNL'!AL$24*365</f>
        <v>151.22657507472982</v>
      </c>
      <c r="K47" s="138">
        <f>K46/'Cintas PNL'!AQ$24*365</f>
        <v>168.20938125489516</v>
      </c>
      <c r="L47" s="138">
        <f>L46/'Cintas PNL'!AV$24*365</f>
        <v>236.55050167775556</v>
      </c>
      <c r="M47" s="138">
        <f>M46/'Cintas PNL'!BA$24*365</f>
        <v>245.99625560775729</v>
      </c>
      <c r="N47" s="270">
        <f>M47</f>
        <v>245.99625560775729</v>
      </c>
      <c r="O47" s="270">
        <f>N47</f>
        <v>245.99625560775729</v>
      </c>
      <c r="P47" s="270">
        <f t="shared" ref="P47:AB47" si="34">O47</f>
        <v>245.99625560775729</v>
      </c>
      <c r="Q47" s="270">
        <f t="shared" si="34"/>
        <v>245.99625560775729</v>
      </c>
      <c r="R47" s="270">
        <f t="shared" si="34"/>
        <v>245.99625560775729</v>
      </c>
      <c r="S47" s="270">
        <f t="shared" si="34"/>
        <v>245.99625560775729</v>
      </c>
      <c r="T47" s="270">
        <f t="shared" si="34"/>
        <v>245.99625560775729</v>
      </c>
      <c r="U47" s="270">
        <f t="shared" si="34"/>
        <v>245.99625560775729</v>
      </c>
      <c r="V47" s="270">
        <f t="shared" si="34"/>
        <v>245.99625560775729</v>
      </c>
      <c r="W47" s="270">
        <f t="shared" si="34"/>
        <v>245.99625560775729</v>
      </c>
      <c r="X47" s="270">
        <f t="shared" si="34"/>
        <v>245.99625560775729</v>
      </c>
      <c r="Y47" s="270">
        <f t="shared" si="34"/>
        <v>245.99625560775729</v>
      </c>
      <c r="Z47" s="270">
        <f t="shared" si="34"/>
        <v>245.99625560775729</v>
      </c>
      <c r="AA47" s="270">
        <f t="shared" si="34"/>
        <v>245.99625560775729</v>
      </c>
      <c r="AB47" s="270">
        <f t="shared" si="34"/>
        <v>245.99625560775729</v>
      </c>
    </row>
    <row r="48" spans="2:28">
      <c r="C48" s="70" t="s">
        <v>108</v>
      </c>
      <c r="D48" s="69">
        <f t="shared" ref="D48:M48" si="35">D21</f>
        <v>5.1289999999999996</v>
      </c>
      <c r="E48" s="69">
        <f t="shared" si="35"/>
        <v>15.887</v>
      </c>
      <c r="F48" s="69">
        <f t="shared" si="35"/>
        <v>21.004999999999999</v>
      </c>
      <c r="G48" s="69">
        <f t="shared" si="35"/>
        <v>25.126000000000001</v>
      </c>
      <c r="H48" s="69">
        <f t="shared" si="35"/>
        <v>21.806999999999999</v>
      </c>
      <c r="I48" s="69">
        <f t="shared" si="35"/>
        <v>22.414999999999999</v>
      </c>
      <c r="J48" s="69">
        <f t="shared" si="35"/>
        <v>24.367999999999999</v>
      </c>
      <c r="K48" s="69">
        <f t="shared" si="35"/>
        <v>40.601999999999997</v>
      </c>
      <c r="L48" s="69">
        <f t="shared" si="35"/>
        <v>47.545000000000002</v>
      </c>
      <c r="M48" s="69">
        <f t="shared" si="35"/>
        <v>26.945</v>
      </c>
      <c r="N48" s="69">
        <f>N49/365*'Cintas PNL'!BF$24</f>
        <v>29.465784148983079</v>
      </c>
      <c r="O48" s="69">
        <f>O49/365*'Cintas PNL'!BG$24</f>
        <v>32.406221800622482</v>
      </c>
      <c r="P48" s="69">
        <f>P49/365*'Cintas PNL'!BH$24</f>
        <v>28.819753124218476</v>
      </c>
      <c r="Q48" s="69">
        <f>Q49/365*'Cintas PNL'!BI$24</f>
        <v>29.178069101284386</v>
      </c>
      <c r="R48" s="69">
        <f>R49/365*'Cintas PNL'!BJ$24</f>
        <v>29.003947468168821</v>
      </c>
      <c r="S48" s="69">
        <f>S49/365*'Cintas PNL'!BK$24</f>
        <v>28.545634197867777</v>
      </c>
      <c r="T48" s="69">
        <f>T49/365*'Cintas PNL'!BL$24</f>
        <v>28.091566436102688</v>
      </c>
      <c r="U48" s="69">
        <f>U49/365*'Cintas PNL'!BM$24</f>
        <v>27.058139575410891</v>
      </c>
      <c r="V48" s="69">
        <f>V49/365*'Cintas PNL'!BN$24</f>
        <v>26.586154410797423</v>
      </c>
      <c r="W48" s="69">
        <f>W49/365*'Cintas PNL'!BO$24</f>
        <v>25.302270403598623</v>
      </c>
      <c r="X48" s="69">
        <f>X49/365*'Cintas PNL'!BP$24</f>
        <v>23.771333135934178</v>
      </c>
      <c r="Y48" s="69">
        <f>Y49/365*'Cintas PNL'!BQ$24</f>
        <v>20.240805774912996</v>
      </c>
      <c r="Z48" s="69">
        <f>Z49/365*'Cintas PNL'!BR$24</f>
        <v>18.204670026165246</v>
      </c>
      <c r="AA48" s="69">
        <f>AA49/365*'Cintas PNL'!BS$24</f>
        <v>14.123938881466836</v>
      </c>
      <c r="AB48" s="69">
        <f>AB49/365*'Cintas PNL'!BT$24</f>
        <v>12.409376861649054</v>
      </c>
    </row>
    <row r="49" spans="3:28" ht="14.4">
      <c r="C49" s="268" t="s">
        <v>198</v>
      </c>
      <c r="D49" s="69"/>
      <c r="E49" s="69"/>
      <c r="F49" s="69"/>
      <c r="G49" s="69"/>
      <c r="H49" s="69"/>
      <c r="I49" s="138">
        <f>I48/'Cintas PNL'!AG$24*365</f>
        <v>81.167842296893753</v>
      </c>
      <c r="J49" s="269">
        <f>J48/'Cintas PNL'!AL$24*365</f>
        <v>85.214225492450382</v>
      </c>
      <c r="K49" s="138">
        <f>K48/'Cintas PNL'!AQ$24*365</f>
        <v>128.96814898616307</v>
      </c>
      <c r="L49" s="138">
        <f>L48/'Cintas PNL'!AV$24*365</f>
        <v>143.07441484669354</v>
      </c>
      <c r="M49" s="138">
        <f>M48/'Cintas PNL'!BA$24*365</f>
        <v>69.482673354763506</v>
      </c>
      <c r="N49" s="270">
        <f>M49</f>
        <v>69.482673354763506</v>
      </c>
      <c r="O49" s="270">
        <f>N49</f>
        <v>69.482673354763506</v>
      </c>
      <c r="P49" s="270">
        <f t="shared" ref="P49:AB49" si="36">O49</f>
        <v>69.482673354763506</v>
      </c>
      <c r="Q49" s="270">
        <f t="shared" si="36"/>
        <v>69.482673354763506</v>
      </c>
      <c r="R49" s="270">
        <f t="shared" si="36"/>
        <v>69.482673354763506</v>
      </c>
      <c r="S49" s="270">
        <f t="shared" si="36"/>
        <v>69.482673354763506</v>
      </c>
      <c r="T49" s="270">
        <f t="shared" si="36"/>
        <v>69.482673354763506</v>
      </c>
      <c r="U49" s="270">
        <f t="shared" si="36"/>
        <v>69.482673354763506</v>
      </c>
      <c r="V49" s="270">
        <f t="shared" si="36"/>
        <v>69.482673354763506</v>
      </c>
      <c r="W49" s="270">
        <f t="shared" si="36"/>
        <v>69.482673354763506</v>
      </c>
      <c r="X49" s="270">
        <f t="shared" si="36"/>
        <v>69.482673354763506</v>
      </c>
      <c r="Y49" s="270">
        <f t="shared" si="36"/>
        <v>69.482673354763506</v>
      </c>
      <c r="Z49" s="270">
        <f t="shared" si="36"/>
        <v>69.482673354763506</v>
      </c>
      <c r="AA49" s="270">
        <f t="shared" si="36"/>
        <v>69.482673354763506</v>
      </c>
      <c r="AB49" s="270">
        <f t="shared" si="36"/>
        <v>69.482673354763506</v>
      </c>
    </row>
    <row r="50" spans="3:28">
      <c r="C50" s="70" t="s">
        <v>109</v>
      </c>
      <c r="D50" s="69">
        <f t="shared" ref="D50:M50" si="37">D22</f>
        <v>34.783000000000001</v>
      </c>
      <c r="E50" s="69">
        <f t="shared" si="37"/>
        <v>104.666</v>
      </c>
      <c r="F50" s="69">
        <f t="shared" si="37"/>
        <v>119.718</v>
      </c>
      <c r="G50" s="69">
        <f t="shared" si="37"/>
        <v>164.09100000000001</v>
      </c>
      <c r="H50" s="69">
        <f t="shared" si="37"/>
        <v>164.07</v>
      </c>
      <c r="I50" s="69">
        <f t="shared" si="37"/>
        <v>193.268</v>
      </c>
      <c r="J50" s="69">
        <f t="shared" si="37"/>
        <v>198.779</v>
      </c>
      <c r="K50" s="69">
        <f t="shared" si="37"/>
        <v>264.887</v>
      </c>
      <c r="L50" s="69">
        <f t="shared" si="37"/>
        <v>267.87299999999999</v>
      </c>
      <c r="M50" s="69">
        <f t="shared" si="37"/>
        <v>352.73200000000003</v>
      </c>
      <c r="N50" s="69">
        <f>N51*'Cintas PNL'!BF$23</f>
        <v>373.80190261426594</v>
      </c>
      <c r="O50" s="69">
        <f>O51*'Cintas PNL'!BG$23</f>
        <v>411.10419136870814</v>
      </c>
      <c r="P50" s="69">
        <f>P51*'Cintas PNL'!BH$23</f>
        <v>365.6063757284428</v>
      </c>
      <c r="Q50" s="69">
        <f>Q51*'Cintas PNL'!BI$23</f>
        <v>370.15195962626512</v>
      </c>
      <c r="R50" s="69">
        <f>R51*'Cintas PNL'!BJ$23</f>
        <v>367.9430587052575</v>
      </c>
      <c r="S50" s="69">
        <f>S51*'Cintas PNL'!BK$23</f>
        <v>362.12891265824624</v>
      </c>
      <c r="T50" s="69">
        <f>T51*'Cintas PNL'!BL$23</f>
        <v>356.36862498338218</v>
      </c>
      <c r="U50" s="69">
        <f>U51*'Cintas PNL'!BM$23</f>
        <v>343.25860813176507</v>
      </c>
      <c r="V50" s="69">
        <f>V51*'Cintas PNL'!BN$23</f>
        <v>337.27102091378464</v>
      </c>
      <c r="W50" s="69">
        <f>W51*'Cintas PNL'!BO$23</f>
        <v>320.98371349985644</v>
      </c>
      <c r="X50" s="69">
        <f>X51*'Cintas PNL'!BP$23</f>
        <v>301.56229710236323</v>
      </c>
      <c r="Y50" s="69">
        <f>Y51*'Cintas PNL'!BQ$23</f>
        <v>256.77415102388915</v>
      </c>
      <c r="Z50" s="69">
        <f>Z51*'Cintas PNL'!BR$23</f>
        <v>230.94380444242543</v>
      </c>
      <c r="AA50" s="69">
        <f>AA51*'Cintas PNL'!BS$23</f>
        <v>179.1757924922598</v>
      </c>
      <c r="AB50" s="69">
        <f>AB51*'Cintas PNL'!BT$23</f>
        <v>157.42491893947962</v>
      </c>
    </row>
    <row r="51" spans="3:28" ht="14.4">
      <c r="C51" s="268" t="s">
        <v>199</v>
      </c>
      <c r="D51" s="69"/>
      <c r="E51" s="69"/>
      <c r="F51" s="69"/>
      <c r="G51" s="69"/>
      <c r="H51" s="69"/>
      <c r="I51" s="273">
        <f>I50/'Cintas PNL'!AG23</f>
        <v>0.12988676541845853</v>
      </c>
      <c r="J51" s="273">
        <f>J50/'Cintas PNL'!AL23</f>
        <v>0.12280216199118674</v>
      </c>
      <c r="K51" s="273">
        <f>K50/'Cintas PNL'!AQ23</f>
        <v>0.14008351481446615</v>
      </c>
      <c r="L51" s="273">
        <f>L50/'Cintas PNL'!AV23</f>
        <v>0.12391425324076068</v>
      </c>
      <c r="M51" s="273">
        <f>M50/'Cintas PNL'!BA23</f>
        <v>0.14923714876709651</v>
      </c>
      <c r="N51" s="274">
        <f>M51</f>
        <v>0.14923714876709651</v>
      </c>
      <c r="O51" s="274">
        <f>N51</f>
        <v>0.14923714876709651</v>
      </c>
      <c r="P51" s="274">
        <f t="shared" ref="P51:AB51" si="38">O51</f>
        <v>0.14923714876709651</v>
      </c>
      <c r="Q51" s="274">
        <f t="shared" si="38"/>
        <v>0.14923714876709651</v>
      </c>
      <c r="R51" s="274">
        <f t="shared" si="38"/>
        <v>0.14923714876709651</v>
      </c>
      <c r="S51" s="274">
        <f t="shared" si="38"/>
        <v>0.14923714876709651</v>
      </c>
      <c r="T51" s="274">
        <f t="shared" si="38"/>
        <v>0.14923714876709651</v>
      </c>
      <c r="U51" s="274">
        <f t="shared" si="38"/>
        <v>0.14923714876709651</v>
      </c>
      <c r="V51" s="274">
        <f t="shared" si="38"/>
        <v>0.14923714876709651</v>
      </c>
      <c r="W51" s="274">
        <f t="shared" si="38"/>
        <v>0.14923714876709651</v>
      </c>
      <c r="X51" s="274">
        <f t="shared" si="38"/>
        <v>0.14923714876709651</v>
      </c>
      <c r="Y51" s="274">
        <f t="shared" si="38"/>
        <v>0.14923714876709651</v>
      </c>
      <c r="Z51" s="274">
        <f t="shared" si="38"/>
        <v>0.14923714876709651</v>
      </c>
      <c r="AA51" s="274">
        <f t="shared" si="38"/>
        <v>0.14923714876709651</v>
      </c>
      <c r="AB51" s="274">
        <f t="shared" si="38"/>
        <v>0.14923714876709651</v>
      </c>
    </row>
  </sheetData>
  <phoneticPr fontId="43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5BCA2-6AA7-4EA1-8059-72F8B01C1273}">
  <sheetPr>
    <outlinePr summaryBelow="0"/>
  </sheetPr>
  <dimension ref="A1:AB50"/>
  <sheetViews>
    <sheetView showGridLines="0" zoomScale="70" zoomScaleNormal="70" workbookViewId="0">
      <pane xSplit="3" ySplit="5" topLeftCell="I6" activePane="bottomRight" state="frozen"/>
      <selection pane="topRight" activeCell="D1" sqref="D1"/>
      <selection pane="bottomLeft" activeCell="A6" sqref="A6"/>
      <selection pane="bottomRight" activeCell="N48" sqref="N48"/>
    </sheetView>
  </sheetViews>
  <sheetFormatPr defaultColWidth="8.109375" defaultRowHeight="13.8" outlineLevelRow="1" outlineLevelCol="1"/>
  <cols>
    <col min="1" max="2" width="0.6640625" style="2" customWidth="1"/>
    <col min="3" max="3" width="50.44140625" style="1" customWidth="1"/>
    <col min="4" max="4" width="11.44140625" style="1" hidden="1" customWidth="1" outlineLevel="1"/>
    <col min="5" max="8" width="10.44140625" style="1" hidden="1" customWidth="1" outlineLevel="1"/>
    <col min="9" max="9" width="10.44140625" style="1" customWidth="1" collapsed="1"/>
    <col min="10" max="12" width="10.44140625" style="1" customWidth="1"/>
    <col min="13" max="13" width="11.109375" style="1" customWidth="1"/>
    <col min="14" max="84" width="10.44140625" style="1" customWidth="1"/>
    <col min="85" max="16384" width="8.109375" style="1"/>
  </cols>
  <sheetData>
    <row r="1" spans="1:28" ht="5.25" customHeight="1"/>
    <row r="2" spans="1:28" hidden="1">
      <c r="C2" s="124" t="s">
        <v>122</v>
      </c>
      <c r="D2" s="125">
        <v>40908</v>
      </c>
      <c r="E2" s="125">
        <v>41274</v>
      </c>
      <c r="F2" s="125">
        <v>41639</v>
      </c>
      <c r="G2" s="125">
        <v>42004</v>
      </c>
      <c r="H2" s="125">
        <v>42369</v>
      </c>
      <c r="I2" s="125">
        <v>42735</v>
      </c>
      <c r="J2" s="125">
        <v>43100</v>
      </c>
      <c r="K2" s="125">
        <v>43465</v>
      </c>
      <c r="L2" s="125">
        <v>43830</v>
      </c>
      <c r="M2" s="125">
        <v>44196</v>
      </c>
      <c r="N2" s="125">
        <v>44561</v>
      </c>
      <c r="O2" s="125">
        <v>44926</v>
      </c>
      <c r="P2" s="125">
        <v>45291</v>
      </c>
      <c r="Q2" s="125">
        <v>45657</v>
      </c>
      <c r="R2" s="125">
        <v>46022</v>
      </c>
      <c r="S2" s="125">
        <v>46387</v>
      </c>
      <c r="T2" s="125">
        <v>46752</v>
      </c>
      <c r="U2" s="125">
        <v>47118</v>
      </c>
      <c r="V2" s="125">
        <v>47483</v>
      </c>
      <c r="W2" s="125">
        <v>47848</v>
      </c>
      <c r="X2" s="125">
        <v>48213</v>
      </c>
      <c r="Y2" s="125">
        <v>48579</v>
      </c>
      <c r="Z2" s="125">
        <v>48944</v>
      </c>
      <c r="AA2" s="125">
        <v>49309</v>
      </c>
      <c r="AB2" s="125">
        <v>49674</v>
      </c>
    </row>
    <row r="3" spans="1:28" ht="14.4">
      <c r="B3" s="179"/>
      <c r="C3" s="180" t="s">
        <v>97</v>
      </c>
      <c r="D3" s="169">
        <v>2011</v>
      </c>
      <c r="E3" s="169">
        <v>2012</v>
      </c>
      <c r="F3" s="169">
        <v>2013</v>
      </c>
      <c r="G3" s="169">
        <v>2014</v>
      </c>
      <c r="H3" s="169">
        <v>2015</v>
      </c>
      <c r="I3" s="169" t="s">
        <v>359</v>
      </c>
      <c r="J3" s="169" t="s">
        <v>360</v>
      </c>
      <c r="K3" s="169" t="s">
        <v>356</v>
      </c>
      <c r="L3" s="169" t="s">
        <v>357</v>
      </c>
      <c r="M3" s="169" t="s">
        <v>358</v>
      </c>
      <c r="N3" s="178" t="s">
        <v>341</v>
      </c>
      <c r="O3" s="178" t="s">
        <v>342</v>
      </c>
      <c r="P3" s="178" t="s">
        <v>343</v>
      </c>
      <c r="Q3" s="178" t="s">
        <v>344</v>
      </c>
      <c r="R3" s="178" t="s">
        <v>345</v>
      </c>
      <c r="S3" s="178" t="s">
        <v>346</v>
      </c>
      <c r="T3" s="178" t="s">
        <v>347</v>
      </c>
      <c r="U3" s="178" t="s">
        <v>348</v>
      </c>
      <c r="V3" s="178" t="s">
        <v>349</v>
      </c>
      <c r="W3" s="178" t="s">
        <v>350</v>
      </c>
      <c r="X3" s="178" t="s">
        <v>351</v>
      </c>
      <c r="Y3" s="178" t="s">
        <v>352</v>
      </c>
      <c r="Z3" s="178" t="s">
        <v>353</v>
      </c>
      <c r="AA3" s="178" t="s">
        <v>354</v>
      </c>
      <c r="AB3" s="178" t="s">
        <v>355</v>
      </c>
    </row>
    <row r="4" spans="1:28">
      <c r="B4" s="126"/>
      <c r="C4" s="4" t="s">
        <v>42</v>
      </c>
      <c r="D4" s="5">
        <f>'Cintas BS'!D4</f>
        <v>271.13900000000001</v>
      </c>
      <c r="E4" s="5">
        <f>'Cintas BS'!E4</f>
        <v>591.28700000000003</v>
      </c>
      <c r="F4" s="5">
        <f>'Cintas BS'!F4</f>
        <v>872.423</v>
      </c>
      <c r="G4" s="5">
        <f>'Cintas BS'!G4</f>
        <v>1172.875</v>
      </c>
      <c r="H4" s="5">
        <f>'Cintas BS'!H4</f>
        <v>1324.8029999999999</v>
      </c>
      <c r="I4" s="5">
        <f>'Cintas BS'!I4</f>
        <v>1487.973</v>
      </c>
      <c r="J4" s="5">
        <f>'Cintas BS'!J4</f>
        <v>1618.6929999999998</v>
      </c>
      <c r="K4" s="5">
        <f>'Cintas BS'!K4</f>
        <v>1890.9220000000003</v>
      </c>
      <c r="L4" s="5">
        <f>'Cintas BS'!L4</f>
        <v>2161.7609999999995</v>
      </c>
      <c r="M4" s="5">
        <f>'Cintas BS'!M4</f>
        <v>2363.567</v>
      </c>
      <c r="N4" s="185">
        <f>'Cintas BS'!N4</f>
        <v>2504.75103352203</v>
      </c>
      <c r="O4" s="185">
        <f>'Cintas BS'!O4</f>
        <v>2754.7041387817476</v>
      </c>
      <c r="P4" s="185">
        <f>'Cintas BS'!P4</f>
        <v>2449.8349020257542</v>
      </c>
      <c r="Q4" s="185">
        <f>'Cintas BS'!Q4</f>
        <v>2480.2936982127299</v>
      </c>
      <c r="R4" s="185">
        <f>'Cintas BS'!R4</f>
        <v>2465.4924175714405</v>
      </c>
      <c r="S4" s="185">
        <f>'Cintas BS'!S4</f>
        <v>2426.5333105726531</v>
      </c>
      <c r="T4" s="185">
        <f>'Cintas BS'!T4</f>
        <v>2387.9350947634398</v>
      </c>
      <c r="U4" s="185">
        <f>'Cintas BS'!U4</f>
        <v>2300.0882217835965</v>
      </c>
      <c r="V4" s="185">
        <f>'Cintas BS'!V4</f>
        <v>2259.9669298167764</v>
      </c>
      <c r="W4" s="185">
        <f>'Cintas BS'!W4</f>
        <v>2150.8298446574599</v>
      </c>
      <c r="X4" s="185">
        <f>'Cintas BS'!X4</f>
        <v>2020.6918960438559</v>
      </c>
      <c r="Y4" s="185">
        <f>'Cintas BS'!Y4</f>
        <v>1720.5779736827976</v>
      </c>
      <c r="Z4" s="185">
        <f>'Cintas BS'!Z4</f>
        <v>1547.4954215511214</v>
      </c>
      <c r="AA4" s="185">
        <f>'Cintas BS'!AA4</f>
        <v>1200.6112015171661</v>
      </c>
      <c r="AB4" s="185">
        <f>'Cintas BS'!AB4</f>
        <v>1054.8641557415517</v>
      </c>
    </row>
    <row r="5" spans="1:28">
      <c r="B5" s="127"/>
      <c r="C5" s="8" t="s">
        <v>43</v>
      </c>
      <c r="D5" s="5">
        <f>'Cintas BS'!D5</f>
        <v>3.5216034873285178</v>
      </c>
      <c r="E5" s="5">
        <f>'Cintas BS'!E5</f>
        <v>4.8240601378852066</v>
      </c>
      <c r="F5" s="5">
        <f>'Cintas BS'!F5</f>
        <v>6.3060468742386577</v>
      </c>
      <c r="G5" s="5">
        <f>'Cintas BS'!G5</f>
        <v>8.3627942632638064</v>
      </c>
      <c r="H5" s="5">
        <f>'Cintas BS'!H5</f>
        <v>9.392727964972396</v>
      </c>
      <c r="I5" s="5">
        <f>'Cintas BS'!I5</f>
        <v>10.267981251010182</v>
      </c>
      <c r="J5" s="5">
        <f>'Cintas BS'!J5</f>
        <v>11.036384689400982</v>
      </c>
      <c r="K5" s="5">
        <f ca="1">'Cintas BS'!K5</f>
        <v>13.705290166533203</v>
      </c>
      <c r="L5" s="5">
        <f>'Cintas BS'!L5</f>
        <v>16.232815540728378</v>
      </c>
      <c r="M5" s="5">
        <f>'Cintas BS'!M5</f>
        <v>12.456114586005855</v>
      </c>
      <c r="N5" s="185">
        <f ca="1">'Cintas BS'!N5</f>
        <v>11.786561061084024</v>
      </c>
      <c r="O5" s="185">
        <f ca="1">'Cintas BS'!O5</f>
        <v>13.398841359576833</v>
      </c>
      <c r="P5" s="185">
        <f ca="1">'Cintas BS'!P5</f>
        <v>15.130726941158965</v>
      </c>
      <c r="Q5" s="185">
        <f ca="1">'Cintas BS'!Q5</f>
        <v>17.152689025313613</v>
      </c>
      <c r="R5" s="185">
        <f ca="1">'Cintas BS'!R5</f>
        <v>17.046322141608862</v>
      </c>
      <c r="S5" s="185">
        <f ca="1">'Cintas BS'!S5</f>
        <v>16.766349151175806</v>
      </c>
      <c r="T5" s="185">
        <f ca="1">'Cintas BS'!T5</f>
        <v>18.24648660089316</v>
      </c>
      <c r="U5" s="185">
        <f ca="1">'Cintas BS'!U5</f>
        <v>17.55053482428993</v>
      </c>
      <c r="V5" s="185">
        <f ca="1">'Cintas BS'!V5</f>
        <v>17.232680773522155</v>
      </c>
      <c r="W5" s="185">
        <f ca="1">'Cintas BS'!W5</f>
        <v>16.368060944341067</v>
      </c>
      <c r="X5" s="185">
        <f ca="1">'Cintas BS'!X5</f>
        <v>15.33706537820499</v>
      </c>
      <c r="Y5" s="185">
        <f ca="1">'Cintas BS'!Y5</f>
        <v>12.95946432804049</v>
      </c>
      <c r="Z5" s="185">
        <f ca="1">'Cintas BS'!Z5</f>
        <v>11.588247509853908</v>
      </c>
      <c r="AA5" s="185">
        <f ca="1">'Cintas BS'!AA5</f>
        <v>8.8401168021888683</v>
      </c>
      <c r="AB5" s="185">
        <f ca="1">'Cintas BS'!AB5</f>
        <v>7.6854608423178172</v>
      </c>
    </row>
    <row r="7" spans="1:28">
      <c r="A7" s="11"/>
      <c r="B7" s="169"/>
      <c r="C7" s="171" t="s">
        <v>123</v>
      </c>
      <c r="D7" s="172"/>
      <c r="E7" s="172"/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2"/>
      <c r="Y7" s="172"/>
      <c r="Z7" s="172"/>
      <c r="AA7" s="172"/>
      <c r="AB7" s="172"/>
    </row>
    <row r="9" spans="1:28">
      <c r="C9" s="118" t="s">
        <v>124</v>
      </c>
      <c r="D9" s="87">
        <v>124.98399999999999</v>
      </c>
      <c r="E9" s="87">
        <v>288.58600000000001</v>
      </c>
      <c r="F9" s="87">
        <v>216.31200000000001</v>
      </c>
      <c r="G9" s="87">
        <v>57.326000000000001</v>
      </c>
      <c r="H9" s="87">
        <v>329.53399999999999</v>
      </c>
      <c r="I9" s="87">
        <v>396.83100000000002</v>
      </c>
      <c r="J9" s="87">
        <v>487.84800000000001</v>
      </c>
      <c r="K9" s="21">
        <v>447.09800000000001</v>
      </c>
      <c r="L9" s="21">
        <v>523.36699999999996</v>
      </c>
      <c r="M9" s="21">
        <v>238.61600000000001</v>
      </c>
      <c r="N9" s="78">
        <f ca="1">'Cintas PNL'!BF36</f>
        <v>666.13517820875529</v>
      </c>
      <c r="O9" s="78">
        <f ca="1">'Cintas PNL'!BG36</f>
        <v>757.25561769852413</v>
      </c>
      <c r="P9" s="78">
        <f ca="1">'Cintas PNL'!BH36</f>
        <v>855.13572917001068</v>
      </c>
      <c r="Q9" s="78">
        <f ca="1">'Cintas PNL'!BI36</f>
        <v>969.40994929913677</v>
      </c>
      <c r="R9" s="78">
        <f ca="1">'Cintas PNL'!BJ36</f>
        <v>963.39846531623721</v>
      </c>
      <c r="S9" s="78">
        <f ca="1">'Cintas PNL'!BK36</f>
        <v>947.57537180242741</v>
      </c>
      <c r="T9" s="78">
        <f ca="1">'Cintas PNL'!BL36</f>
        <v>1031.2275599793784</v>
      </c>
      <c r="U9" s="78">
        <f ca="1">'Cintas PNL'!BM36</f>
        <v>991.89480139698173</v>
      </c>
      <c r="V9" s="78">
        <f ca="1">'Cintas PNL'!BN36</f>
        <v>973.93080293676485</v>
      </c>
      <c r="W9" s="78">
        <f ca="1">'Cintas PNL'!BO36</f>
        <v>925.06551636085203</v>
      </c>
      <c r="X9" s="78">
        <f ca="1">'Cintas PNL'!BP36</f>
        <v>866.7972554473223</v>
      </c>
      <c r="Y9" s="78">
        <f ca="1">'Cintas PNL'!BQ36</f>
        <v>732.42356569570029</v>
      </c>
      <c r="Z9" s="78">
        <f ca="1">'Cintas PNL'!BR36</f>
        <v>654.92719039065832</v>
      </c>
      <c r="AA9" s="78">
        <f ca="1">'Cintas PNL'!BS36</f>
        <v>499.61246125090713</v>
      </c>
      <c r="AB9" s="78">
        <f ca="1">'Cintas PNL'!BT36</f>
        <v>434.35534769485491</v>
      </c>
    </row>
    <row r="10" spans="1:28">
      <c r="D10" s="87"/>
      <c r="E10" s="87"/>
      <c r="F10" s="87"/>
      <c r="G10" s="87"/>
      <c r="H10" s="87"/>
      <c r="I10" s="87"/>
      <c r="J10" s="87"/>
      <c r="K10" s="78"/>
      <c r="L10" s="21"/>
      <c r="M10" s="21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</row>
    <row r="11" spans="1:28">
      <c r="C11" s="1" t="s">
        <v>125</v>
      </c>
      <c r="D11" s="87">
        <v>0.379</v>
      </c>
      <c r="E11" s="87">
        <v>1.3069999999999999</v>
      </c>
      <c r="F11" s="87">
        <v>3.048</v>
      </c>
      <c r="G11" s="87">
        <v>7.0970000000000004</v>
      </c>
      <c r="H11" s="87">
        <v>9.8940000000000001</v>
      </c>
      <c r="I11" s="87">
        <v>11.786</v>
      </c>
      <c r="J11" s="87">
        <v>13.089</v>
      </c>
      <c r="K11" s="21">
        <v>15.233000000000001</v>
      </c>
      <c r="L11" s="21">
        <v>15.342000000000001</v>
      </c>
      <c r="M11" s="21">
        <v>18.672999999999998</v>
      </c>
      <c r="N11" s="78">
        <f>N47*'Cintas PNL'!BF$23</f>
        <v>19.567212038004786</v>
      </c>
      <c r="O11" s="78">
        <f>O47*'Cintas PNL'!BG$23</f>
        <v>21.519855372499137</v>
      </c>
      <c r="P11" s="78">
        <f>P47*'Cintas PNL'!BH$23</f>
        <v>19.138205092838025</v>
      </c>
      <c r="Q11" s="78">
        <f>Q47*'Cintas PNL'!BI$23</f>
        <v>19.376150387774132</v>
      </c>
      <c r="R11" s="78">
        <f>R47*'Cintas PNL'!BJ$23</f>
        <v>19.260522210415971</v>
      </c>
      <c r="S11" s="78">
        <f>S47*'Cintas PNL'!BK$23</f>
        <v>18.956172158353247</v>
      </c>
      <c r="T11" s="78">
        <f>T47*'Cintas PNL'!BL$23</f>
        <v>18.654641402234329</v>
      </c>
      <c r="U11" s="78">
        <f>U47*'Cintas PNL'!BM$23</f>
        <v>17.968378229780328</v>
      </c>
      <c r="V11" s="78">
        <f>V47*'Cintas PNL'!BN$23</f>
        <v>17.654949143756731</v>
      </c>
      <c r="W11" s="78">
        <f>W47*'Cintas PNL'!BO$23</f>
        <v>16.802366009568217</v>
      </c>
      <c r="X11" s="78">
        <f>X47*'Cintas PNL'!BP$23</f>
        <v>15.785723317087633</v>
      </c>
      <c r="Y11" s="78">
        <f>Y47*'Cintas PNL'!BQ$23</f>
        <v>13.441221737567879</v>
      </c>
      <c r="Z11" s="78">
        <f>Z47*'Cintas PNL'!BR$23</f>
        <v>12.089094139929047</v>
      </c>
      <c r="AA11" s="78">
        <f>AA47*'Cintas PNL'!BS$23</f>
        <v>9.3792211844129625</v>
      </c>
      <c r="AB11" s="78">
        <f>AB47*'Cintas PNL'!BT$23</f>
        <v>8.2406396206420833</v>
      </c>
    </row>
    <row r="12" spans="1:28">
      <c r="C12" s="1" t="s">
        <v>126</v>
      </c>
      <c r="D12" s="87">
        <v>7.4480000000000004</v>
      </c>
      <c r="E12" s="87">
        <v>72.921999999999997</v>
      </c>
      <c r="F12" s="87">
        <v>79.042000000000002</v>
      </c>
      <c r="G12" s="87">
        <v>126.584</v>
      </c>
      <c r="H12" s="87">
        <v>98.162000000000006</v>
      </c>
      <c r="I12" s="87">
        <v>101.994</v>
      </c>
      <c r="J12" s="87">
        <v>152.065</v>
      </c>
      <c r="K12" s="21">
        <v>201.49799999999999</v>
      </c>
      <c r="L12" s="21">
        <v>354.81400000000002</v>
      </c>
      <c r="M12" s="21">
        <v>259.58</v>
      </c>
      <c r="N12" s="78">
        <f>N48*'Cintas PNL'!BF$23</f>
        <v>272.01939275203188</v>
      </c>
      <c r="O12" s="78">
        <f>O48*'Cintas PNL'!BG$23</f>
        <v>299.16464231946162</v>
      </c>
      <c r="P12" s="78">
        <f>P48*'Cintas PNL'!BH$23</f>
        <v>266.05542565830348</v>
      </c>
      <c r="Q12" s="78">
        <f>Q48*'Cintas PNL'!BI$23</f>
        <v>269.3632926406313</v>
      </c>
      <c r="R12" s="78">
        <f>R48*'Cintas PNL'!BJ$23</f>
        <v>267.75585329112653</v>
      </c>
      <c r="S12" s="78">
        <f>S48*'Cintas PNL'!BK$23</f>
        <v>263.52484091259493</v>
      </c>
      <c r="T12" s="78">
        <f>T48*'Cintas PNL'!BL$23</f>
        <v>259.33302181152828</v>
      </c>
      <c r="U12" s="78">
        <f>U48*'Cintas PNL'!BM$23</f>
        <v>249.7927310906814</v>
      </c>
      <c r="V12" s="78">
        <f>V48*'Cintas PNL'!BN$23</f>
        <v>245.43550383289082</v>
      </c>
      <c r="W12" s="78">
        <f>W48*'Cintas PNL'!BO$23</f>
        <v>233.58306691024009</v>
      </c>
      <c r="X12" s="78">
        <f>X48*'Cintas PNL'!BP$23</f>
        <v>219.44990745363322</v>
      </c>
      <c r="Y12" s="78">
        <f>Y48*'Cintas PNL'!BQ$23</f>
        <v>186.85712444865217</v>
      </c>
      <c r="Z12" s="78">
        <f>Z48*'Cintas PNL'!BR$23</f>
        <v>168.06012223297611</v>
      </c>
      <c r="AA12" s="78">
        <f>AA48*'Cintas PNL'!BS$23</f>
        <v>130.38802084403432</v>
      </c>
      <c r="AB12" s="78">
        <f>AB48*'Cintas PNL'!BT$23</f>
        <v>114.55969205738545</v>
      </c>
    </row>
    <row r="13" spans="1:28">
      <c r="C13" s="2" t="s">
        <v>127</v>
      </c>
      <c r="D13" s="87">
        <v>20.704000000000001</v>
      </c>
      <c r="E13" s="87">
        <v>23.006</v>
      </c>
      <c r="F13" s="87">
        <v>44.551000000000002</v>
      </c>
      <c r="G13" s="87">
        <v>69.638000000000005</v>
      </c>
      <c r="H13" s="87">
        <v>91.55</v>
      </c>
      <c r="I13" s="87">
        <v>98.771000000000001</v>
      </c>
      <c r="J13" s="87">
        <v>106.9</v>
      </c>
      <c r="K13" s="21">
        <v>102.441</v>
      </c>
      <c r="L13" s="21">
        <v>110.563</v>
      </c>
      <c r="M13" s="21">
        <v>120.998</v>
      </c>
      <c r="N13" s="35">
        <f>M13</f>
        <v>120.998</v>
      </c>
      <c r="O13" s="35">
        <f t="shared" ref="O13:AB14" si="0">N13</f>
        <v>120.998</v>
      </c>
      <c r="P13" s="35">
        <f t="shared" si="0"/>
        <v>120.998</v>
      </c>
      <c r="Q13" s="35">
        <f t="shared" si="0"/>
        <v>120.998</v>
      </c>
      <c r="R13" s="35">
        <f t="shared" si="0"/>
        <v>120.998</v>
      </c>
      <c r="S13" s="35">
        <f t="shared" si="0"/>
        <v>120.998</v>
      </c>
      <c r="T13" s="35">
        <f t="shared" si="0"/>
        <v>120.998</v>
      </c>
      <c r="U13" s="35">
        <f t="shared" si="0"/>
        <v>120.998</v>
      </c>
      <c r="V13" s="35">
        <f t="shared" si="0"/>
        <v>120.998</v>
      </c>
      <c r="W13" s="35">
        <f t="shared" si="0"/>
        <v>120.998</v>
      </c>
      <c r="X13" s="35">
        <f t="shared" si="0"/>
        <v>120.998</v>
      </c>
      <c r="Y13" s="35">
        <f t="shared" si="0"/>
        <v>120.998</v>
      </c>
      <c r="Z13" s="35">
        <f t="shared" si="0"/>
        <v>120.998</v>
      </c>
      <c r="AA13" s="35">
        <f t="shared" si="0"/>
        <v>120.998</v>
      </c>
      <c r="AB13" s="35">
        <f t="shared" si="0"/>
        <v>120.998</v>
      </c>
    </row>
    <row r="14" spans="1:28">
      <c r="C14" s="2" t="s">
        <v>128</v>
      </c>
      <c r="D14" s="87"/>
      <c r="E14" s="87"/>
      <c r="F14" s="87"/>
      <c r="G14" s="87"/>
      <c r="H14" s="87"/>
      <c r="I14" s="87"/>
      <c r="J14" s="87"/>
      <c r="K14" s="128">
        <v>43.96</v>
      </c>
      <c r="L14" s="21">
        <v>46.396000000000001</v>
      </c>
      <c r="M14" s="21">
        <v>56.658999999999999</v>
      </c>
      <c r="N14" s="35">
        <v>0</v>
      </c>
      <c r="O14" s="35">
        <f t="shared" si="0"/>
        <v>0</v>
      </c>
      <c r="P14" s="35">
        <f t="shared" si="0"/>
        <v>0</v>
      </c>
      <c r="Q14" s="35">
        <f t="shared" si="0"/>
        <v>0</v>
      </c>
      <c r="R14" s="35">
        <f t="shared" si="0"/>
        <v>0</v>
      </c>
      <c r="S14" s="35">
        <f t="shared" si="0"/>
        <v>0</v>
      </c>
      <c r="T14" s="35">
        <f t="shared" si="0"/>
        <v>0</v>
      </c>
      <c r="U14" s="35">
        <f t="shared" si="0"/>
        <v>0</v>
      </c>
      <c r="V14" s="35">
        <f t="shared" si="0"/>
        <v>0</v>
      </c>
      <c r="W14" s="35">
        <f t="shared" si="0"/>
        <v>0</v>
      </c>
      <c r="X14" s="35">
        <f t="shared" si="0"/>
        <v>0</v>
      </c>
      <c r="Y14" s="35">
        <f t="shared" si="0"/>
        <v>0</v>
      </c>
      <c r="Z14" s="35">
        <f t="shared" si="0"/>
        <v>0</v>
      </c>
      <c r="AA14" s="35">
        <f t="shared" si="0"/>
        <v>0</v>
      </c>
      <c r="AB14" s="35">
        <f t="shared" si="0"/>
        <v>0</v>
      </c>
    </row>
    <row r="15" spans="1:28">
      <c r="C15" s="2" t="s">
        <v>129</v>
      </c>
      <c r="D15" s="87">
        <f>0.033+0.059+1.247+0.394</f>
        <v>1.7330000000000001</v>
      </c>
      <c r="E15" s="87">
        <f>-113.862-17.05</f>
        <v>-130.91200000000001</v>
      </c>
      <c r="F15" s="87">
        <f>-10.097+36.706</f>
        <v>26.609000000000002</v>
      </c>
      <c r="G15" s="87">
        <f>-43.423+254.883</f>
        <v>211.46</v>
      </c>
      <c r="H15" s="87">
        <f>70.123-68.358</f>
        <v>1.7650000000000006</v>
      </c>
      <c r="I15" s="87">
        <f>45.036-41.163</f>
        <v>3.8730000000000047</v>
      </c>
      <c r="J15" s="87">
        <f>132.01-225.591</f>
        <v>-93.581000000000017</v>
      </c>
      <c r="K15" s="21">
        <f>42.896+0.655-88.815+4.728+1.425+4.499</f>
        <v>-34.611999999999995</v>
      </c>
      <c r="L15" s="21">
        <f>0+0.021-236.61+6.668+0-4.051+109.975</f>
        <v>-123.99700000000001</v>
      </c>
      <c r="M15" s="21">
        <f>136.139+251.25+5.438-136.937+15+5.089+14.58</f>
        <v>290.55899999999997</v>
      </c>
      <c r="N15" s="34">
        <f>'Cintas BS'!M18-'Cintas BS'!N18+'Cintas BS'!N28-'Cintas BS'!M28</f>
        <v>0</v>
      </c>
      <c r="O15" s="34">
        <f>'Cintas BS'!N18-'Cintas BS'!O18+'Cintas BS'!O28-'Cintas BS'!N28</f>
        <v>0</v>
      </c>
      <c r="P15" s="34">
        <f>'Cintas BS'!O18-'Cintas BS'!P18+'Cintas BS'!P28-'Cintas BS'!O28</f>
        <v>0</v>
      </c>
      <c r="Q15" s="34">
        <f>'Cintas BS'!P18-'Cintas BS'!Q18+'Cintas BS'!Q28-'Cintas BS'!P28</f>
        <v>0</v>
      </c>
      <c r="R15" s="34">
        <f>'Cintas BS'!Q18-'Cintas BS'!R18+'Cintas BS'!R28-'Cintas BS'!Q28</f>
        <v>0</v>
      </c>
      <c r="S15" s="34">
        <f>'Cintas BS'!R18-'Cintas BS'!S18+'Cintas BS'!S28-'Cintas BS'!R28</f>
        <v>0</v>
      </c>
      <c r="T15" s="34">
        <f>'Cintas BS'!S18-'Cintas BS'!T18+'Cintas BS'!T28-'Cintas BS'!S28</f>
        <v>0</v>
      </c>
      <c r="U15" s="34">
        <f>'Cintas BS'!T18-'Cintas BS'!U18+'Cintas BS'!U28-'Cintas BS'!T28</f>
        <v>0</v>
      </c>
      <c r="V15" s="34">
        <f>'Cintas BS'!U18-'Cintas BS'!V18+'Cintas BS'!V28-'Cintas BS'!U28</f>
        <v>0</v>
      </c>
      <c r="W15" s="34">
        <f>'Cintas BS'!V18-'Cintas BS'!W18+'Cintas BS'!W28-'Cintas BS'!V28</f>
        <v>0</v>
      </c>
      <c r="X15" s="34">
        <f>'Cintas BS'!W18-'Cintas BS'!X18+'Cintas BS'!X28-'Cintas BS'!W28</f>
        <v>0</v>
      </c>
      <c r="Y15" s="34">
        <f>'Cintas BS'!X18-'Cintas BS'!Y18+'Cintas BS'!Y28-'Cintas BS'!X28</f>
        <v>0</v>
      </c>
      <c r="Z15" s="34">
        <f>'Cintas BS'!Y18-'Cintas BS'!Z18+'Cintas BS'!Z28-'Cintas BS'!Y28</f>
        <v>0</v>
      </c>
      <c r="AA15" s="34">
        <f>'Cintas BS'!Z18-'Cintas BS'!AA18+'Cintas BS'!AA28-'Cintas BS'!Z28</f>
        <v>0</v>
      </c>
      <c r="AB15" s="34">
        <f>'Cintas BS'!AA18-'Cintas BS'!AB18+'Cintas BS'!AB28-'Cintas BS'!AA28</f>
        <v>0</v>
      </c>
    </row>
    <row r="16" spans="1:28">
      <c r="C16" s="2" t="s">
        <v>130</v>
      </c>
      <c r="K16" s="2"/>
      <c r="L16" s="129"/>
      <c r="M16" s="129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3:28" outlineLevel="1">
      <c r="C17" s="70" t="s">
        <v>101</v>
      </c>
      <c r="D17" s="87">
        <f>-12.293</f>
        <v>-12.292999999999999</v>
      </c>
      <c r="E17" s="87">
        <v>-4.7240000000000002</v>
      </c>
      <c r="F17" s="87">
        <v>-48.845999999999997</v>
      </c>
      <c r="G17" s="87">
        <v>-55.040999999999997</v>
      </c>
      <c r="H17" s="87">
        <v>-24.841000000000001</v>
      </c>
      <c r="I17" s="87">
        <v>-25.603000000000002</v>
      </c>
      <c r="J17" s="87">
        <v>12.278</v>
      </c>
      <c r="K17" s="21">
        <f>-40.132</f>
        <v>-40.131999999999998</v>
      </c>
      <c r="L17" s="21">
        <v>-92.325999999999993</v>
      </c>
      <c r="M17" s="21">
        <v>-38.646999999999998</v>
      </c>
      <c r="N17" s="92">
        <f>'Cintas BS'!M11-'Cintas BS'!N11</f>
        <v>-23.683719332326802</v>
      </c>
      <c r="O17" s="92">
        <f>'Cintas BS'!N11-'Cintas BS'!O11</f>
        <v>-41.929806391959858</v>
      </c>
      <c r="P17" s="92">
        <f>'Cintas BS'!O11-'Cintas BS'!P11</f>
        <v>51.142025456178658</v>
      </c>
      <c r="Q17" s="92">
        <f>'Cintas BS'!P11-'Cintas BS'!Q11</f>
        <v>-5.1094841399350912</v>
      </c>
      <c r="R17" s="92">
        <f>'Cintas BS'!Q11-'Cintas BS'!R11</f>
        <v>2.4829250710747033</v>
      </c>
      <c r="S17" s="92">
        <f>'Cintas BS'!R11-'Cintas BS'!S11</f>
        <v>6.5354171614128518</v>
      </c>
      <c r="T17" s="92">
        <f>'Cintas BS'!S11-'Cintas BS'!T11</f>
        <v>6.4748774146004848</v>
      </c>
      <c r="U17" s="92">
        <f>'Cintas BS'!T11-'Cintas BS'!U11</f>
        <v>14.73637373841234</v>
      </c>
      <c r="V17" s="92">
        <f>'Cintas BS'!U11-'Cintas BS'!V11</f>
        <v>6.7303744941118566</v>
      </c>
      <c r="W17" s="92">
        <f>'Cintas BS'!V11-'Cintas BS'!W11</f>
        <v>18.307821565801817</v>
      </c>
      <c r="X17" s="92">
        <f>'Cintas BS'!W11-'Cintas BS'!X11</f>
        <v>21.830730944292156</v>
      </c>
      <c r="Y17" s="92">
        <f>'Cintas BS'!X11-'Cintas BS'!Y11</f>
        <v>50.344318175425542</v>
      </c>
      <c r="Z17" s="92">
        <f>'Cintas BS'!Y11-'Cintas BS'!Z11</f>
        <v>29.034717905051309</v>
      </c>
      <c r="AA17" s="92">
        <f>'Cintas BS'!Z11-'Cintas BS'!AA11</f>
        <v>58.190067978298401</v>
      </c>
      <c r="AB17" s="92">
        <f>'Cintas BS'!AA11-'Cintas BS'!AB11</f>
        <v>24.449167795782131</v>
      </c>
    </row>
    <row r="18" spans="3:28" outlineLevel="1">
      <c r="C18" s="70" t="s">
        <v>102</v>
      </c>
      <c r="D18" s="87">
        <v>1.2390000000000001</v>
      </c>
      <c r="E18" s="87">
        <v>1.6970000000000001</v>
      </c>
      <c r="F18" s="87">
        <v>-8.516</v>
      </c>
      <c r="G18" s="87">
        <v>-7.63</v>
      </c>
      <c r="H18" s="87">
        <v>6.2709999999999999</v>
      </c>
      <c r="I18" s="87">
        <v>-17.024000000000001</v>
      </c>
      <c r="J18" s="87">
        <v>-8.6669999999999998</v>
      </c>
      <c r="K18" s="21">
        <f>-18.512</f>
        <v>-18.512</v>
      </c>
      <c r="L18" s="21">
        <v>-32.79</v>
      </c>
      <c r="M18" s="21">
        <v>-30.536999999999999</v>
      </c>
      <c r="N18" s="92">
        <f>'Cintas BS'!M12-'Cintas BS'!N12</f>
        <v>-8.9245769039298608</v>
      </c>
      <c r="O18" s="92">
        <f>'Cintas BS'!N12-'Cintas BS'!O12</f>
        <v>-10.410316949927349</v>
      </c>
      <c r="P18" s="92">
        <f>'Cintas BS'!O12-'Cintas BS'!P12</f>
        <v>12.697523319882606</v>
      </c>
      <c r="Q18" s="92">
        <f>'Cintas BS'!P12-'Cintas BS'!Q12</f>
        <v>-1.2685808479562013</v>
      </c>
      <c r="R18" s="92">
        <f>'Cintas BS'!Q12-'Cintas BS'!R12</f>
        <v>0.6164597258375295</v>
      </c>
      <c r="S18" s="92">
        <f>'Cintas BS'!R12-'Cintas BS'!S12</f>
        <v>1.6226109754551459</v>
      </c>
      <c r="T18" s="92">
        <f>'Cintas BS'!S12-'Cintas BS'!T12</f>
        <v>1.6075801893242669</v>
      </c>
      <c r="U18" s="92">
        <f>'Cintas BS'!T12-'Cintas BS'!U12</f>
        <v>3.6587414660439634</v>
      </c>
      <c r="V18" s="92">
        <f>'Cintas BS'!U12-'Cintas BS'!V12</f>
        <v>1.6710149105016256</v>
      </c>
      <c r="W18" s="92">
        <f>'Cintas BS'!V12-'Cintas BS'!W12</f>
        <v>4.5454592225175929</v>
      </c>
      <c r="X18" s="92">
        <f>'Cintas BS'!W12-'Cintas BS'!X12</f>
        <v>5.4201258707039273</v>
      </c>
      <c r="Y18" s="92">
        <f>'Cintas BS'!X12-'Cintas BS'!Y12</f>
        <v>12.499468848839371</v>
      </c>
      <c r="Z18" s="92">
        <f>'Cintas BS'!Y12-'Cintas BS'!Z12</f>
        <v>7.2087291106899443</v>
      </c>
      <c r="AA18" s="92">
        <f>'Cintas BS'!Z12-'Cintas BS'!AA12</f>
        <v>14.447408731848192</v>
      </c>
      <c r="AB18" s="92">
        <f>'Cintas BS'!AA12-'Cintas BS'!AB12</f>
        <v>6.0702304116733004</v>
      </c>
    </row>
    <row r="19" spans="3:28" outlineLevel="1">
      <c r="C19" s="70" t="s">
        <v>131</v>
      </c>
      <c r="D19" s="87">
        <f>-0.934+0.186</f>
        <v>-0.748</v>
      </c>
      <c r="E19" s="87">
        <f>-3.491-13.091</f>
        <v>-16.582000000000001</v>
      </c>
      <c r="F19" s="87">
        <f>-4.306-13.871</f>
        <v>-18.177</v>
      </c>
      <c r="G19" s="87">
        <f>-8.891+11.936</f>
        <v>3.0449999999999999</v>
      </c>
      <c r="H19" s="87">
        <f>-4.573+3.72</f>
        <v>-0.8530000000000002</v>
      </c>
      <c r="I19" s="87">
        <f>0.267-15.7</f>
        <v>-15.433</v>
      </c>
      <c r="J19" s="87">
        <f>0.119-26.874</f>
        <v>-26.754999999999999</v>
      </c>
      <c r="K19" s="21">
        <f>6.697-0.32</f>
        <v>6.3769999999999998</v>
      </c>
      <c r="L19" s="21">
        <f>-25.65-14.83</f>
        <v>-40.479999999999997</v>
      </c>
      <c r="M19" s="21">
        <f>-98.042+21.913</f>
        <v>-76.129000000000005</v>
      </c>
      <c r="N19" s="92">
        <f>'Cintas BS'!M13-'Cintas BS'!N13</f>
        <v>0</v>
      </c>
      <c r="O19" s="92">
        <f>'Cintas BS'!N13-'Cintas BS'!O13</f>
        <v>0</v>
      </c>
      <c r="P19" s="92">
        <f>'Cintas BS'!O13-'Cintas BS'!P13</f>
        <v>0</v>
      </c>
      <c r="Q19" s="92">
        <f>'Cintas BS'!P13-'Cintas BS'!Q13</f>
        <v>0</v>
      </c>
      <c r="R19" s="92">
        <f>'Cintas BS'!Q13-'Cintas BS'!R13</f>
        <v>0</v>
      </c>
      <c r="S19" s="92">
        <f>'Cintas BS'!R13-'Cintas BS'!S13</f>
        <v>0</v>
      </c>
      <c r="T19" s="92">
        <f>'Cintas BS'!S13-'Cintas BS'!T13</f>
        <v>0</v>
      </c>
      <c r="U19" s="92">
        <f>'Cintas BS'!T13-'Cintas BS'!U13</f>
        <v>0</v>
      </c>
      <c r="V19" s="92">
        <f>'Cintas BS'!U13-'Cintas BS'!V13</f>
        <v>0</v>
      </c>
      <c r="W19" s="92">
        <f>'Cintas BS'!V13-'Cintas BS'!W13</f>
        <v>0</v>
      </c>
      <c r="X19" s="92">
        <f>'Cintas BS'!W13-'Cintas BS'!X13</f>
        <v>0</v>
      </c>
      <c r="Y19" s="92">
        <f>'Cintas BS'!X13-'Cintas BS'!Y13</f>
        <v>0</v>
      </c>
      <c r="Z19" s="92">
        <f>'Cintas BS'!Y13-'Cintas BS'!Z13</f>
        <v>0</v>
      </c>
      <c r="AA19" s="92">
        <f>'Cintas BS'!Z13-'Cintas BS'!AA13</f>
        <v>0</v>
      </c>
      <c r="AB19" s="92">
        <f>'Cintas BS'!AA13-'Cintas BS'!AB13</f>
        <v>0</v>
      </c>
    </row>
    <row r="20" spans="3:28" outlineLevel="1">
      <c r="C20" s="70" t="s">
        <v>108</v>
      </c>
      <c r="D20" s="87">
        <v>2.08</v>
      </c>
      <c r="E20" s="87">
        <v>-7.2859999999999996</v>
      </c>
      <c r="F20" s="87">
        <v>5.0890000000000004</v>
      </c>
      <c r="G20" s="87">
        <v>-37.966000000000001</v>
      </c>
      <c r="H20" s="87">
        <v>-2.2799999999999998</v>
      </c>
      <c r="I20" s="87">
        <v>0.36099999999999999</v>
      </c>
      <c r="J20" s="87">
        <v>0.214</v>
      </c>
      <c r="K20" s="21">
        <v>17.04</v>
      </c>
      <c r="L20" s="21">
        <v>4.7699999999999996</v>
      </c>
      <c r="M20" s="21">
        <v>-18.934999999999999</v>
      </c>
      <c r="N20" s="92">
        <f>'Cintas BS'!N21-'Cintas BS'!M21</f>
        <v>2.5207841489830791</v>
      </c>
      <c r="O20" s="92">
        <f>'Cintas BS'!O21-'Cintas BS'!N21</f>
        <v>2.9404376516394031</v>
      </c>
      <c r="P20" s="92">
        <f>'Cintas BS'!P21-'Cintas BS'!O21</f>
        <v>-3.5864686764040066</v>
      </c>
      <c r="Q20" s="92">
        <f>'Cintas BS'!Q21-'Cintas BS'!P21</f>
        <v>0.35831597706591012</v>
      </c>
      <c r="R20" s="92">
        <f>'Cintas BS'!R21-'Cintas BS'!Q21</f>
        <v>-0.17412163311556483</v>
      </c>
      <c r="S20" s="92">
        <f>'Cintas BS'!S21-'Cintas BS'!R21</f>
        <v>-0.45831327030104418</v>
      </c>
      <c r="T20" s="92">
        <f>'Cintas BS'!T21-'Cintas BS'!S21</f>
        <v>-0.45406776176508856</v>
      </c>
      <c r="U20" s="92">
        <f>'Cintas BS'!U21-'Cintas BS'!T21</f>
        <v>-1.0334268606917973</v>
      </c>
      <c r="V20" s="92">
        <f>'Cintas BS'!V21-'Cintas BS'!U21</f>
        <v>-0.47198516461346784</v>
      </c>
      <c r="W20" s="92">
        <f>'Cintas BS'!W21-'Cintas BS'!V21</f>
        <v>-1.2838840071988002</v>
      </c>
      <c r="X20" s="92">
        <f>'Cintas BS'!X21-'Cintas BS'!W21</f>
        <v>-1.530937267664445</v>
      </c>
      <c r="Y20" s="92">
        <f>'Cintas BS'!Y21-'Cintas BS'!X21</f>
        <v>-3.530527361021182</v>
      </c>
      <c r="Z20" s="92">
        <f>'Cintas BS'!Z21-'Cintas BS'!Y21</f>
        <v>-2.0361357487477498</v>
      </c>
      <c r="AA20" s="92">
        <f>'Cintas BS'!AA21-'Cintas BS'!Z21</f>
        <v>-4.0807311446984098</v>
      </c>
      <c r="AB20" s="92">
        <f>'Cintas BS'!AB21-'Cintas BS'!AA21</f>
        <v>-1.714562019817782</v>
      </c>
    </row>
    <row r="21" spans="3:28" outlineLevel="1">
      <c r="C21" s="70" t="s">
        <v>109</v>
      </c>
      <c r="D21" s="87">
        <f>11211</f>
        <v>11211</v>
      </c>
      <c r="E21" s="87">
        <v>-11.428000000000001</v>
      </c>
      <c r="F21" s="87">
        <v>14.717000000000001</v>
      </c>
      <c r="G21" s="87">
        <v>20.997</v>
      </c>
      <c r="H21" s="87">
        <v>2.9860000000000002</v>
      </c>
      <c r="I21" s="87">
        <v>11.989000000000001</v>
      </c>
      <c r="J21" s="87">
        <v>-6.5780000000000003</v>
      </c>
      <c r="K21" s="21">
        <v>71.207999999999998</v>
      </c>
      <c r="L21" s="21">
        <v>-5.5650000000000004</v>
      </c>
      <c r="M21" s="21">
        <v>79.477000000000004</v>
      </c>
      <c r="N21" s="92">
        <f>'Cintas BS'!N22-'Cintas BS'!M22</f>
        <v>21.069902614265914</v>
      </c>
      <c r="O21" s="92">
        <f>'Cintas BS'!O22-'Cintas BS'!N22</f>
        <v>37.302288754442202</v>
      </c>
      <c r="P21" s="92">
        <f>'Cintas BS'!P22-'Cintas BS'!O22</f>
        <v>-45.497815640265344</v>
      </c>
      <c r="Q21" s="92">
        <f>'Cintas BS'!Q22-'Cintas BS'!P22</f>
        <v>4.5455838978223255</v>
      </c>
      <c r="R21" s="92">
        <f>'Cintas BS'!R22-'Cintas BS'!Q22</f>
        <v>-2.2089009210076256</v>
      </c>
      <c r="S21" s="92">
        <f>'Cintas BS'!S22-'Cintas BS'!R22</f>
        <v>-5.8141460470112634</v>
      </c>
      <c r="T21" s="92">
        <f>'Cintas BS'!T22-'Cintas BS'!S22</f>
        <v>-5.7602876748640597</v>
      </c>
      <c r="U21" s="92">
        <f>'Cintas BS'!U22-'Cintas BS'!T22</f>
        <v>-13.110016851617104</v>
      </c>
      <c r="V21" s="92">
        <f>'Cintas BS'!V22-'Cintas BS'!U22</f>
        <v>-5.9875872179804333</v>
      </c>
      <c r="W21" s="92">
        <f>'Cintas BS'!W22-'Cintas BS'!V22</f>
        <v>-16.287307413928204</v>
      </c>
      <c r="X21" s="92">
        <f>'Cintas BS'!X22-'Cintas BS'!W22</f>
        <v>-19.421416397493203</v>
      </c>
      <c r="Y21" s="92">
        <f>'Cintas BS'!Y22-'Cintas BS'!X22</f>
        <v>-44.788146078474085</v>
      </c>
      <c r="Z21" s="92">
        <f>'Cintas BS'!Z22-'Cintas BS'!Y22</f>
        <v>-25.830346581463715</v>
      </c>
      <c r="AA21" s="92">
        <f>'Cintas BS'!AA22-'Cintas BS'!Z22</f>
        <v>-51.768011950165629</v>
      </c>
      <c r="AB21" s="92">
        <f>'Cintas BS'!AB22-'Cintas BS'!AA22</f>
        <v>-21.750873552780178</v>
      </c>
    </row>
    <row r="22" spans="3:28" ht="15.6" outlineLevel="1">
      <c r="C22" s="70" t="s">
        <v>132</v>
      </c>
      <c r="D22" s="101">
        <f>-1.273-0.082-3.786</f>
        <v>-5.141</v>
      </c>
      <c r="E22" s="101">
        <f>2.351-7.32-1.205+39.34</f>
        <v>33.166000000000004</v>
      </c>
      <c r="F22" s="101">
        <f>14.82-1.061-38.984</f>
        <v>-25.225000000000001</v>
      </c>
      <c r="G22" s="101">
        <f>2.824-1.203+8.634</f>
        <v>10.255000000000001</v>
      </c>
      <c r="H22" s="101">
        <f>26.562-0.536-6.271</f>
        <v>19.754999999999999</v>
      </c>
      <c r="I22" s="101">
        <f>23.199-1.315+2.962</f>
        <v>24.846</v>
      </c>
      <c r="J22" s="101">
        <f>18.934+21.009+16.331</f>
        <v>56.274000000000001</v>
      </c>
      <c r="K22" s="28">
        <f>-19.735-7.497+14.537</f>
        <v>-12.694999999999999</v>
      </c>
      <c r="L22" s="28">
        <f>10.056-5.414+3.561-6.044+14.148</f>
        <v>16.306999999999999</v>
      </c>
      <c r="M22" s="28">
        <f>13.038-4.72-8.967-12.383+12.366</f>
        <v>-0.66599999999999859</v>
      </c>
      <c r="N22" s="130">
        <f>'Cintas BS'!N25-'Cintas BS'!M25</f>
        <v>0</v>
      </c>
      <c r="O22" s="130">
        <f>'Cintas BS'!O25-'Cintas BS'!N25</f>
        <v>0</v>
      </c>
      <c r="P22" s="130">
        <f>'Cintas BS'!P25-'Cintas BS'!O25</f>
        <v>0</v>
      </c>
      <c r="Q22" s="130">
        <f>'Cintas BS'!Q25-'Cintas BS'!P25</f>
        <v>0</v>
      </c>
      <c r="R22" s="130">
        <f>'Cintas BS'!R25-'Cintas BS'!Q25</f>
        <v>0</v>
      </c>
      <c r="S22" s="130">
        <f>'Cintas BS'!S25-'Cintas BS'!R25</f>
        <v>0</v>
      </c>
      <c r="T22" s="130">
        <f>'Cintas BS'!T25-'Cintas BS'!S25</f>
        <v>0</v>
      </c>
      <c r="U22" s="130">
        <f>'Cintas BS'!U25-'Cintas BS'!T25</f>
        <v>0</v>
      </c>
      <c r="V22" s="130">
        <f>'Cintas BS'!V25-'Cintas BS'!U25</f>
        <v>0</v>
      </c>
      <c r="W22" s="130">
        <f>'Cintas BS'!W25-'Cintas BS'!V25</f>
        <v>0</v>
      </c>
      <c r="X22" s="130">
        <f>'Cintas BS'!X25-'Cintas BS'!W25</f>
        <v>0</v>
      </c>
      <c r="Y22" s="130">
        <f>'Cintas BS'!Y25-'Cintas BS'!X25</f>
        <v>0</v>
      </c>
      <c r="Z22" s="130">
        <f>'Cintas BS'!Z25-'Cintas BS'!Y25</f>
        <v>0</v>
      </c>
      <c r="AA22" s="130">
        <f>'Cintas BS'!AA25-'Cintas BS'!Z25</f>
        <v>0</v>
      </c>
      <c r="AB22" s="130">
        <f>'Cintas BS'!AB25-'Cintas BS'!AA25</f>
        <v>0</v>
      </c>
    </row>
    <row r="23" spans="3:28">
      <c r="C23" s="2" t="s">
        <v>133</v>
      </c>
      <c r="D23" s="69">
        <f t="shared" ref="D23:K23" si="1">SUM(D9:D22)</f>
        <v>11351.385</v>
      </c>
      <c r="E23" s="69">
        <f t="shared" si="1"/>
        <v>249.75200000000004</v>
      </c>
      <c r="F23" s="69">
        <f t="shared" si="1"/>
        <v>288.60399999999993</v>
      </c>
      <c r="G23" s="69">
        <f t="shared" si="1"/>
        <v>405.76500000000004</v>
      </c>
      <c r="H23" s="69">
        <f t="shared" si="1"/>
        <v>531.94299999999998</v>
      </c>
      <c r="I23" s="69">
        <f t="shared" si="1"/>
        <v>592.39100000000008</v>
      </c>
      <c r="J23" s="69">
        <f t="shared" si="1"/>
        <v>693.08699999999999</v>
      </c>
      <c r="K23" s="131">
        <f t="shared" si="1"/>
        <v>798.904</v>
      </c>
      <c r="L23" s="92">
        <f>SUM(L9:L22)</f>
        <v>776.40099999999984</v>
      </c>
      <c r="M23" s="92">
        <f>SUM(M9:M22)</f>
        <v>899.6479999999998</v>
      </c>
      <c r="N23" s="92">
        <f t="shared" ref="N23:AB23" ca="1" si="2">SUM(N9:N22)</f>
        <v>1069.7021735257842</v>
      </c>
      <c r="O23" s="92">
        <f t="shared" ca="1" si="2"/>
        <v>1186.8407184546795</v>
      </c>
      <c r="P23" s="92">
        <f t="shared" ca="1" si="2"/>
        <v>1276.0826243805443</v>
      </c>
      <c r="Q23" s="92">
        <f t="shared" ca="1" si="2"/>
        <v>1377.6732272145393</v>
      </c>
      <c r="R23" s="92">
        <f t="shared" ca="1" si="2"/>
        <v>1372.1292030605689</v>
      </c>
      <c r="S23" s="92">
        <f t="shared" ca="1" si="2"/>
        <v>1352.9399536929316</v>
      </c>
      <c r="T23" s="92">
        <f t="shared" ca="1" si="2"/>
        <v>1432.0813253604367</v>
      </c>
      <c r="U23" s="92">
        <f t="shared" ca="1" si="2"/>
        <v>1384.9055822095909</v>
      </c>
      <c r="V23" s="92">
        <f t="shared" ca="1" si="2"/>
        <v>1359.961072935432</v>
      </c>
      <c r="W23" s="92">
        <f t="shared" ca="1" si="2"/>
        <v>1301.7310386478528</v>
      </c>
      <c r="X23" s="92">
        <f t="shared" ca="1" si="2"/>
        <v>1229.3293893678815</v>
      </c>
      <c r="Y23" s="92">
        <f t="shared" ca="1" si="2"/>
        <v>1068.2450254666901</v>
      </c>
      <c r="Z23" s="92">
        <f t="shared" ca="1" si="2"/>
        <v>964.45137144909347</v>
      </c>
      <c r="AA23" s="92">
        <f t="shared" ca="1" si="2"/>
        <v>777.16643689463706</v>
      </c>
      <c r="AB23" s="92">
        <f t="shared" ca="1" si="2"/>
        <v>685.20764200773999</v>
      </c>
    </row>
    <row r="24" spans="3:28">
      <c r="C24" s="2"/>
      <c r="E24" s="69"/>
      <c r="F24" s="69"/>
      <c r="G24" s="69"/>
      <c r="H24" s="69"/>
      <c r="I24" s="69"/>
      <c r="J24" s="69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</row>
    <row r="25" spans="3:28">
      <c r="C25" s="121" t="s">
        <v>134</v>
      </c>
      <c r="D25" s="87">
        <v>-4.5</v>
      </c>
      <c r="E25" s="87">
        <v>0</v>
      </c>
      <c r="F25" s="87">
        <v>-4.9880000000000004</v>
      </c>
      <c r="G25" s="87">
        <v>-202.626</v>
      </c>
      <c r="H25" s="87">
        <v>0</v>
      </c>
      <c r="I25" s="87">
        <v>-23.75</v>
      </c>
      <c r="J25" s="87">
        <v>-85</v>
      </c>
      <c r="K25" s="21">
        <f>-111.1</f>
        <v>-111.1</v>
      </c>
      <c r="L25" s="21">
        <v>-80.5</v>
      </c>
      <c r="M25" s="21">
        <v>-113</v>
      </c>
      <c r="N25" s="78">
        <f>N49*-1*'Cintas PNL'!BF$23</f>
        <v>-106.33894146076673</v>
      </c>
      <c r="O25" s="78">
        <f>O49*-1*'Cintas PNL'!BG$23</f>
        <v>-116.95067423277608</v>
      </c>
      <c r="P25" s="78">
        <f>P49*-1*'Cintas PNL'!BH$23</f>
        <v>-104.00748287894403</v>
      </c>
      <c r="Q25" s="78">
        <f>Q49*-1*'Cintas PNL'!BI$23</f>
        <v>-105.3006078647586</v>
      </c>
      <c r="R25" s="78">
        <f>R49*-1*'Cintas PNL'!BJ$23</f>
        <v>-104.6722210532178</v>
      </c>
      <c r="S25" s="78">
        <f>S49*-1*'Cintas PNL'!BK$23</f>
        <v>-103.01821626668924</v>
      </c>
      <c r="T25" s="78">
        <f>T49*-1*'Cintas PNL'!BL$23</f>
        <v>-101.37953307762415</v>
      </c>
      <c r="U25" s="78">
        <f>U49*-1*'Cintas PNL'!BM$23</f>
        <v>-97.6500033326341</v>
      </c>
      <c r="V25" s="78">
        <f>V49*-1*'Cintas PNL'!BN$23</f>
        <v>-95.946658105627336</v>
      </c>
      <c r="W25" s="78">
        <f>W49*-1*'Cintas PNL'!BO$23</f>
        <v>-91.313254643712682</v>
      </c>
      <c r="X25" s="78">
        <f>X49*-1*'Cintas PNL'!BP$23</f>
        <v>-85.788261734542345</v>
      </c>
      <c r="Y25" s="78">
        <f>Y49*-1*'Cintas PNL'!BQ$23</f>
        <v>-73.046956752770001</v>
      </c>
      <c r="Z25" s="78">
        <f>Z49*-1*'Cintas PNL'!BR$23</f>
        <v>-65.698755221885776</v>
      </c>
      <c r="AA25" s="78">
        <f>AA49*-1*'Cintas PNL'!BS$23</f>
        <v>-50.971822175775479</v>
      </c>
      <c r="AB25" s="78">
        <f>AB49*-1*'Cintas PNL'!BT$23</f>
        <v>-44.784146689713467</v>
      </c>
    </row>
    <row r="26" spans="3:28">
      <c r="C26" s="70" t="s">
        <v>135</v>
      </c>
      <c r="D26" s="87">
        <v>-1.2789999999999999</v>
      </c>
      <c r="E26" s="87">
        <v>-5.976</v>
      </c>
      <c r="F26" s="87">
        <v>-9.9760000000000009</v>
      </c>
      <c r="G26" s="87">
        <v>-36.347000000000001</v>
      </c>
      <c r="H26" s="87">
        <v>-35.957999999999998</v>
      </c>
      <c r="I26" s="87">
        <v>-9.6869999999999994</v>
      </c>
      <c r="J26" s="87">
        <v>-28.95</v>
      </c>
      <c r="K26" s="21">
        <f>-20.37</f>
        <v>-20.37</v>
      </c>
      <c r="L26" s="21">
        <v>-40.134999999999998</v>
      </c>
      <c r="M26" s="21">
        <v>-15.004</v>
      </c>
      <c r="N26" s="78">
        <f>N50*-1*'Cintas PNL'!BF$23</f>
        <v>-15.028506201132179</v>
      </c>
      <c r="O26" s="78">
        <f>O50*-1*'Cintas PNL'!BG$23</f>
        <v>-16.528224832690487</v>
      </c>
      <c r="P26" s="78">
        <f>P50*-1*'Cintas PNL'!BH$23</f>
        <v>-14.699009412154526</v>
      </c>
      <c r="Q26" s="78">
        <f>Q50*-1*'Cintas PNL'!BI$23</f>
        <v>-14.88176218927638</v>
      </c>
      <c r="R26" s="78">
        <f>R50*-1*'Cintas PNL'!BJ$23</f>
        <v>-14.792954505428643</v>
      </c>
      <c r="S26" s="78">
        <f>S50*-1*'Cintas PNL'!BK$23</f>
        <v>-14.55919986343592</v>
      </c>
      <c r="T26" s="78">
        <f>T50*-1*'Cintas PNL'!BL$23</f>
        <v>-14.327610568580639</v>
      </c>
      <c r="U26" s="78">
        <f>U50*-1*'Cintas PNL'!BM$23</f>
        <v>-13.800529330701579</v>
      </c>
      <c r="V26" s="78">
        <f>V50*-1*'Cintas PNL'!BN$23</f>
        <v>-13.559801578900659</v>
      </c>
      <c r="W26" s="78">
        <f>W50*-1*'Cintas PNL'!BO$23</f>
        <v>-12.90497906794476</v>
      </c>
      <c r="X26" s="78">
        <f>X50*-1*'Cintas PNL'!BP$23</f>
        <v>-12.124151376263136</v>
      </c>
      <c r="Y26" s="78">
        <f>Y50*-1*'Cintas PNL'!BQ$23</f>
        <v>-10.323467842096786</v>
      </c>
      <c r="Z26" s="78">
        <f>Z50*-1*'Cintas PNL'!BR$23</f>
        <v>-9.284972529306728</v>
      </c>
      <c r="AA26" s="78">
        <f>AA50*-1*'Cintas PNL'!BS$23</f>
        <v>-7.2036672091029974</v>
      </c>
      <c r="AB26" s="78">
        <f>AB50*-1*'Cintas PNL'!BT$23</f>
        <v>-6.3291849344493105</v>
      </c>
    </row>
    <row r="27" spans="3:28">
      <c r="C27" s="70" t="s">
        <v>136</v>
      </c>
      <c r="D27" s="87">
        <v>0</v>
      </c>
      <c r="E27" s="87">
        <v>-542.53099999999995</v>
      </c>
      <c r="F27" s="87">
        <v>0</v>
      </c>
      <c r="G27" s="87">
        <v>-828.67600000000004</v>
      </c>
      <c r="H27" s="87">
        <v>0</v>
      </c>
      <c r="I27" s="87">
        <v>-1502.443</v>
      </c>
      <c r="J27" s="87">
        <v>0</v>
      </c>
      <c r="K27" s="21">
        <v>0</v>
      </c>
      <c r="L27" s="21">
        <v>-55.073999999999998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</row>
    <row r="28" spans="3:28" ht="15.6">
      <c r="C28" s="70" t="s">
        <v>51</v>
      </c>
      <c r="D28" s="101">
        <f>-79.886+4.033+0.4</f>
        <v>-75.452999999999989</v>
      </c>
      <c r="E28" s="101">
        <v>153.21299999999999</v>
      </c>
      <c r="F28" s="101">
        <v>-1.3</v>
      </c>
      <c r="G28" s="101">
        <v>0</v>
      </c>
      <c r="H28" s="101">
        <v>33.703000000000003</v>
      </c>
      <c r="I28" s="101">
        <f>-150-132.181+66.906</f>
        <v>-215.27500000000003</v>
      </c>
      <c r="J28" s="101">
        <f>-155</f>
        <v>-155</v>
      </c>
      <c r="K28" s="28">
        <f>-1165.915+855+47.898</f>
        <v>-263.01699999999994</v>
      </c>
      <c r="L28" s="28">
        <f>-917.1+985-61.7+14.209</f>
        <v>20.408999999999974</v>
      </c>
      <c r="M28" s="28">
        <f>-2397.675+1755-251.25+14.259</f>
        <v>-879.66600000000017</v>
      </c>
      <c r="N28" s="119">
        <v>0</v>
      </c>
      <c r="O28" s="119">
        <v>0</v>
      </c>
      <c r="P28" s="119">
        <v>0</v>
      </c>
      <c r="Q28" s="119">
        <v>0</v>
      </c>
      <c r="R28" s="119">
        <v>0</v>
      </c>
      <c r="S28" s="119">
        <v>0</v>
      </c>
      <c r="T28" s="119">
        <v>0</v>
      </c>
      <c r="U28" s="119">
        <v>0</v>
      </c>
      <c r="V28" s="119">
        <v>0</v>
      </c>
      <c r="W28" s="119">
        <v>0</v>
      </c>
      <c r="X28" s="119">
        <v>0</v>
      </c>
      <c r="Y28" s="119">
        <v>0</v>
      </c>
      <c r="Z28" s="119">
        <v>0</v>
      </c>
      <c r="AA28" s="119">
        <v>0</v>
      </c>
      <c r="AB28" s="119">
        <v>0</v>
      </c>
    </row>
    <row r="29" spans="3:28">
      <c r="C29" s="2" t="s">
        <v>137</v>
      </c>
      <c r="D29" s="69">
        <f t="shared" ref="D29:L29" si="3">SUM(D25:D28)</f>
        <v>-81.231999999999985</v>
      </c>
      <c r="E29" s="69">
        <f t="shared" si="3"/>
        <v>-395.29399999999998</v>
      </c>
      <c r="F29" s="69">
        <f t="shared" si="3"/>
        <v>-16.264000000000003</v>
      </c>
      <c r="G29" s="69">
        <f t="shared" si="3"/>
        <v>-1067.6490000000001</v>
      </c>
      <c r="H29" s="69">
        <f t="shared" si="3"/>
        <v>-2.2549999999999955</v>
      </c>
      <c r="I29" s="69">
        <f t="shared" si="3"/>
        <v>-1751.155</v>
      </c>
      <c r="J29" s="69">
        <f t="shared" si="3"/>
        <v>-268.95</v>
      </c>
      <c r="K29" s="92">
        <f t="shared" si="3"/>
        <v>-394.48699999999997</v>
      </c>
      <c r="L29" s="92">
        <f t="shared" si="3"/>
        <v>-155.30000000000004</v>
      </c>
      <c r="M29" s="92">
        <f t="shared" ref="M29:AB29" si="4">SUM(M25:M28)</f>
        <v>-1007.6700000000002</v>
      </c>
      <c r="N29" s="92">
        <f t="shared" si="4"/>
        <v>-121.36744766189891</v>
      </c>
      <c r="O29" s="92">
        <f t="shared" si="4"/>
        <v>-133.47889906546658</v>
      </c>
      <c r="P29" s="92">
        <f t="shared" si="4"/>
        <v>-118.70649229109856</v>
      </c>
      <c r="Q29" s="92">
        <f t="shared" si="4"/>
        <v>-120.18237005403498</v>
      </c>
      <c r="R29" s="92">
        <f t="shared" si="4"/>
        <v>-119.46517555864644</v>
      </c>
      <c r="S29" s="92">
        <f t="shared" si="4"/>
        <v>-117.57741613012516</v>
      </c>
      <c r="T29" s="92">
        <f t="shared" si="4"/>
        <v>-115.70714364620478</v>
      </c>
      <c r="U29" s="92">
        <f t="shared" si="4"/>
        <v>-111.45053266333568</v>
      </c>
      <c r="V29" s="92">
        <f t="shared" si="4"/>
        <v>-109.506459684528</v>
      </c>
      <c r="W29" s="92">
        <f t="shared" si="4"/>
        <v>-104.21823371165745</v>
      </c>
      <c r="X29" s="92">
        <f t="shared" si="4"/>
        <v>-97.912413110805488</v>
      </c>
      <c r="Y29" s="92">
        <f t="shared" si="4"/>
        <v>-83.37042459486679</v>
      </c>
      <c r="Z29" s="92">
        <f t="shared" si="4"/>
        <v>-74.983727751192504</v>
      </c>
      <c r="AA29" s="92">
        <f t="shared" si="4"/>
        <v>-58.175489384878475</v>
      </c>
      <c r="AB29" s="92">
        <f t="shared" si="4"/>
        <v>-51.113331624162775</v>
      </c>
    </row>
    <row r="30" spans="3:28">
      <c r="C30" s="2"/>
      <c r="E30" s="69"/>
      <c r="F30" s="69"/>
      <c r="G30" s="69"/>
      <c r="H30" s="69"/>
      <c r="I30" s="69"/>
      <c r="J30" s="69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</row>
    <row r="31" spans="3:28">
      <c r="C31" s="70" t="s">
        <v>138</v>
      </c>
      <c r="D31" s="87">
        <v>0</v>
      </c>
      <c r="E31" s="87">
        <v>450.916</v>
      </c>
      <c r="F31" s="87">
        <v>553.42499999999995</v>
      </c>
      <c r="G31" s="87">
        <v>1194.385</v>
      </c>
      <c r="H31" s="87">
        <v>898.64200000000005</v>
      </c>
      <c r="I31" s="87">
        <v>994.64700000000005</v>
      </c>
      <c r="J31" s="87">
        <v>559.39300000000003</v>
      </c>
      <c r="K31" s="21">
        <v>0</v>
      </c>
      <c r="L31" s="21">
        <v>0</v>
      </c>
      <c r="M31" s="21">
        <f>981.381+500</f>
        <v>1481.3809999999999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</row>
    <row r="32" spans="3:28">
      <c r="C32" s="70" t="s">
        <v>139</v>
      </c>
      <c r="D32" s="87">
        <v>16.419</v>
      </c>
      <c r="E32" s="87">
        <v>25.003</v>
      </c>
      <c r="F32" s="87">
        <v>30.702999999999999</v>
      </c>
      <c r="G32" s="87">
        <v>58.487000000000002</v>
      </c>
      <c r="H32" s="87">
        <v>40.523000000000003</v>
      </c>
      <c r="I32" s="87">
        <v>24.173999999999999</v>
      </c>
      <c r="J32" s="87">
        <v>31.824000000000002</v>
      </c>
      <c r="K32" s="21">
        <f>93.337</f>
        <v>93.337000000000003</v>
      </c>
      <c r="L32" s="21">
        <v>57.831000000000003</v>
      </c>
      <c r="M32" s="21">
        <v>99.680999999999997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</row>
    <row r="33" spans="3:28">
      <c r="C33" s="70" t="s">
        <v>140</v>
      </c>
      <c r="D33" s="87">
        <v>0</v>
      </c>
      <c r="E33" s="87">
        <v>0</v>
      </c>
      <c r="F33" s="87">
        <v>-136.48400000000001</v>
      </c>
      <c r="G33" s="87">
        <v>-42.215000000000003</v>
      </c>
      <c r="H33" s="87">
        <v>-61.552999999999997</v>
      </c>
      <c r="I33" s="87">
        <v>-278.29599999999999</v>
      </c>
      <c r="J33" s="87">
        <v>-98.799000000000007</v>
      </c>
      <c r="K33" s="21">
        <f>-523.672</f>
        <v>-523.67200000000003</v>
      </c>
      <c r="L33" s="21">
        <v>-301.45</v>
      </c>
      <c r="M33" s="21">
        <v>-146.53700000000001</v>
      </c>
      <c r="N33" s="21">
        <v>0</v>
      </c>
      <c r="O33" s="21">
        <v>0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</row>
    <row r="34" spans="3:28">
      <c r="C34" s="70" t="s">
        <v>141</v>
      </c>
      <c r="D34" s="87">
        <f>-41.668</f>
        <v>-41.667999999999999</v>
      </c>
      <c r="E34" s="87">
        <v>-11.875</v>
      </c>
      <c r="F34" s="87">
        <v>-465.91</v>
      </c>
      <c r="G34" s="87">
        <v>-9.5239999999999991</v>
      </c>
      <c r="H34" s="87">
        <v>-905.76</v>
      </c>
      <c r="I34" s="87">
        <v>-28.303999999999998</v>
      </c>
      <c r="J34" s="87">
        <v>-36.094000000000001</v>
      </c>
      <c r="K34" s="21">
        <f>-25.717</f>
        <v>-25.716999999999999</v>
      </c>
      <c r="L34" s="21">
        <v>-33.387</v>
      </c>
      <c r="M34" s="21">
        <v>-33.387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</row>
    <row r="35" spans="3:28">
      <c r="C35" s="70" t="s">
        <v>110</v>
      </c>
      <c r="D35" s="87">
        <f>-7.35</f>
        <v>-7.35</v>
      </c>
      <c r="E35" s="87">
        <v>0</v>
      </c>
      <c r="F35" s="87">
        <v>0</v>
      </c>
      <c r="G35" s="87">
        <v>-300</v>
      </c>
      <c r="H35" s="87">
        <v>-160</v>
      </c>
      <c r="I35" s="87">
        <v>-150</v>
      </c>
      <c r="J35" s="87">
        <v>-850</v>
      </c>
      <c r="K35" s="21">
        <v>0</v>
      </c>
      <c r="L35" s="21">
        <v>0</v>
      </c>
      <c r="M35" s="21">
        <v>-500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</row>
    <row r="36" spans="3:28" ht="15.6">
      <c r="C36" s="70" t="s">
        <v>51</v>
      </c>
      <c r="D36" s="101">
        <f>-0.483</f>
        <v>-0.48299999999999998</v>
      </c>
      <c r="E36" s="101">
        <f>9.785+-25.299</f>
        <v>-15.513999999999999</v>
      </c>
      <c r="F36" s="101">
        <f>-0.173+-5.59</f>
        <v>-5.7629999999999999</v>
      </c>
      <c r="G36" s="101">
        <f>1.841-136.969-35.1+-18.03</f>
        <v>-188.25799999999998</v>
      </c>
      <c r="H36" s="101">
        <f>-0.073+-26.102</f>
        <v>-26.175000000000001</v>
      </c>
      <c r="I36" s="101">
        <f>0+-21.234</f>
        <v>-21.234000000000002</v>
      </c>
      <c r="J36" s="101">
        <f>3.154+-18.589</f>
        <v>-15.434999999999999</v>
      </c>
      <c r="K36" s="28">
        <f>-17.925-6.406+1.253</f>
        <v>-23.077999999999999</v>
      </c>
      <c r="L36" s="28">
        <v>-16.739000000000001</v>
      </c>
      <c r="M36" s="28">
        <f>-16.877-356.188</f>
        <v>-373.065</v>
      </c>
      <c r="N36" s="119">
        <v>0</v>
      </c>
      <c r="O36" s="119">
        <v>0</v>
      </c>
      <c r="P36" s="119">
        <v>0</v>
      </c>
      <c r="Q36" s="119">
        <v>0</v>
      </c>
      <c r="R36" s="119">
        <v>0</v>
      </c>
      <c r="S36" s="119">
        <v>0</v>
      </c>
      <c r="T36" s="119">
        <v>0</v>
      </c>
      <c r="U36" s="119">
        <v>0</v>
      </c>
      <c r="V36" s="119">
        <v>0</v>
      </c>
      <c r="W36" s="119">
        <v>0</v>
      </c>
      <c r="X36" s="119">
        <v>0</v>
      </c>
      <c r="Y36" s="119">
        <v>0</v>
      </c>
      <c r="Z36" s="119">
        <v>0</v>
      </c>
      <c r="AA36" s="119">
        <v>0</v>
      </c>
      <c r="AB36" s="119">
        <v>0</v>
      </c>
    </row>
    <row r="37" spans="3:28">
      <c r="C37" s="1" t="s">
        <v>142</v>
      </c>
      <c r="D37" s="69">
        <f t="shared" ref="D37:L37" si="5">SUM(D31:D36)</f>
        <v>-33.081999999999994</v>
      </c>
      <c r="E37" s="69">
        <f t="shared" si="5"/>
        <v>448.53</v>
      </c>
      <c r="F37" s="69">
        <f t="shared" si="5"/>
        <v>-24.029000000000131</v>
      </c>
      <c r="G37" s="69">
        <f t="shared" si="5"/>
        <v>712.87500000000023</v>
      </c>
      <c r="H37" s="69">
        <f t="shared" si="5"/>
        <v>-214.32299999999992</v>
      </c>
      <c r="I37" s="69">
        <f t="shared" si="5"/>
        <v>540.98700000000008</v>
      </c>
      <c r="J37" s="69">
        <f t="shared" si="5"/>
        <v>-409.11099999999999</v>
      </c>
      <c r="K37" s="92">
        <f t="shared" si="5"/>
        <v>-479.13</v>
      </c>
      <c r="L37" s="92">
        <f t="shared" si="5"/>
        <v>-293.74499999999995</v>
      </c>
      <c r="M37" s="92">
        <f t="shared" ref="M37:AB37" si="6">SUM(M31:M36)</f>
        <v>528.07299999999987</v>
      </c>
      <c r="N37" s="92">
        <f t="shared" si="6"/>
        <v>0</v>
      </c>
      <c r="O37" s="92">
        <f t="shared" si="6"/>
        <v>0</v>
      </c>
      <c r="P37" s="92">
        <f t="shared" si="6"/>
        <v>0</v>
      </c>
      <c r="Q37" s="92">
        <f t="shared" si="6"/>
        <v>0</v>
      </c>
      <c r="R37" s="92">
        <f t="shared" si="6"/>
        <v>0</v>
      </c>
      <c r="S37" s="92">
        <f t="shared" si="6"/>
        <v>0</v>
      </c>
      <c r="T37" s="92">
        <f t="shared" si="6"/>
        <v>0</v>
      </c>
      <c r="U37" s="92">
        <f t="shared" si="6"/>
        <v>0</v>
      </c>
      <c r="V37" s="92">
        <f t="shared" si="6"/>
        <v>0</v>
      </c>
      <c r="W37" s="92">
        <f t="shared" si="6"/>
        <v>0</v>
      </c>
      <c r="X37" s="92">
        <f t="shared" si="6"/>
        <v>0</v>
      </c>
      <c r="Y37" s="92">
        <f t="shared" si="6"/>
        <v>0</v>
      </c>
      <c r="Z37" s="92">
        <f t="shared" si="6"/>
        <v>0</v>
      </c>
      <c r="AA37" s="92">
        <f t="shared" si="6"/>
        <v>0</v>
      </c>
      <c r="AB37" s="92">
        <f t="shared" si="6"/>
        <v>0</v>
      </c>
    </row>
    <row r="38" spans="3:28">
      <c r="E38" s="69"/>
      <c r="F38" s="69"/>
      <c r="G38" s="69"/>
      <c r="H38" s="69"/>
      <c r="I38" s="69"/>
      <c r="J38" s="69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</row>
    <row r="39" spans="3:28">
      <c r="C39" s="16" t="s">
        <v>143</v>
      </c>
      <c r="D39" s="87">
        <v>0</v>
      </c>
      <c r="E39" s="87">
        <v>2.1320000000000001</v>
      </c>
      <c r="F39" s="87">
        <v>0.997</v>
      </c>
      <c r="G39" s="87">
        <v>-3.4529999999999998</v>
      </c>
      <c r="H39" s="87">
        <v>-10.622</v>
      </c>
      <c r="I39" s="87">
        <v>-5.0449999999999999</v>
      </c>
      <c r="J39" s="87">
        <v>5.0460000000000003</v>
      </c>
      <c r="K39" s="21">
        <f>-1.7</f>
        <v>-1.7</v>
      </c>
      <c r="L39" s="21">
        <v>0.36599999999999999</v>
      </c>
      <c r="M39" s="21">
        <v>0.374</v>
      </c>
      <c r="N39" s="92">
        <f>'Cintas PNL'!BF31</f>
        <v>0</v>
      </c>
      <c r="O39" s="92">
        <f>'Cintas PNL'!BG31</f>
        <v>0</v>
      </c>
      <c r="P39" s="92">
        <f>'Cintas PNL'!BH31</f>
        <v>0</v>
      </c>
      <c r="Q39" s="92">
        <f>'Cintas PNL'!BI31</f>
        <v>0</v>
      </c>
      <c r="R39" s="92">
        <f>'Cintas PNL'!BJ31</f>
        <v>0</v>
      </c>
      <c r="S39" s="92">
        <f>'Cintas PNL'!BK31</f>
        <v>0</v>
      </c>
      <c r="T39" s="92">
        <f>'Cintas PNL'!BL31</f>
        <v>0</v>
      </c>
      <c r="U39" s="92">
        <f>'Cintas PNL'!BM31</f>
        <v>0</v>
      </c>
      <c r="V39" s="92">
        <f>'Cintas PNL'!BN31</f>
        <v>0</v>
      </c>
      <c r="W39" s="92">
        <f>'Cintas PNL'!BO31</f>
        <v>0</v>
      </c>
      <c r="X39" s="92">
        <f>'Cintas PNL'!BP31</f>
        <v>0</v>
      </c>
      <c r="Y39" s="92">
        <f>'Cintas PNL'!BQ31</f>
        <v>0</v>
      </c>
      <c r="Z39" s="92">
        <f>'Cintas PNL'!BR31</f>
        <v>0</v>
      </c>
      <c r="AA39" s="92">
        <f>'Cintas PNL'!BS31</f>
        <v>0</v>
      </c>
      <c r="AB39" s="92">
        <f>'Cintas PNL'!BT31</f>
        <v>0</v>
      </c>
    </row>
    <row r="40" spans="3:28">
      <c r="C40" s="1" t="s">
        <v>144</v>
      </c>
      <c r="D40" s="69">
        <f t="shared" ref="D40:L40" si="7">D39+D37+D29+D23</f>
        <v>11237.071</v>
      </c>
      <c r="E40" s="69">
        <f t="shared" si="7"/>
        <v>305.12</v>
      </c>
      <c r="F40" s="69">
        <f t="shared" si="7"/>
        <v>249.30799999999979</v>
      </c>
      <c r="G40" s="69">
        <f t="shared" si="7"/>
        <v>47.538000000000181</v>
      </c>
      <c r="H40" s="69">
        <f t="shared" si="7"/>
        <v>304.74300000000005</v>
      </c>
      <c r="I40" s="69">
        <f t="shared" si="7"/>
        <v>-622.82199999999966</v>
      </c>
      <c r="J40" s="69">
        <f t="shared" si="7"/>
        <v>20.072000000000003</v>
      </c>
      <c r="K40" s="92">
        <f t="shared" si="7"/>
        <v>-76.413000000000011</v>
      </c>
      <c r="L40" s="92">
        <f t="shared" si="7"/>
        <v>327.72199999999987</v>
      </c>
      <c r="M40" s="92">
        <f t="shared" ref="M40:AB40" si="8">M39+M37+M29+M23</f>
        <v>420.4249999999995</v>
      </c>
      <c r="N40" s="92">
        <f t="shared" ca="1" si="8"/>
        <v>948.3347258638853</v>
      </c>
      <c r="O40" s="92">
        <f t="shared" ca="1" si="8"/>
        <v>1053.361819389213</v>
      </c>
      <c r="P40" s="92">
        <f t="shared" ca="1" si="8"/>
        <v>1157.3761320894457</v>
      </c>
      <c r="Q40" s="92">
        <f t="shared" ca="1" si="8"/>
        <v>1257.4908571605044</v>
      </c>
      <c r="R40" s="92">
        <f t="shared" ca="1" si="8"/>
        <v>1252.6640275019224</v>
      </c>
      <c r="S40" s="92">
        <f t="shared" ca="1" si="8"/>
        <v>1235.3625375628064</v>
      </c>
      <c r="T40" s="92">
        <f t="shared" ca="1" si="8"/>
        <v>1316.374181714232</v>
      </c>
      <c r="U40" s="92">
        <f t="shared" ca="1" si="8"/>
        <v>1273.4550495462552</v>
      </c>
      <c r="V40" s="92">
        <f t="shared" ca="1" si="8"/>
        <v>1250.454613250904</v>
      </c>
      <c r="W40" s="92">
        <f t="shared" ca="1" si="8"/>
        <v>1197.5128049361954</v>
      </c>
      <c r="X40" s="92">
        <f t="shared" ca="1" si="8"/>
        <v>1131.4169762570759</v>
      </c>
      <c r="Y40" s="92">
        <f t="shared" ca="1" si="8"/>
        <v>984.8746008718233</v>
      </c>
      <c r="Z40" s="92">
        <f t="shared" ca="1" si="8"/>
        <v>889.46764369790094</v>
      </c>
      <c r="AA40" s="92">
        <f t="shared" ca="1" si="8"/>
        <v>718.9909475097586</v>
      </c>
      <c r="AB40" s="92">
        <f t="shared" ca="1" si="8"/>
        <v>634.09431038357718</v>
      </c>
    </row>
    <row r="42" spans="3:28" ht="15.6">
      <c r="C42" s="1" t="s">
        <v>145</v>
      </c>
      <c r="D42" s="101">
        <v>44.793999999999997</v>
      </c>
      <c r="E42" s="101">
        <v>82.075999999999993</v>
      </c>
      <c r="F42" s="122">
        <f t="shared" ref="F42:H42" si="9">E43</f>
        <v>387.19600000000003</v>
      </c>
      <c r="G42" s="122">
        <f t="shared" si="9"/>
        <v>636.50399999999979</v>
      </c>
      <c r="H42" s="122">
        <f t="shared" si="9"/>
        <v>684.04199999999992</v>
      </c>
      <c r="I42" s="122">
        <f>H43</f>
        <v>988.78499999999997</v>
      </c>
      <c r="J42" s="122">
        <f>I43</f>
        <v>365.96300000000031</v>
      </c>
      <c r="K42" s="75">
        <f t="shared" ref="K42" si="10">J43</f>
        <v>386.03500000000031</v>
      </c>
      <c r="L42" s="75">
        <f>K43</f>
        <v>309.6220000000003</v>
      </c>
      <c r="M42" s="75">
        <f>L43</f>
        <v>637.34400000000016</v>
      </c>
      <c r="N42" s="75">
        <f t="shared" ref="N42:AB42" si="11">M43</f>
        <v>1057.7689999999998</v>
      </c>
      <c r="O42" s="75">
        <f t="shared" ca="1" si="11"/>
        <v>2006.1037258638851</v>
      </c>
      <c r="P42" s="75">
        <f t="shared" ca="1" si="11"/>
        <v>3059.4655452530978</v>
      </c>
      <c r="Q42" s="75">
        <f t="shared" ca="1" si="11"/>
        <v>4216.8416773425433</v>
      </c>
      <c r="R42" s="75">
        <f t="shared" ca="1" si="11"/>
        <v>5474.332534503048</v>
      </c>
      <c r="S42" s="75">
        <f t="shared" ca="1" si="11"/>
        <v>6726.9965620049707</v>
      </c>
      <c r="T42" s="75">
        <f t="shared" ca="1" si="11"/>
        <v>7962.3590995677769</v>
      </c>
      <c r="U42" s="75">
        <f t="shared" ca="1" si="11"/>
        <v>9278.7332812820096</v>
      </c>
      <c r="V42" s="75">
        <f t="shared" ca="1" si="11"/>
        <v>10552.188330828265</v>
      </c>
      <c r="W42" s="75">
        <f t="shared" ca="1" si="11"/>
        <v>11802.642944079169</v>
      </c>
      <c r="X42" s="75">
        <f t="shared" ca="1" si="11"/>
        <v>13000.155749015365</v>
      </c>
      <c r="Y42" s="75">
        <f t="shared" ca="1" si="11"/>
        <v>14131.572725272441</v>
      </c>
      <c r="Z42" s="75">
        <f t="shared" ca="1" si="11"/>
        <v>15116.447326144264</v>
      </c>
      <c r="AA42" s="75">
        <f t="shared" ca="1" si="11"/>
        <v>16005.914969842164</v>
      </c>
      <c r="AB42" s="75">
        <f t="shared" ca="1" si="11"/>
        <v>16724.905917351924</v>
      </c>
    </row>
    <row r="43" spans="3:28">
      <c r="C43" s="118" t="s">
        <v>146</v>
      </c>
      <c r="D43" s="132">
        <f t="shared" ref="D43:L43" si="12">SUM(D40:D42)</f>
        <v>11281.865</v>
      </c>
      <c r="E43" s="132">
        <f t="shared" si="12"/>
        <v>387.19600000000003</v>
      </c>
      <c r="F43" s="132">
        <f t="shared" si="12"/>
        <v>636.50399999999979</v>
      </c>
      <c r="G43" s="132">
        <f t="shared" si="12"/>
        <v>684.04199999999992</v>
      </c>
      <c r="H43" s="132">
        <f t="shared" si="12"/>
        <v>988.78499999999997</v>
      </c>
      <c r="I43" s="132">
        <f t="shared" si="12"/>
        <v>365.96300000000031</v>
      </c>
      <c r="J43" s="132">
        <f t="shared" si="12"/>
        <v>386.03500000000031</v>
      </c>
      <c r="K43" s="51">
        <f t="shared" si="12"/>
        <v>309.6220000000003</v>
      </c>
      <c r="L43" s="51">
        <f t="shared" si="12"/>
        <v>637.34400000000016</v>
      </c>
      <c r="M43" s="51">
        <f t="shared" ref="M43:AB43" si="13">SUM(M40:M42)</f>
        <v>1057.7689999999998</v>
      </c>
      <c r="N43" s="51">
        <f t="shared" ca="1" si="13"/>
        <v>2006.1037258638851</v>
      </c>
      <c r="O43" s="51">
        <f t="shared" ca="1" si="13"/>
        <v>3059.4655452530978</v>
      </c>
      <c r="P43" s="51">
        <f t="shared" ca="1" si="13"/>
        <v>4216.8416773425433</v>
      </c>
      <c r="Q43" s="51">
        <f t="shared" ca="1" si="13"/>
        <v>5474.332534503048</v>
      </c>
      <c r="R43" s="51">
        <f t="shared" ca="1" si="13"/>
        <v>6726.9965620049707</v>
      </c>
      <c r="S43" s="51">
        <f t="shared" ca="1" si="13"/>
        <v>7962.3590995677769</v>
      </c>
      <c r="T43" s="51">
        <f t="shared" ca="1" si="13"/>
        <v>9278.7332812820096</v>
      </c>
      <c r="U43" s="51">
        <f t="shared" ca="1" si="13"/>
        <v>10552.188330828265</v>
      </c>
      <c r="V43" s="51">
        <f t="shared" ca="1" si="13"/>
        <v>11802.642944079169</v>
      </c>
      <c r="W43" s="51">
        <f t="shared" ca="1" si="13"/>
        <v>13000.155749015365</v>
      </c>
      <c r="X43" s="51">
        <f t="shared" ca="1" si="13"/>
        <v>14131.572725272441</v>
      </c>
      <c r="Y43" s="51">
        <f t="shared" ca="1" si="13"/>
        <v>15116.447326144264</v>
      </c>
      <c r="Z43" s="51">
        <f t="shared" ca="1" si="13"/>
        <v>16005.914969842164</v>
      </c>
      <c r="AA43" s="51">
        <f t="shared" ca="1" si="13"/>
        <v>16724.905917351924</v>
      </c>
      <c r="AB43" s="51">
        <f t="shared" ca="1" si="13"/>
        <v>17359.000227735502</v>
      </c>
    </row>
    <row r="44" spans="3:28" ht="14.4">
      <c r="C44" s="133" t="s">
        <v>121</v>
      </c>
      <c r="D44" s="69"/>
      <c r="E44" s="69">
        <f>E43-'Cintas BS'!E9</f>
        <v>0</v>
      </c>
      <c r="F44" s="69">
        <f>F43-'Cintas BS'!F9</f>
        <v>0</v>
      </c>
      <c r="G44" s="69">
        <f>G43-'Cintas BS'!G9</f>
        <v>0</v>
      </c>
      <c r="H44" s="69">
        <f>H43-'Cintas BS'!H9</f>
        <v>0</v>
      </c>
      <c r="I44" s="69">
        <f>I43-'Cintas BS'!I9</f>
        <v>0</v>
      </c>
      <c r="J44" s="69">
        <f>J43-'Cintas BS'!J9</f>
        <v>0</v>
      </c>
      <c r="K44" s="69">
        <f>K43-'Cintas BS'!K9</f>
        <v>0</v>
      </c>
      <c r="L44" s="69">
        <f>L43-'Cintas BS'!L9</f>
        <v>0</v>
      </c>
      <c r="M44" s="69">
        <f>M43-'Cintas BS'!M9</f>
        <v>0</v>
      </c>
      <c r="N44" s="92">
        <f ca="1">N43-'Cintas BS'!N9</f>
        <v>0</v>
      </c>
      <c r="O44" s="92">
        <f ca="1">O43-'Cintas BS'!O9</f>
        <v>0</v>
      </c>
      <c r="P44" s="92">
        <f ca="1">P43-'Cintas BS'!P9</f>
        <v>0</v>
      </c>
      <c r="Q44" s="92">
        <f ca="1">Q43-'Cintas BS'!Q9</f>
        <v>0</v>
      </c>
      <c r="R44" s="92">
        <f ca="1">R43-'Cintas BS'!R9</f>
        <v>0</v>
      </c>
      <c r="S44" s="92">
        <f ca="1">S43-'Cintas BS'!S9</f>
        <v>0</v>
      </c>
      <c r="T44" s="92">
        <f ca="1">T43-'Cintas BS'!T9</f>
        <v>0</v>
      </c>
      <c r="U44" s="92">
        <f ca="1">U43-'Cintas BS'!U9</f>
        <v>0</v>
      </c>
      <c r="V44" s="92">
        <f ca="1">V43-'Cintas BS'!V9</f>
        <v>0</v>
      </c>
      <c r="W44" s="92">
        <f ca="1">W43-'Cintas BS'!W9</f>
        <v>0</v>
      </c>
      <c r="X44" s="92">
        <f ca="1">X43-'Cintas BS'!X9</f>
        <v>0</v>
      </c>
      <c r="Y44" s="92">
        <f ca="1">Y43-'Cintas BS'!Y9</f>
        <v>0</v>
      </c>
      <c r="Z44" s="92">
        <f ca="1">Z43-'Cintas BS'!Z9</f>
        <v>0</v>
      </c>
      <c r="AA44" s="92">
        <f ca="1">AA43-'Cintas BS'!AA9</f>
        <v>0</v>
      </c>
      <c r="AB44" s="92">
        <f ca="1">AB43-'Cintas BS'!AB9</f>
        <v>0</v>
      </c>
    </row>
    <row r="45" spans="3:28"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3:28"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3:28">
      <c r="C47" s="1" t="s">
        <v>200</v>
      </c>
      <c r="I47" s="272">
        <f>I11/'Cintas PNL'!AG$23</f>
        <v>7.9208426496986169E-3</v>
      </c>
      <c r="J47" s="272">
        <f>J11/'Cintas PNL'!AL$23</f>
        <v>8.0861534583766045E-3</v>
      </c>
      <c r="K47" s="272">
        <f>K11/'Cintas PNL'!AQ$23</f>
        <v>8.0558584648124029E-3</v>
      </c>
      <c r="L47" s="272">
        <f>L11/'Cintas PNL'!AV$23</f>
        <v>7.0969917581083222E-3</v>
      </c>
      <c r="M47" s="272">
        <f>M11/'Cintas PNL'!BA$23</f>
        <v>7.9003472294206165E-3</v>
      </c>
      <c r="N47" s="275">
        <f>AVERAGE(I47:M47)</f>
        <v>7.8120387120833136E-3</v>
      </c>
      <c r="O47" s="275">
        <f>N47</f>
        <v>7.8120387120833136E-3</v>
      </c>
      <c r="P47" s="275">
        <f t="shared" ref="P47:AB47" si="14">O47</f>
        <v>7.8120387120833136E-3</v>
      </c>
      <c r="Q47" s="275">
        <f t="shared" si="14"/>
        <v>7.8120387120833136E-3</v>
      </c>
      <c r="R47" s="275">
        <f t="shared" si="14"/>
        <v>7.8120387120833136E-3</v>
      </c>
      <c r="S47" s="275">
        <f t="shared" si="14"/>
        <v>7.8120387120833136E-3</v>
      </c>
      <c r="T47" s="275">
        <f t="shared" si="14"/>
        <v>7.8120387120833136E-3</v>
      </c>
      <c r="U47" s="275">
        <f t="shared" si="14"/>
        <v>7.8120387120833136E-3</v>
      </c>
      <c r="V47" s="275">
        <f t="shared" si="14"/>
        <v>7.8120387120833136E-3</v>
      </c>
      <c r="W47" s="275">
        <f t="shared" si="14"/>
        <v>7.8120387120833136E-3</v>
      </c>
      <c r="X47" s="275">
        <f t="shared" si="14"/>
        <v>7.8120387120833136E-3</v>
      </c>
      <c r="Y47" s="275">
        <f t="shared" si="14"/>
        <v>7.8120387120833136E-3</v>
      </c>
      <c r="Z47" s="275">
        <f t="shared" si="14"/>
        <v>7.8120387120833136E-3</v>
      </c>
      <c r="AA47" s="275">
        <f t="shared" si="14"/>
        <v>7.8120387120833136E-3</v>
      </c>
      <c r="AB47" s="275">
        <f t="shared" si="14"/>
        <v>7.8120387120833136E-3</v>
      </c>
    </row>
    <row r="48" spans="3:28">
      <c r="C48" s="1" t="s">
        <v>201</v>
      </c>
      <c r="I48" s="272">
        <f>I12/'Cintas PNL'!AG$23</f>
        <v>6.8545598609652189E-2</v>
      </c>
      <c r="J48" s="272">
        <f>J12/'Cintas PNL'!AL$23</f>
        <v>9.394307629674066E-2</v>
      </c>
      <c r="K48" s="272">
        <f>K12/'Cintas PNL'!AQ$23</f>
        <v>0.10656071482588915</v>
      </c>
      <c r="L48" s="272">
        <f>L12/'Cintas PNL'!AV$23</f>
        <v>0.16413192762752224</v>
      </c>
      <c r="M48" s="272">
        <f>M12/'Cintas PNL'!BA$23</f>
        <v>0.10982553064922636</v>
      </c>
      <c r="N48" s="275">
        <f>AVERAGE(I48:M48)</f>
        <v>0.10860136960180614</v>
      </c>
      <c r="O48" s="275">
        <f t="shared" ref="O48:AB49" si="15">N48</f>
        <v>0.10860136960180614</v>
      </c>
      <c r="P48" s="275">
        <f t="shared" si="15"/>
        <v>0.10860136960180614</v>
      </c>
      <c r="Q48" s="275">
        <f t="shared" si="15"/>
        <v>0.10860136960180614</v>
      </c>
      <c r="R48" s="275">
        <f t="shared" si="15"/>
        <v>0.10860136960180614</v>
      </c>
      <c r="S48" s="275">
        <f t="shared" si="15"/>
        <v>0.10860136960180614</v>
      </c>
      <c r="T48" s="275">
        <f t="shared" si="15"/>
        <v>0.10860136960180614</v>
      </c>
      <c r="U48" s="275">
        <f t="shared" si="15"/>
        <v>0.10860136960180614</v>
      </c>
      <c r="V48" s="275">
        <f t="shared" si="15"/>
        <v>0.10860136960180614</v>
      </c>
      <c r="W48" s="275">
        <f t="shared" si="15"/>
        <v>0.10860136960180614</v>
      </c>
      <c r="X48" s="275">
        <f t="shared" si="15"/>
        <v>0.10860136960180614</v>
      </c>
      <c r="Y48" s="275">
        <f t="shared" si="15"/>
        <v>0.10860136960180614</v>
      </c>
      <c r="Z48" s="275">
        <f t="shared" si="15"/>
        <v>0.10860136960180614</v>
      </c>
      <c r="AA48" s="275">
        <f t="shared" si="15"/>
        <v>0.10860136960180614</v>
      </c>
      <c r="AB48" s="275">
        <f t="shared" si="15"/>
        <v>0.10860136960180614</v>
      </c>
    </row>
    <row r="49" spans="3:28">
      <c r="C49" s="1" t="s">
        <v>203</v>
      </c>
      <c r="I49" s="272">
        <f>I25*-1/'Cintas PNL'!AG$23</f>
        <v>1.5961311125941131E-2</v>
      </c>
      <c r="J49" s="272">
        <f>J25*-1/'Cintas PNL'!AL$23</f>
        <v>5.2511501563298299E-2</v>
      </c>
      <c r="K49" s="272">
        <f>K25*-1/'Cintas PNL'!AQ$23</f>
        <v>5.8754406580493523E-2</v>
      </c>
      <c r="L49" s="272">
        <f>L25*-1/'Cintas PNL'!AV$23</f>
        <v>3.7238159074939374E-2</v>
      </c>
      <c r="M49" s="272">
        <f>M25*-1/'Cintas PNL'!BA$23</f>
        <v>4.7809095320758839E-2</v>
      </c>
      <c r="N49" s="275">
        <f>AVERAGE(I49:M49)</f>
        <v>4.2454894733086238E-2</v>
      </c>
      <c r="O49" s="275">
        <f t="shared" si="15"/>
        <v>4.2454894733086238E-2</v>
      </c>
      <c r="P49" s="275">
        <f t="shared" si="15"/>
        <v>4.2454894733086238E-2</v>
      </c>
      <c r="Q49" s="275">
        <f t="shared" si="15"/>
        <v>4.2454894733086238E-2</v>
      </c>
      <c r="R49" s="275">
        <f t="shared" si="15"/>
        <v>4.2454894733086238E-2</v>
      </c>
      <c r="S49" s="275">
        <f t="shared" si="15"/>
        <v>4.2454894733086238E-2</v>
      </c>
      <c r="T49" s="275">
        <f t="shared" si="15"/>
        <v>4.2454894733086238E-2</v>
      </c>
      <c r="U49" s="275">
        <f t="shared" si="15"/>
        <v>4.2454894733086238E-2</v>
      </c>
      <c r="V49" s="275">
        <f t="shared" si="15"/>
        <v>4.2454894733086238E-2</v>
      </c>
      <c r="W49" s="275">
        <f t="shared" si="15"/>
        <v>4.2454894733086238E-2</v>
      </c>
      <c r="X49" s="275">
        <f t="shared" si="15"/>
        <v>4.2454894733086238E-2</v>
      </c>
      <c r="Y49" s="275">
        <f t="shared" si="15"/>
        <v>4.2454894733086238E-2</v>
      </c>
      <c r="Z49" s="275">
        <f t="shared" si="15"/>
        <v>4.2454894733086238E-2</v>
      </c>
      <c r="AA49" s="275">
        <f t="shared" si="15"/>
        <v>4.2454894733086238E-2</v>
      </c>
      <c r="AB49" s="275">
        <f t="shared" si="15"/>
        <v>4.2454894733086238E-2</v>
      </c>
    </row>
    <row r="50" spans="3:28">
      <c r="C50" s="1" t="s">
        <v>202</v>
      </c>
      <c r="I50" s="272">
        <f>I26*-1/'Cintas PNL'!AG$23</f>
        <v>6.5101987737680722E-3</v>
      </c>
      <c r="J50" s="272">
        <f>J26*-1/'Cintas PNL'!AL$23</f>
        <v>1.7884799650088067E-2</v>
      </c>
      <c r="K50" s="272">
        <f>K26*-1/'Cintas PNL'!AQ$23</f>
        <v>1.0772522610662945E-2</v>
      </c>
      <c r="L50" s="272">
        <f>L26*-1/'Cintas PNL'!AV$23</f>
        <v>1.856588216736263E-2</v>
      </c>
      <c r="M50" s="272">
        <f>M26*-1/'Cintas PNL'!BA$23</f>
        <v>6.3480324441828814E-3</v>
      </c>
      <c r="N50" s="275">
        <v>6.0000000000000001E-3</v>
      </c>
      <c r="O50" s="275">
        <v>6.0000000000000001E-3</v>
      </c>
      <c r="P50" s="275">
        <v>6.0000000000000001E-3</v>
      </c>
      <c r="Q50" s="275">
        <v>6.0000000000000001E-3</v>
      </c>
      <c r="R50" s="275">
        <v>6.0000000000000001E-3</v>
      </c>
      <c r="S50" s="275">
        <v>6.0000000000000001E-3</v>
      </c>
      <c r="T50" s="275">
        <v>6.0000000000000001E-3</v>
      </c>
      <c r="U50" s="275">
        <v>6.0000000000000001E-3</v>
      </c>
      <c r="V50" s="275">
        <v>6.0000000000000001E-3</v>
      </c>
      <c r="W50" s="275">
        <v>6.0000000000000001E-3</v>
      </c>
      <c r="X50" s="275">
        <v>6.0000000000000001E-3</v>
      </c>
      <c r="Y50" s="275">
        <v>6.0000000000000001E-3</v>
      </c>
      <c r="Z50" s="275">
        <v>6.0000000000000001E-3</v>
      </c>
      <c r="AA50" s="275">
        <v>6.0000000000000001E-3</v>
      </c>
      <c r="AB50" s="275">
        <v>6.0000000000000001E-3</v>
      </c>
    </row>
  </sheetData>
  <phoneticPr fontId="43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DE3FC-B9DF-4CB4-9595-746F27FEA4E0}">
  <dimension ref="A1:AK55"/>
  <sheetViews>
    <sheetView workbookViewId="0">
      <selection activeCell="P19" sqref="P19"/>
    </sheetView>
  </sheetViews>
  <sheetFormatPr defaultRowHeight="14.4" outlineLevelCol="1"/>
  <cols>
    <col min="1" max="1" width="24.77734375" customWidth="1"/>
    <col min="2" max="11" width="8.88671875" hidden="1" customWidth="1" outlineLevel="1"/>
    <col min="12" max="18" width="8.88671875" outlineLevel="1"/>
    <col min="23" max="23" width="12" bestFit="1" customWidth="1"/>
  </cols>
  <sheetData>
    <row r="1" spans="1:37">
      <c r="A1" t="s">
        <v>414</v>
      </c>
      <c r="C1" t="s">
        <v>415</v>
      </c>
    </row>
    <row r="2" spans="1:37">
      <c r="B2">
        <v>2007</v>
      </c>
      <c r="C2">
        <f>B2+1</f>
        <v>2008</v>
      </c>
      <c r="D2">
        <f t="shared" ref="D2:AD2" si="0">C2+1</f>
        <v>2009</v>
      </c>
      <c r="E2">
        <f t="shared" si="0"/>
        <v>2010</v>
      </c>
      <c r="F2">
        <f t="shared" si="0"/>
        <v>2011</v>
      </c>
      <c r="G2">
        <f t="shared" si="0"/>
        <v>2012</v>
      </c>
      <c r="H2">
        <f t="shared" si="0"/>
        <v>2013</v>
      </c>
      <c r="I2">
        <f t="shared" si="0"/>
        <v>2014</v>
      </c>
      <c r="J2">
        <f t="shared" si="0"/>
        <v>2015</v>
      </c>
      <c r="K2">
        <f t="shared" si="0"/>
        <v>2016</v>
      </c>
      <c r="L2">
        <f>M2-1</f>
        <v>2006</v>
      </c>
      <c r="M2">
        <f>N2-1</f>
        <v>2007</v>
      </c>
      <c r="N2">
        <f>O2-1</f>
        <v>2008</v>
      </c>
      <c r="O2">
        <f>P2-1</f>
        <v>2009</v>
      </c>
      <c r="P2">
        <f>Q2-1</f>
        <v>2010</v>
      </c>
      <c r="Q2">
        <f t="shared" ref="Q2:V2" si="1">R2-1</f>
        <v>2011</v>
      </c>
      <c r="R2">
        <f t="shared" si="1"/>
        <v>2012</v>
      </c>
      <c r="S2">
        <f t="shared" si="1"/>
        <v>2013</v>
      </c>
      <c r="T2">
        <f t="shared" si="1"/>
        <v>2014</v>
      </c>
      <c r="U2">
        <f t="shared" si="1"/>
        <v>2015</v>
      </c>
      <c r="V2">
        <f t="shared" si="1"/>
        <v>2016</v>
      </c>
      <c r="W2">
        <f>K2+1</f>
        <v>2017</v>
      </c>
      <c r="X2">
        <f t="shared" si="0"/>
        <v>2018</v>
      </c>
      <c r="Y2">
        <f t="shared" si="0"/>
        <v>2019</v>
      </c>
      <c r="Z2">
        <f t="shared" si="0"/>
        <v>2020</v>
      </c>
      <c r="AA2">
        <f t="shared" si="0"/>
        <v>2021</v>
      </c>
      <c r="AB2">
        <f t="shared" si="0"/>
        <v>2022</v>
      </c>
      <c r="AC2">
        <f t="shared" si="0"/>
        <v>2023</v>
      </c>
      <c r="AD2">
        <f t="shared" si="0"/>
        <v>2024</v>
      </c>
      <c r="AE2">
        <f t="shared" ref="AE2" si="2">AD2+1</f>
        <v>2025</v>
      </c>
      <c r="AF2">
        <f t="shared" ref="AF2" si="3">AE2+1</f>
        <v>2026</v>
      </c>
      <c r="AG2">
        <f t="shared" ref="AG2" si="4">AF2+1</f>
        <v>2027</v>
      </c>
      <c r="AH2">
        <f t="shared" ref="AH2" si="5">AG2+1</f>
        <v>2028</v>
      </c>
      <c r="AI2">
        <f t="shared" ref="AI2" si="6">AH2+1</f>
        <v>2029</v>
      </c>
      <c r="AJ2">
        <f t="shared" ref="AJ2" si="7">AI2+1</f>
        <v>2030</v>
      </c>
      <c r="AK2">
        <f t="shared" ref="AK2" si="8">AJ2+1</f>
        <v>2031</v>
      </c>
    </row>
    <row r="3" spans="1:37">
      <c r="A3" t="s">
        <v>416</v>
      </c>
    </row>
    <row r="4" spans="1:37" s="538" customFormat="1">
      <c r="A4" s="536" t="s">
        <v>405</v>
      </c>
      <c r="L4" s="538">
        <v>2569</v>
      </c>
      <c r="M4" s="538">
        <v>2735</v>
      </c>
      <c r="N4" s="538">
        <v>2835</v>
      </c>
      <c r="O4" s="538">
        <f ca="1">O5*O19</f>
        <v>0</v>
      </c>
      <c r="P4" s="538">
        <f t="shared" ref="P4:V4" ca="1" si="9">P5*P19</f>
        <v>0</v>
      </c>
      <c r="Q4" s="538">
        <v>2692</v>
      </c>
      <c r="R4" s="538">
        <v>2912</v>
      </c>
      <c r="S4" s="538">
        <v>3044</v>
      </c>
      <c r="T4" s="538">
        <f t="shared" si="9"/>
        <v>3304.8720000000003</v>
      </c>
      <c r="U4" s="538">
        <f t="shared" si="9"/>
        <v>3541.3070000000002</v>
      </c>
      <c r="V4" s="538">
        <f t="shared" si="9"/>
        <v>3776.85</v>
      </c>
      <c r="W4" s="538">
        <f>4202490/1000</f>
        <v>4202.49</v>
      </c>
      <c r="X4" s="538">
        <f>5247124/1000</f>
        <v>5247.1239999999998</v>
      </c>
      <c r="Y4" s="538">
        <f>5552430/1000</f>
        <v>5552.43</v>
      </c>
      <c r="Z4" s="538">
        <f>5643484/1000</f>
        <v>5643.4840000000004</v>
      </c>
      <c r="AA4" s="538">
        <f>5689632/1000</f>
        <v>5689.6319999999996</v>
      </c>
      <c r="AB4" s="538">
        <f>6226980/1000</f>
        <v>6226.98</v>
      </c>
      <c r="AC4" s="538">
        <v>6897</v>
      </c>
    </row>
    <row r="5" spans="1:37" s="537" customFormat="1">
      <c r="A5" s="537" t="s">
        <v>406</v>
      </c>
      <c r="B5" s="537">
        <f t="shared" ref="B5:K5" si="10">IFERROR(B4/B19, 0)</f>
        <v>0</v>
      </c>
      <c r="C5" s="537">
        <f t="shared" si="10"/>
        <v>0</v>
      </c>
      <c r="D5" s="537">
        <f t="shared" si="10"/>
        <v>0</v>
      </c>
      <c r="E5" s="537">
        <f t="shared" si="10"/>
        <v>0</v>
      </c>
      <c r="F5" s="537">
        <f t="shared" si="10"/>
        <v>0</v>
      </c>
      <c r="G5" s="537">
        <f t="shared" si="10"/>
        <v>0</v>
      </c>
      <c r="H5" s="537">
        <f t="shared" si="10"/>
        <v>0</v>
      </c>
      <c r="I5" s="537">
        <f t="shared" si="10"/>
        <v>0</v>
      </c>
      <c r="J5" s="537">
        <f t="shared" si="10"/>
        <v>0</v>
      </c>
      <c r="K5" s="537">
        <f t="shared" si="10"/>
        <v>0</v>
      </c>
      <c r="T5" s="537">
        <v>0.78800000000000003</v>
      </c>
      <c r="U5" s="537">
        <v>0.79100000000000004</v>
      </c>
      <c r="V5" s="537">
        <v>0.77</v>
      </c>
      <c r="W5" s="537">
        <f t="shared" ref="W5:AD5" ca="1" si="11">IFERROR(W4/W19, 0)</f>
        <v>0.7612973443385519</v>
      </c>
      <c r="X5" s="537">
        <f t="shared" si="11"/>
        <v>0.78416288443173821</v>
      </c>
      <c r="Y5" s="537">
        <f t="shared" si="11"/>
        <v>0.78133843377980061</v>
      </c>
      <c r="Z5" s="537">
        <f t="shared" si="11"/>
        <v>0.79652736513618005</v>
      </c>
      <c r="AA5" s="537">
        <f t="shared" si="11"/>
        <v>0.79951660544605796</v>
      </c>
      <c r="AB5" s="537">
        <f t="shared" si="11"/>
        <v>0.79279553181193008</v>
      </c>
      <c r="AC5" s="537">
        <f t="shared" si="11"/>
        <v>0.87882262996941896</v>
      </c>
      <c r="AD5" s="537">
        <f t="shared" si="11"/>
        <v>0</v>
      </c>
    </row>
    <row r="6" spans="1:37" s="537" customFormat="1">
      <c r="A6" s="537" t="s">
        <v>407</v>
      </c>
      <c r="B6" s="537">
        <f t="shared" ref="B6:AD6" si="12">IFERROR((B4-A4)/A4,0)</f>
        <v>0</v>
      </c>
      <c r="C6" s="537">
        <f t="shared" si="12"/>
        <v>0</v>
      </c>
      <c r="D6" s="537">
        <f t="shared" si="12"/>
        <v>0</v>
      </c>
      <c r="E6" s="537">
        <f t="shared" si="12"/>
        <v>0</v>
      </c>
      <c r="F6" s="537">
        <f t="shared" si="12"/>
        <v>0</v>
      </c>
      <c r="G6" s="537">
        <f t="shared" si="12"/>
        <v>0</v>
      </c>
      <c r="H6" s="537">
        <f t="shared" si="12"/>
        <v>0</v>
      </c>
      <c r="I6" s="537">
        <f t="shared" si="12"/>
        <v>0</v>
      </c>
      <c r="J6" s="537">
        <f t="shared" si="12"/>
        <v>0</v>
      </c>
      <c r="K6" s="537">
        <f t="shared" si="12"/>
        <v>0</v>
      </c>
      <c r="L6" s="537">
        <f t="shared" si="12"/>
        <v>0</v>
      </c>
      <c r="M6" s="537">
        <f t="shared" si="12"/>
        <v>6.4616582327753996E-2</v>
      </c>
      <c r="N6" s="537">
        <f t="shared" si="12"/>
        <v>3.6563071297989032E-2</v>
      </c>
      <c r="O6" s="537">
        <f t="shared" ca="1" si="12"/>
        <v>-1</v>
      </c>
      <c r="P6" s="537">
        <f t="shared" ca="1" si="12"/>
        <v>0</v>
      </c>
      <c r="Q6" s="537">
        <f t="shared" ca="1" si="12"/>
        <v>0</v>
      </c>
      <c r="R6" s="537">
        <f t="shared" si="12"/>
        <v>8.1723625557206539E-2</v>
      </c>
      <c r="S6" s="537">
        <f t="shared" si="12"/>
        <v>4.5329670329670328E-2</v>
      </c>
      <c r="T6" s="537">
        <f t="shared" si="12"/>
        <v>8.5700394218134135E-2</v>
      </c>
      <c r="U6" s="537">
        <f t="shared" si="12"/>
        <v>7.1541348651324443E-2</v>
      </c>
      <c r="V6" s="537">
        <f t="shared" si="12"/>
        <v>6.651301341566819E-2</v>
      </c>
      <c r="W6" s="537">
        <f t="shared" si="12"/>
        <v>0.1126970888438778</v>
      </c>
      <c r="X6" s="537">
        <f t="shared" si="12"/>
        <v>0.24857501148128849</v>
      </c>
      <c r="Y6" s="537">
        <f t="shared" si="12"/>
        <v>5.818539832487292E-2</v>
      </c>
      <c r="Z6" s="537">
        <f t="shared" si="12"/>
        <v>1.6398946047046083E-2</v>
      </c>
      <c r="AA6" s="537">
        <f t="shared" si="12"/>
        <v>8.1772181864960061E-3</v>
      </c>
      <c r="AB6" s="537">
        <f t="shared" si="12"/>
        <v>9.4443366460256126E-2</v>
      </c>
      <c r="AC6" s="537">
        <f t="shared" si="12"/>
        <v>0.1075995105171368</v>
      </c>
      <c r="AD6" s="537">
        <f t="shared" si="12"/>
        <v>-1</v>
      </c>
    </row>
    <row r="7" spans="1:37" s="538" customFormat="1">
      <c r="A7" s="536" t="s">
        <v>408</v>
      </c>
      <c r="L7" s="538">
        <v>285</v>
      </c>
      <c r="M7" s="538">
        <v>362</v>
      </c>
      <c r="N7" s="538">
        <v>404</v>
      </c>
      <c r="O7" s="538">
        <f ca="1">O8*O19</f>
        <v>0</v>
      </c>
      <c r="P7" s="538">
        <f t="shared" ref="P7:W7" ca="1" si="13">P8*P19</f>
        <v>0</v>
      </c>
      <c r="Q7" s="538">
        <v>378</v>
      </c>
      <c r="R7" s="538">
        <v>416</v>
      </c>
      <c r="S7" s="538">
        <v>461</v>
      </c>
      <c r="T7" s="538">
        <f t="shared" si="13"/>
        <v>293.58000000000004</v>
      </c>
      <c r="U7" s="538">
        <f t="shared" si="13"/>
        <v>326.82099999999997</v>
      </c>
      <c r="V7" s="538">
        <f t="shared" si="13"/>
        <v>461.07</v>
      </c>
      <c r="W7" s="538">
        <f t="shared" ca="1" si="13"/>
        <v>461.07</v>
      </c>
      <c r="X7" s="538">
        <f>564706/1000</f>
        <v>564.70600000000002</v>
      </c>
      <c r="Y7" s="538">
        <f>619470/1000</f>
        <v>619.47</v>
      </c>
      <c r="Z7" s="538">
        <f>708569/1000</f>
        <v>708.56899999999996</v>
      </c>
      <c r="AA7" s="538">
        <f>784291/1000</f>
        <v>784.29100000000005</v>
      </c>
      <c r="AB7" s="538">
        <f>832458/1000</f>
        <v>832.45799999999997</v>
      </c>
      <c r="AC7" s="538">
        <v>951</v>
      </c>
    </row>
    <row r="8" spans="1:37" s="537" customFormat="1">
      <c r="A8" s="537" t="s">
        <v>211</v>
      </c>
      <c r="B8" s="537">
        <f t="shared" ref="B8:K8" si="14">IFERROR(B7/B19, 0)</f>
        <v>0</v>
      </c>
      <c r="C8" s="537">
        <f t="shared" si="14"/>
        <v>0</v>
      </c>
      <c r="D8" s="537">
        <f t="shared" si="14"/>
        <v>0</v>
      </c>
      <c r="E8" s="537">
        <f t="shared" si="14"/>
        <v>0</v>
      </c>
      <c r="F8" s="537">
        <f t="shared" si="14"/>
        <v>0</v>
      </c>
      <c r="G8" s="537">
        <f t="shared" si="14"/>
        <v>0</v>
      </c>
      <c r="H8" s="537">
        <f t="shared" si="14"/>
        <v>0</v>
      </c>
      <c r="I8" s="537">
        <f t="shared" si="14"/>
        <v>0</v>
      </c>
      <c r="J8" s="537">
        <f t="shared" si="14"/>
        <v>0</v>
      </c>
      <c r="K8" s="537">
        <f t="shared" si="14"/>
        <v>0</v>
      </c>
      <c r="T8" s="537">
        <v>7.0000000000000007E-2</v>
      </c>
      <c r="U8" s="537">
        <v>7.2999999999999995E-2</v>
      </c>
      <c r="V8" s="537">
        <v>9.4E-2</v>
      </c>
      <c r="W8" s="537">
        <f t="shared" ref="W8:AD8" ca="1" si="15">IFERROR(W7/W19, 0)</f>
        <v>9.2068376892084289E-2</v>
      </c>
      <c r="X8" s="537">
        <f t="shared" si="15"/>
        <v>8.4393181067554182E-2</v>
      </c>
      <c r="Y8" s="537">
        <f t="shared" si="15"/>
        <v>8.7171872418665905E-2</v>
      </c>
      <c r="Z8" s="537">
        <f t="shared" si="15"/>
        <v>0.10000818618200705</v>
      </c>
      <c r="AA8" s="537">
        <f t="shared" si="15"/>
        <v>0.11020988317028137</v>
      </c>
      <c r="AB8" s="537">
        <f t="shared" si="15"/>
        <v>0.10598540268655042</v>
      </c>
      <c r="AC8" s="537">
        <f t="shared" si="15"/>
        <v>0.12117737003058104</v>
      </c>
      <c r="AD8" s="537">
        <f t="shared" si="15"/>
        <v>0</v>
      </c>
    </row>
    <row r="9" spans="1:37" s="537" customFormat="1">
      <c r="A9" s="537" t="s">
        <v>407</v>
      </c>
      <c r="B9" s="537">
        <f t="shared" ref="B9:AD9" si="16">IFERROR((B7-A7)/A7,0)</f>
        <v>0</v>
      </c>
      <c r="C9" s="537">
        <f t="shared" si="16"/>
        <v>0</v>
      </c>
      <c r="D9" s="537">
        <f t="shared" si="16"/>
        <v>0</v>
      </c>
      <c r="E9" s="537">
        <f t="shared" si="16"/>
        <v>0</v>
      </c>
      <c r="F9" s="537">
        <f t="shared" si="16"/>
        <v>0</v>
      </c>
      <c r="G9" s="537">
        <f t="shared" si="16"/>
        <v>0</v>
      </c>
      <c r="H9" s="537">
        <f t="shared" si="16"/>
        <v>0</v>
      </c>
      <c r="I9" s="537">
        <f t="shared" si="16"/>
        <v>0</v>
      </c>
      <c r="J9" s="537">
        <f t="shared" si="16"/>
        <v>0</v>
      </c>
      <c r="K9" s="537">
        <f t="shared" si="16"/>
        <v>0</v>
      </c>
      <c r="L9" s="537">
        <f t="shared" si="16"/>
        <v>0</v>
      </c>
      <c r="M9" s="537">
        <f t="shared" si="16"/>
        <v>0.27017543859649124</v>
      </c>
      <c r="N9" s="537">
        <f t="shared" si="16"/>
        <v>0.11602209944751381</v>
      </c>
      <c r="O9" s="537">
        <f t="shared" ca="1" si="16"/>
        <v>-1</v>
      </c>
      <c r="P9" s="537">
        <f t="shared" ca="1" si="16"/>
        <v>0</v>
      </c>
      <c r="Q9" s="537">
        <f t="shared" ca="1" si="16"/>
        <v>0</v>
      </c>
      <c r="R9" s="537">
        <f t="shared" si="16"/>
        <v>0.10052910052910052</v>
      </c>
      <c r="S9" s="537">
        <f t="shared" si="16"/>
        <v>0.10817307692307693</v>
      </c>
      <c r="T9" s="537">
        <f t="shared" si="16"/>
        <v>-0.36316702819956609</v>
      </c>
      <c r="U9" s="537">
        <f t="shared" si="16"/>
        <v>0.11322637781865223</v>
      </c>
      <c r="V9" s="537">
        <f t="shared" si="16"/>
        <v>0.41077225759666619</v>
      </c>
      <c r="W9" s="537">
        <f t="shared" ca="1" si="16"/>
        <v>0</v>
      </c>
      <c r="X9" s="537">
        <f t="shared" ca="1" si="16"/>
        <v>0.11111635804837547</v>
      </c>
      <c r="Y9" s="537">
        <f t="shared" si="16"/>
        <v>9.6977896462938251E-2</v>
      </c>
      <c r="Z9" s="537">
        <f t="shared" si="16"/>
        <v>0.14383101683697341</v>
      </c>
      <c r="AA9" s="537">
        <f t="shared" si="16"/>
        <v>0.10686609208136413</v>
      </c>
      <c r="AB9" s="537">
        <f t="shared" si="16"/>
        <v>6.1414704491062518E-2</v>
      </c>
      <c r="AC9" s="537">
        <f t="shared" si="16"/>
        <v>0.14239997693577339</v>
      </c>
      <c r="AD9" s="537">
        <f t="shared" si="16"/>
        <v>-1</v>
      </c>
    </row>
    <row r="10" spans="1:37" s="538" customFormat="1" ht="22.2" customHeight="1">
      <c r="A10" s="538" t="s">
        <v>409</v>
      </c>
      <c r="B10" s="538">
        <f t="shared" ref="B10:S10" si="17">B13+B16</f>
        <v>0</v>
      </c>
      <c r="C10" s="538">
        <f t="shared" si="17"/>
        <v>0</v>
      </c>
      <c r="D10" s="538">
        <f t="shared" si="17"/>
        <v>0</v>
      </c>
      <c r="E10" s="538">
        <f t="shared" si="17"/>
        <v>0</v>
      </c>
      <c r="F10" s="538">
        <f t="shared" si="17"/>
        <v>0</v>
      </c>
      <c r="G10" s="538">
        <f t="shared" si="17"/>
        <v>0</v>
      </c>
      <c r="H10" s="538">
        <f t="shared" si="17"/>
        <v>0</v>
      </c>
      <c r="I10" s="538">
        <f t="shared" si="17"/>
        <v>0</v>
      </c>
      <c r="J10" s="538">
        <f t="shared" si="17"/>
        <v>0</v>
      </c>
      <c r="K10" s="538">
        <f t="shared" si="17"/>
        <v>0</v>
      </c>
      <c r="L10" s="538">
        <f t="shared" si="17"/>
        <v>485</v>
      </c>
      <c r="M10" s="538">
        <f t="shared" si="17"/>
        <v>501</v>
      </c>
      <c r="N10" s="538">
        <f t="shared" si="17"/>
        <v>517</v>
      </c>
      <c r="O10" s="538">
        <f t="shared" si="17"/>
        <v>0</v>
      </c>
      <c r="P10" s="538">
        <f t="shared" si="17"/>
        <v>0</v>
      </c>
      <c r="Q10" s="538">
        <f t="shared" si="17"/>
        <v>419</v>
      </c>
      <c r="R10" s="538">
        <f t="shared" si="17"/>
        <v>434</v>
      </c>
      <c r="S10" s="538">
        <f t="shared" si="17"/>
        <v>461</v>
      </c>
      <c r="T10" s="538">
        <f>T11*T19</f>
        <v>595.548</v>
      </c>
      <c r="U10" s="538">
        <f>U11*U19</f>
        <v>608.87200000000007</v>
      </c>
      <c r="V10" s="538">
        <f>V11*V19</f>
        <v>667.08</v>
      </c>
      <c r="W10" s="538">
        <v>613</v>
      </c>
      <c r="X10" s="538">
        <v>665</v>
      </c>
      <c r="Y10" s="538">
        <v>720</v>
      </c>
      <c r="Z10" s="538">
        <f>Z13+Z16</f>
        <v>733.05700000000002</v>
      </c>
      <c r="AA10" s="538">
        <f>AA13+AA16</f>
        <v>642.41699999999992</v>
      </c>
      <c r="AB10" s="538">
        <f>AB13+AB16</f>
        <v>795.02100000000007</v>
      </c>
      <c r="AC10" s="538">
        <v>967</v>
      </c>
      <c r="AD10" s="538">
        <f>AD13+AD16</f>
        <v>0</v>
      </c>
    </row>
    <row r="11" spans="1:37" s="537" customFormat="1">
      <c r="A11" s="537" t="s">
        <v>211</v>
      </c>
      <c r="B11" s="537">
        <f t="shared" ref="B11:K11" si="18">IFERROR(B10/B19,0)</f>
        <v>0</v>
      </c>
      <c r="C11" s="537">
        <f t="shared" si="18"/>
        <v>0</v>
      </c>
      <c r="D11" s="537">
        <f t="shared" si="18"/>
        <v>0</v>
      </c>
      <c r="E11" s="537">
        <f t="shared" si="18"/>
        <v>0</v>
      </c>
      <c r="F11" s="537">
        <f t="shared" si="18"/>
        <v>0</v>
      </c>
      <c r="G11" s="537">
        <f t="shared" si="18"/>
        <v>0</v>
      </c>
      <c r="H11" s="537">
        <f t="shared" si="18"/>
        <v>0</v>
      </c>
      <c r="I11" s="537">
        <f t="shared" si="18"/>
        <v>0</v>
      </c>
      <c r="J11" s="537">
        <f t="shared" si="18"/>
        <v>0</v>
      </c>
      <c r="K11" s="537">
        <f t="shared" si="18"/>
        <v>0</v>
      </c>
      <c r="T11" s="537">
        <v>0.14199999999999999</v>
      </c>
      <c r="U11" s="537">
        <v>0.13600000000000001</v>
      </c>
      <c r="V11" s="537">
        <v>0.13600000000000001</v>
      </c>
      <c r="W11" s="537">
        <f t="shared" ref="W11:AD11" ca="1" si="19">IFERROR(W10/W19,0)</f>
        <v>0.11104732481922203</v>
      </c>
      <c r="X11" s="537">
        <f t="shared" si="19"/>
        <v>9.9381740958876877E-2</v>
      </c>
      <c r="Y11" s="537">
        <f t="shared" si="19"/>
        <v>0.10131846278502502</v>
      </c>
      <c r="Z11" s="537">
        <f t="shared" si="19"/>
        <v>0.103464448681813</v>
      </c>
      <c r="AA11" s="537">
        <f t="shared" si="19"/>
        <v>9.0273511383660701E-2</v>
      </c>
      <c r="AB11" s="537">
        <f t="shared" si="19"/>
        <v>0.1012190655015196</v>
      </c>
      <c r="AC11" s="537">
        <f t="shared" si="19"/>
        <v>0.12321610601427115</v>
      </c>
      <c r="AD11" s="537">
        <f t="shared" si="19"/>
        <v>0</v>
      </c>
    </row>
    <row r="12" spans="1:37" s="537" customFormat="1">
      <c r="A12" s="537" t="s">
        <v>407</v>
      </c>
      <c r="B12" s="537">
        <f>IFERROR((B10-A10)/A10,0)</f>
        <v>0</v>
      </c>
      <c r="C12" s="537">
        <f t="shared" ref="C12:K12" si="20">IFERROR((C11-B11)/B11,0)</f>
        <v>0</v>
      </c>
      <c r="D12" s="537">
        <f t="shared" si="20"/>
        <v>0</v>
      </c>
      <c r="E12" s="537">
        <f t="shared" si="20"/>
        <v>0</v>
      </c>
      <c r="F12" s="537">
        <f t="shared" si="20"/>
        <v>0</v>
      </c>
      <c r="G12" s="537">
        <f t="shared" si="20"/>
        <v>0</v>
      </c>
      <c r="H12" s="537">
        <f t="shared" si="20"/>
        <v>0</v>
      </c>
      <c r="I12" s="537">
        <f t="shared" si="20"/>
        <v>0</v>
      </c>
      <c r="J12" s="537">
        <f t="shared" si="20"/>
        <v>0</v>
      </c>
      <c r="K12" s="537">
        <f t="shared" si="20"/>
        <v>0</v>
      </c>
      <c r="L12" s="537">
        <f>IFERROR((L10-K10)/K10,0)</f>
        <v>0</v>
      </c>
      <c r="M12" s="537">
        <f t="shared" ref="M12:W12" si="21">IFERROR((M10-L10)/L10,0)</f>
        <v>3.2989690721649485E-2</v>
      </c>
      <c r="N12" s="537">
        <f t="shared" si="21"/>
        <v>3.1936127744510975E-2</v>
      </c>
      <c r="O12" s="537">
        <f t="shared" si="21"/>
        <v>-1</v>
      </c>
      <c r="P12" s="537">
        <f t="shared" si="21"/>
        <v>0</v>
      </c>
      <c r="Q12" s="537">
        <f t="shared" si="21"/>
        <v>0</v>
      </c>
      <c r="R12" s="537">
        <f t="shared" si="21"/>
        <v>3.5799522673031027E-2</v>
      </c>
      <c r="S12" s="537">
        <f t="shared" si="21"/>
        <v>6.2211981566820278E-2</v>
      </c>
      <c r="T12" s="537">
        <f t="shared" si="21"/>
        <v>0.29186117136659434</v>
      </c>
      <c r="U12" s="537">
        <f t="shared" si="21"/>
        <v>2.2372671892106209E-2</v>
      </c>
      <c r="V12" s="537">
        <f t="shared" si="21"/>
        <v>9.5599731963368267E-2</v>
      </c>
      <c r="W12" s="537">
        <f t="shared" si="21"/>
        <v>-8.1069736763206862E-2</v>
      </c>
      <c r="X12" s="537">
        <f t="shared" ref="X12:AD12" ca="1" si="22">IFERROR((X11-W11)/W11,0)</f>
        <v>-0.10505056181529791</v>
      </c>
      <c r="Y12" s="537">
        <f t="shared" si="22"/>
        <v>1.9487702745613338E-2</v>
      </c>
      <c r="Z12" s="537">
        <f t="shared" si="22"/>
        <v>2.1180600630916396E-2</v>
      </c>
      <c r="AA12" s="537">
        <f t="shared" si="22"/>
        <v>-0.12749246206026515</v>
      </c>
      <c r="AB12" s="537">
        <f t="shared" si="22"/>
        <v>0.12124879103617121</v>
      </c>
      <c r="AC12" s="537">
        <f t="shared" si="22"/>
        <v>0.21732111834623985</v>
      </c>
      <c r="AD12" s="537">
        <f t="shared" si="22"/>
        <v>-1</v>
      </c>
    </row>
    <row r="13" spans="1:37" s="538" customFormat="1">
      <c r="A13" s="536" t="s">
        <v>410</v>
      </c>
      <c r="W13" s="540">
        <f>508233/1000</f>
        <v>508.233</v>
      </c>
      <c r="X13" s="540">
        <f>564706/1000</f>
        <v>564.70600000000002</v>
      </c>
      <c r="Y13" s="540">
        <f>619470/1000</f>
        <v>619.47</v>
      </c>
      <c r="Z13" s="538">
        <f>422688/1000</f>
        <v>422.68799999999999</v>
      </c>
      <c r="AA13" s="538">
        <f>446441/1000</f>
        <v>446.44099999999997</v>
      </c>
      <c r="AB13" s="538">
        <f>527517/1000</f>
        <v>527.51700000000005</v>
      </c>
    </row>
    <row r="14" spans="1:37" s="537" customFormat="1">
      <c r="A14" s="537" t="s">
        <v>211</v>
      </c>
      <c r="B14" s="537">
        <f t="shared" ref="B14:K14" si="23">IFERROR(B13/B19,0)</f>
        <v>0</v>
      </c>
      <c r="C14" s="537">
        <f t="shared" si="23"/>
        <v>0</v>
      </c>
      <c r="D14" s="537">
        <f t="shared" si="23"/>
        <v>0</v>
      </c>
      <c r="E14" s="537">
        <f t="shared" si="23"/>
        <v>0</v>
      </c>
      <c r="F14" s="537">
        <f t="shared" si="23"/>
        <v>0</v>
      </c>
      <c r="G14" s="537">
        <f t="shared" si="23"/>
        <v>0</v>
      </c>
      <c r="H14" s="537">
        <f t="shared" si="23"/>
        <v>0</v>
      </c>
      <c r="I14" s="537">
        <f t="shared" si="23"/>
        <v>0</v>
      </c>
      <c r="J14" s="537">
        <f t="shared" si="23"/>
        <v>0</v>
      </c>
      <c r="K14" s="537">
        <f t="shared" si="23"/>
        <v>0</v>
      </c>
      <c r="W14" s="541">
        <f t="shared" ref="W14:AD14" ca="1" si="24">IFERROR(W13/W19,0)</f>
        <v>9.2068376892084289E-2</v>
      </c>
      <c r="X14" s="541">
        <f t="shared" si="24"/>
        <v>8.4393181067554182E-2</v>
      </c>
      <c r="Y14" s="541">
        <f t="shared" si="24"/>
        <v>8.7171872418665905E-2</v>
      </c>
      <c r="Z14" s="537">
        <f t="shared" si="24"/>
        <v>5.9658636210305836E-2</v>
      </c>
      <c r="AA14" s="537">
        <f t="shared" si="24"/>
        <v>6.2734636062919985E-2</v>
      </c>
      <c r="AB14" s="537">
        <f t="shared" si="24"/>
        <v>6.7161468409218272E-2</v>
      </c>
      <c r="AC14" s="537">
        <f t="shared" si="24"/>
        <v>0</v>
      </c>
      <c r="AD14" s="537">
        <f t="shared" si="24"/>
        <v>0</v>
      </c>
    </row>
    <row r="15" spans="1:37" s="537" customFormat="1">
      <c r="A15" s="537" t="s">
        <v>407</v>
      </c>
      <c r="B15" s="537">
        <f t="shared" ref="B15:K15" si="25">IFERROR((B13-A13)/A13,0)</f>
        <v>0</v>
      </c>
      <c r="C15" s="537">
        <f t="shared" si="25"/>
        <v>0</v>
      </c>
      <c r="D15" s="537">
        <f t="shared" si="25"/>
        <v>0</v>
      </c>
      <c r="E15" s="537">
        <f t="shared" si="25"/>
        <v>0</v>
      </c>
      <c r="F15" s="537">
        <f t="shared" si="25"/>
        <v>0</v>
      </c>
      <c r="G15" s="537">
        <f t="shared" si="25"/>
        <v>0</v>
      </c>
      <c r="H15" s="537">
        <f t="shared" si="25"/>
        <v>0</v>
      </c>
      <c r="I15" s="537">
        <f t="shared" si="25"/>
        <v>0</v>
      </c>
      <c r="J15" s="537">
        <f t="shared" si="25"/>
        <v>0</v>
      </c>
      <c r="K15" s="537">
        <f t="shared" si="25"/>
        <v>0</v>
      </c>
      <c r="W15" s="541">
        <f>IFERROR((W13-K13)/K13,0)</f>
        <v>0</v>
      </c>
      <c r="X15" s="541">
        <f t="shared" ref="X15:AD15" si="26">IFERROR((X13-W13)/W13,0)</f>
        <v>0.11111635804837547</v>
      </c>
      <c r="Y15" s="541">
        <f t="shared" si="26"/>
        <v>9.6977896462938251E-2</v>
      </c>
      <c r="Z15" s="537">
        <f t="shared" si="26"/>
        <v>-0.31766187224562936</v>
      </c>
      <c r="AA15" s="537">
        <f t="shared" si="26"/>
        <v>5.6195113180407263E-2</v>
      </c>
      <c r="AB15" s="537">
        <f t="shared" si="26"/>
        <v>0.18160518411167451</v>
      </c>
      <c r="AC15" s="537">
        <f t="shared" si="26"/>
        <v>-1</v>
      </c>
      <c r="AD15" s="537">
        <f t="shared" si="26"/>
        <v>0</v>
      </c>
    </row>
    <row r="16" spans="1:37" s="538" customFormat="1">
      <c r="A16" s="536" t="s">
        <v>411</v>
      </c>
      <c r="L16" s="538">
        <v>485</v>
      </c>
      <c r="M16" s="538">
        <v>501</v>
      </c>
      <c r="N16" s="538">
        <v>517</v>
      </c>
      <c r="Q16" s="538">
        <v>419</v>
      </c>
      <c r="R16" s="538">
        <v>434</v>
      </c>
      <c r="S16" s="538">
        <v>461</v>
      </c>
      <c r="W16" s="540">
        <f>301213/1000</f>
        <v>301.21300000000002</v>
      </c>
      <c r="X16" s="540">
        <f>314834/1000</f>
        <v>314.834</v>
      </c>
      <c r="Y16" s="540">
        <f>314936/1000</f>
        <v>314.93599999999998</v>
      </c>
      <c r="Z16" s="538">
        <f>310369/1000</f>
        <v>310.36900000000003</v>
      </c>
      <c r="AA16" s="538">
        <f>195976/1000</f>
        <v>195.976</v>
      </c>
      <c r="AB16" s="538">
        <f>267504/1000</f>
        <v>267.50400000000002</v>
      </c>
    </row>
    <row r="17" spans="1:30" s="537" customFormat="1">
      <c r="A17" s="537" t="s">
        <v>211</v>
      </c>
      <c r="B17" s="537">
        <f t="shared" ref="B17:K17" si="27">IFERROR(B16/B19,0)</f>
        <v>0</v>
      </c>
      <c r="C17" s="537">
        <f t="shared" si="27"/>
        <v>0</v>
      </c>
      <c r="D17" s="537">
        <f t="shared" si="27"/>
        <v>0</v>
      </c>
      <c r="E17" s="537">
        <f t="shared" si="27"/>
        <v>0</v>
      </c>
      <c r="F17" s="537">
        <f t="shared" si="27"/>
        <v>0</v>
      </c>
      <c r="G17" s="537">
        <f t="shared" si="27"/>
        <v>0</v>
      </c>
      <c r="H17" s="537">
        <f t="shared" si="27"/>
        <v>0</v>
      </c>
      <c r="I17" s="537">
        <f t="shared" si="27"/>
        <v>0</v>
      </c>
      <c r="J17" s="537">
        <f t="shared" si="27"/>
        <v>0</v>
      </c>
      <c r="K17" s="537">
        <f t="shared" si="27"/>
        <v>0</v>
      </c>
      <c r="W17" s="541">
        <f t="shared" ref="W17:AD17" ca="1" si="28">IFERROR(W16/W19,0)</f>
        <v>5.4565901877279485E-2</v>
      </c>
      <c r="X17" s="541">
        <f t="shared" si="28"/>
        <v>4.7050753433153451E-2</v>
      </c>
      <c r="Y17" s="541">
        <f t="shared" si="28"/>
        <v>4.431782138286755E-2</v>
      </c>
      <c r="Z17" s="537">
        <f t="shared" si="28"/>
        <v>4.3805812471507152E-2</v>
      </c>
      <c r="AA17" s="537">
        <f t="shared" si="28"/>
        <v>2.753887532074072E-2</v>
      </c>
      <c r="AB17" s="537">
        <f t="shared" si="28"/>
        <v>3.4057597092301335E-2</v>
      </c>
      <c r="AC17" s="537">
        <f t="shared" si="28"/>
        <v>0</v>
      </c>
      <c r="AD17" s="537">
        <f t="shared" si="28"/>
        <v>0</v>
      </c>
    </row>
    <row r="18" spans="1:30" s="537" customFormat="1">
      <c r="A18" s="537" t="s">
        <v>407</v>
      </c>
      <c r="B18" s="537">
        <f t="shared" ref="B18:K18" si="29">IFERROR((B16-A16)/A16,0)</f>
        <v>0</v>
      </c>
      <c r="C18" s="537">
        <f t="shared" si="29"/>
        <v>0</v>
      </c>
      <c r="D18" s="537">
        <f t="shared" si="29"/>
        <v>0</v>
      </c>
      <c r="E18" s="537">
        <f t="shared" si="29"/>
        <v>0</v>
      </c>
      <c r="F18" s="537">
        <f t="shared" si="29"/>
        <v>0</v>
      </c>
      <c r="G18" s="537">
        <f t="shared" si="29"/>
        <v>0</v>
      </c>
      <c r="H18" s="537">
        <f t="shared" si="29"/>
        <v>0</v>
      </c>
      <c r="I18" s="537">
        <f t="shared" si="29"/>
        <v>0</v>
      </c>
      <c r="J18" s="537">
        <f t="shared" si="29"/>
        <v>0</v>
      </c>
      <c r="K18" s="537">
        <f t="shared" si="29"/>
        <v>0</v>
      </c>
      <c r="W18" s="541">
        <f>IFERROR((W16-K16)/K16,0)</f>
        <v>0</v>
      </c>
      <c r="X18" s="541">
        <f t="shared" ref="X18:AD18" si="30">IFERROR((X16-W16)/W16,0)</f>
        <v>4.5220491811442332E-2</v>
      </c>
      <c r="Y18" s="541">
        <f t="shared" si="30"/>
        <v>3.2398025626195217E-4</v>
      </c>
      <c r="Z18" s="537">
        <f t="shared" si="30"/>
        <v>-1.4501359006274134E-2</v>
      </c>
      <c r="AA18" s="537">
        <f t="shared" si="30"/>
        <v>-0.36857095908418697</v>
      </c>
      <c r="AB18" s="537">
        <f t="shared" si="30"/>
        <v>0.36498346736335074</v>
      </c>
      <c r="AC18" s="537">
        <f t="shared" si="30"/>
        <v>-1</v>
      </c>
      <c r="AD18" s="537">
        <f t="shared" si="30"/>
        <v>0</v>
      </c>
    </row>
    <row r="19" spans="1:30" s="538" customFormat="1">
      <c r="A19" s="538" t="s">
        <v>417</v>
      </c>
      <c r="B19" s="538">
        <f t="shared" ref="B19:K19" si="31">B4+B7+B13+B16</f>
        <v>0</v>
      </c>
      <c r="C19" s="538">
        <f t="shared" si="31"/>
        <v>0</v>
      </c>
      <c r="D19" s="538">
        <f t="shared" si="31"/>
        <v>0</v>
      </c>
      <c r="E19" s="538">
        <f t="shared" si="31"/>
        <v>0</v>
      </c>
      <c r="F19" s="538">
        <f t="shared" si="31"/>
        <v>0</v>
      </c>
      <c r="G19" s="538">
        <f t="shared" si="31"/>
        <v>0</v>
      </c>
      <c r="H19" s="538">
        <f t="shared" si="31"/>
        <v>0</v>
      </c>
      <c r="I19" s="538">
        <f t="shared" si="31"/>
        <v>0</v>
      </c>
      <c r="J19" s="538">
        <f t="shared" si="31"/>
        <v>0</v>
      </c>
      <c r="K19" s="538">
        <f t="shared" si="31"/>
        <v>0</v>
      </c>
      <c r="L19" s="538">
        <f>L4+L7+L10</f>
        <v>3339</v>
      </c>
      <c r="M19" s="538">
        <f t="shared" ref="M19:R19" si="32">M4+M7+M10</f>
        <v>3598</v>
      </c>
      <c r="N19" s="538">
        <f t="shared" si="32"/>
        <v>3756</v>
      </c>
      <c r="O19" s="538">
        <f t="shared" ca="1" si="32"/>
        <v>3339</v>
      </c>
      <c r="P19" s="538">
        <f t="shared" ca="1" si="32"/>
        <v>3339</v>
      </c>
      <c r="Q19" s="538">
        <f t="shared" si="32"/>
        <v>3489</v>
      </c>
      <c r="R19" s="538">
        <f t="shared" si="32"/>
        <v>3762</v>
      </c>
      <c r="S19" s="538">
        <v>3967</v>
      </c>
      <c r="T19" s="538">
        <v>4194</v>
      </c>
      <c r="U19" s="538">
        <v>4477</v>
      </c>
      <c r="V19" s="538">
        <v>4905</v>
      </c>
      <c r="W19" s="540">
        <f t="shared" ref="W19:AD19" ca="1" si="33">W4+W7+W13+W16</f>
        <v>5520.1689999999999</v>
      </c>
      <c r="X19" s="540">
        <f t="shared" si="33"/>
        <v>6691.37</v>
      </c>
      <c r="Y19" s="540">
        <f t="shared" si="33"/>
        <v>7106.3060000000005</v>
      </c>
      <c r="Z19" s="538">
        <f t="shared" si="33"/>
        <v>7085.11</v>
      </c>
      <c r="AA19" s="538">
        <f t="shared" si="33"/>
        <v>7116.3399999999992</v>
      </c>
      <c r="AB19" s="538">
        <f t="shared" si="33"/>
        <v>7854.4589999999989</v>
      </c>
      <c r="AC19" s="538">
        <f t="shared" si="33"/>
        <v>7848</v>
      </c>
      <c r="AD19" s="538">
        <f t="shared" si="33"/>
        <v>0</v>
      </c>
    </row>
    <row r="20" spans="1:30" s="537" customFormat="1"/>
    <row r="21" spans="1:30" s="537" customFormat="1">
      <c r="A21" s="537" t="s">
        <v>418</v>
      </c>
    </row>
    <row r="22" spans="1:30" s="537" customFormat="1">
      <c r="A22" s="537" t="s">
        <v>405</v>
      </c>
      <c r="B22" s="537">
        <f t="shared" ref="B22:AD22" si="34">B23*B4</f>
        <v>0</v>
      </c>
      <c r="C22" s="537">
        <f t="shared" si="34"/>
        <v>0</v>
      </c>
      <c r="D22" s="537">
        <f t="shared" si="34"/>
        <v>0</v>
      </c>
      <c r="E22" s="537">
        <f t="shared" si="34"/>
        <v>0</v>
      </c>
      <c r="F22" s="537">
        <f t="shared" si="34"/>
        <v>0</v>
      </c>
      <c r="G22" s="537">
        <f t="shared" si="34"/>
        <v>0</v>
      </c>
      <c r="H22" s="537">
        <f t="shared" si="34"/>
        <v>0</v>
      </c>
      <c r="I22" s="537">
        <f t="shared" si="34"/>
        <v>0</v>
      </c>
      <c r="J22" s="537">
        <f t="shared" si="34"/>
        <v>0</v>
      </c>
      <c r="K22" s="537">
        <f t="shared" si="34"/>
        <v>0</v>
      </c>
      <c r="L22" s="537">
        <f t="shared" si="34"/>
        <v>0</v>
      </c>
      <c r="M22" s="537">
        <f t="shared" si="34"/>
        <v>0</v>
      </c>
      <c r="N22" s="537">
        <f t="shared" si="34"/>
        <v>0</v>
      </c>
      <c r="O22" s="537">
        <f t="shared" ca="1" si="34"/>
        <v>0</v>
      </c>
      <c r="P22" s="537">
        <f t="shared" ca="1" si="34"/>
        <v>0</v>
      </c>
      <c r="Q22" s="537">
        <f t="shared" si="34"/>
        <v>1529.0559999999998</v>
      </c>
      <c r="R22" s="537">
        <f t="shared" si="34"/>
        <v>1648.1919999999998</v>
      </c>
      <c r="S22" s="537">
        <f t="shared" si="34"/>
        <v>1756.3879999999999</v>
      </c>
      <c r="T22" s="537">
        <f t="shared" si="34"/>
        <v>1923.435504</v>
      </c>
      <c r="U22" s="537">
        <f t="shared" si="34"/>
        <v>2007.921069</v>
      </c>
      <c r="V22" s="537">
        <f t="shared" si="34"/>
        <v>2107.4823000000001</v>
      </c>
      <c r="W22" s="537">
        <f t="shared" si="34"/>
        <v>2307.1670100000001</v>
      </c>
      <c r="X22" s="537">
        <f t="shared" si="34"/>
        <v>2885.9182000000001</v>
      </c>
      <c r="Y22" s="537">
        <f t="shared" si="34"/>
        <v>3026.0743500000003</v>
      </c>
      <c r="Z22" s="537">
        <f t="shared" si="34"/>
        <v>3053.1248440000004</v>
      </c>
      <c r="AA22" s="537">
        <f t="shared" si="34"/>
        <v>2981.3671679999998</v>
      </c>
      <c r="AB22" s="537">
        <f t="shared" si="34"/>
        <v>3318.9803400000001</v>
      </c>
      <c r="AC22" s="537">
        <f t="shared" si="34"/>
        <v>3282.9719999999998</v>
      </c>
      <c r="AD22" s="537">
        <f t="shared" si="34"/>
        <v>0</v>
      </c>
    </row>
    <row r="23" spans="1:30" s="537" customFormat="1">
      <c r="A23" s="537" t="s">
        <v>419</v>
      </c>
      <c r="B23" s="537">
        <v>0.47599999999999998</v>
      </c>
      <c r="C23" s="537">
        <v>0.47599999999999998</v>
      </c>
      <c r="D23" s="537">
        <v>0.47599999999999998</v>
      </c>
      <c r="E23" s="537">
        <v>0.47599999999999998</v>
      </c>
      <c r="F23" s="537">
        <v>0.47599999999999998</v>
      </c>
      <c r="G23" s="537">
        <v>0.47599999999999998</v>
      </c>
      <c r="H23" s="537">
        <v>0.47599999999999998</v>
      </c>
      <c r="I23" s="537">
        <v>0.47599999999999998</v>
      </c>
      <c r="J23" s="537">
        <v>0.47599999999999998</v>
      </c>
      <c r="K23" s="537">
        <v>0.47599999999999998</v>
      </c>
      <c r="Q23" s="537">
        <v>0.56799999999999995</v>
      </c>
      <c r="R23" s="537">
        <v>0.56599999999999995</v>
      </c>
      <c r="S23" s="537">
        <v>0.57699999999999996</v>
      </c>
      <c r="T23" s="537">
        <v>0.58199999999999996</v>
      </c>
      <c r="U23" s="537">
        <v>0.56699999999999995</v>
      </c>
      <c r="V23" s="537">
        <v>0.55800000000000005</v>
      </c>
      <c r="W23" s="537">
        <v>0.54900000000000004</v>
      </c>
      <c r="X23" s="537">
        <v>0.55000000000000004</v>
      </c>
      <c r="Y23" s="537">
        <v>0.54500000000000004</v>
      </c>
      <c r="Z23" s="537">
        <v>0.54100000000000004</v>
      </c>
      <c r="AA23" s="537">
        <v>0.52400000000000002</v>
      </c>
      <c r="AB23" s="537">
        <v>0.53300000000000003</v>
      </c>
      <c r="AC23" s="537">
        <v>0.47599999999999998</v>
      </c>
      <c r="AD23" s="537">
        <v>0.47599999999999998</v>
      </c>
    </row>
    <row r="24" spans="1:30" s="537" customFormat="1">
      <c r="A24" s="537" t="s">
        <v>407</v>
      </c>
      <c r="B24" s="537">
        <f t="shared" ref="B24:AD24" si="35">IFERROR((B22-A22)/A22,0)</f>
        <v>0</v>
      </c>
      <c r="C24" s="537">
        <f t="shared" si="35"/>
        <v>0</v>
      </c>
      <c r="D24" s="537">
        <f t="shared" si="35"/>
        <v>0</v>
      </c>
      <c r="E24" s="537">
        <f t="shared" si="35"/>
        <v>0</v>
      </c>
      <c r="F24" s="537">
        <f t="shared" si="35"/>
        <v>0</v>
      </c>
      <c r="G24" s="537">
        <f t="shared" si="35"/>
        <v>0</v>
      </c>
      <c r="H24" s="537">
        <f t="shared" si="35"/>
        <v>0</v>
      </c>
      <c r="I24" s="537">
        <f t="shared" si="35"/>
        <v>0</v>
      </c>
      <c r="J24" s="537">
        <f t="shared" si="35"/>
        <v>0</v>
      </c>
      <c r="K24" s="537">
        <f t="shared" si="35"/>
        <v>0</v>
      </c>
      <c r="L24" s="537">
        <f t="shared" si="35"/>
        <v>0</v>
      </c>
      <c r="M24" s="537">
        <f t="shared" si="35"/>
        <v>0</v>
      </c>
      <c r="N24" s="537">
        <f t="shared" si="35"/>
        <v>0</v>
      </c>
      <c r="O24" s="537">
        <f t="shared" ca="1" si="35"/>
        <v>0</v>
      </c>
      <c r="P24" s="537">
        <f t="shared" ca="1" si="35"/>
        <v>0</v>
      </c>
      <c r="Q24" s="537">
        <f t="shared" ca="1" si="35"/>
        <v>0</v>
      </c>
      <c r="R24" s="537">
        <f t="shared" si="35"/>
        <v>7.79147395517234E-2</v>
      </c>
      <c r="S24" s="537">
        <f t="shared" si="35"/>
        <v>6.5645264629363667E-2</v>
      </c>
      <c r="T24" s="537">
        <f t="shared" si="35"/>
        <v>9.5108543214825036E-2</v>
      </c>
      <c r="U24" s="537">
        <f t="shared" si="35"/>
        <v>4.3924303582991341E-2</v>
      </c>
      <c r="V24" s="537">
        <f t="shared" si="35"/>
        <v>4.958423542494346E-2</v>
      </c>
      <c r="W24" s="537">
        <f t="shared" si="35"/>
        <v>9.4750361604460445E-2</v>
      </c>
      <c r="X24" s="537">
        <f t="shared" si="35"/>
        <v>0.25084928290475161</v>
      </c>
      <c r="Y24" s="537">
        <f t="shared" si="35"/>
        <v>4.8565531067374067E-2</v>
      </c>
      <c r="Z24" s="537">
        <f t="shared" si="35"/>
        <v>8.9391372687191474E-3</v>
      </c>
      <c r="AA24" s="537">
        <f t="shared" si="35"/>
        <v>-2.3503027116961426E-2</v>
      </c>
      <c r="AB24" s="537">
        <f t="shared" si="35"/>
        <v>0.11324105786892476</v>
      </c>
      <c r="AC24" s="537">
        <f t="shared" si="35"/>
        <v>-1.0849217624470869E-2</v>
      </c>
      <c r="AD24" s="537">
        <f t="shared" si="35"/>
        <v>-1</v>
      </c>
    </row>
    <row r="25" spans="1:30" s="537" customFormat="1">
      <c r="A25" s="537" t="s">
        <v>420</v>
      </c>
      <c r="B25" s="537">
        <f t="shared" ref="B25:AD25" si="36">B26*B7</f>
        <v>0</v>
      </c>
      <c r="C25" s="537">
        <f t="shared" si="36"/>
        <v>0</v>
      </c>
      <c r="D25" s="537">
        <f t="shared" si="36"/>
        <v>0</v>
      </c>
      <c r="E25" s="537">
        <f t="shared" si="36"/>
        <v>0</v>
      </c>
      <c r="F25" s="537">
        <f t="shared" si="36"/>
        <v>0</v>
      </c>
      <c r="G25" s="537">
        <f t="shared" si="36"/>
        <v>0</v>
      </c>
      <c r="H25" s="537">
        <f t="shared" si="36"/>
        <v>0</v>
      </c>
      <c r="I25" s="537">
        <f t="shared" si="36"/>
        <v>0</v>
      </c>
      <c r="J25" s="537">
        <f t="shared" si="36"/>
        <v>0</v>
      </c>
      <c r="K25" s="537">
        <f t="shared" si="36"/>
        <v>0</v>
      </c>
      <c r="L25" s="537">
        <f t="shared" si="36"/>
        <v>0</v>
      </c>
      <c r="M25" s="537">
        <f t="shared" si="36"/>
        <v>0</v>
      </c>
      <c r="N25" s="537">
        <f t="shared" si="36"/>
        <v>0</v>
      </c>
      <c r="O25" s="537">
        <f t="shared" ca="1" si="36"/>
        <v>0</v>
      </c>
      <c r="P25" s="537">
        <f t="shared" ca="1" si="36"/>
        <v>0</v>
      </c>
      <c r="Q25" s="537">
        <f t="shared" si="36"/>
        <v>221.886</v>
      </c>
      <c r="R25" s="537">
        <f t="shared" si="36"/>
        <v>237.53599999999997</v>
      </c>
      <c r="S25" s="537">
        <f t="shared" si="36"/>
        <v>261.387</v>
      </c>
      <c r="T25" s="537">
        <f t="shared" si="36"/>
        <v>157.94604000000004</v>
      </c>
      <c r="U25" s="537">
        <f t="shared" si="36"/>
        <v>174.522414</v>
      </c>
      <c r="V25" s="537">
        <f t="shared" si="36"/>
        <v>264.19310999999999</v>
      </c>
      <c r="W25" s="537">
        <f t="shared" ca="1" si="36"/>
        <v>278.00345100000004</v>
      </c>
      <c r="X25" s="537">
        <f t="shared" si="36"/>
        <v>298.72947400000004</v>
      </c>
      <c r="Y25" s="537">
        <f t="shared" si="36"/>
        <v>322.12440000000004</v>
      </c>
      <c r="Z25" s="537">
        <f t="shared" si="36"/>
        <v>369.873018</v>
      </c>
      <c r="AA25" s="537">
        <f t="shared" si="36"/>
        <v>451.75161600000001</v>
      </c>
      <c r="AB25" s="537">
        <f t="shared" si="36"/>
        <v>460.34927400000004</v>
      </c>
      <c r="AC25" s="537">
        <f t="shared" si="36"/>
        <v>403.22399999999999</v>
      </c>
      <c r="AD25" s="537">
        <f t="shared" si="36"/>
        <v>0</v>
      </c>
    </row>
    <row r="26" spans="1:30" s="537" customFormat="1">
      <c r="A26" s="537" t="s">
        <v>419</v>
      </c>
      <c r="B26" s="537">
        <v>0.42399999999999999</v>
      </c>
      <c r="C26" s="537">
        <v>0.42399999999999999</v>
      </c>
      <c r="D26" s="537">
        <v>0.42399999999999999</v>
      </c>
      <c r="E26" s="537">
        <v>0.42399999999999999</v>
      </c>
      <c r="F26" s="537">
        <v>0.42399999999999999</v>
      </c>
      <c r="G26" s="537">
        <v>0.42399999999999999</v>
      </c>
      <c r="H26" s="537">
        <v>0.42399999999999999</v>
      </c>
      <c r="I26" s="537">
        <v>0.42399999999999999</v>
      </c>
      <c r="J26" s="537">
        <v>0.42399999999999999</v>
      </c>
      <c r="K26" s="537">
        <v>0.42399999999999999</v>
      </c>
      <c r="Q26" s="537">
        <v>0.58699999999999997</v>
      </c>
      <c r="R26" s="537">
        <v>0.57099999999999995</v>
      </c>
      <c r="S26" s="537">
        <v>0.56699999999999995</v>
      </c>
      <c r="T26" s="537">
        <v>0.53800000000000003</v>
      </c>
      <c r="U26" s="537">
        <v>0.53400000000000003</v>
      </c>
      <c r="V26" s="537">
        <v>0.57299999999999995</v>
      </c>
      <c r="W26" s="537">
        <v>0.54700000000000004</v>
      </c>
      <c r="X26" s="537">
        <v>0.52900000000000003</v>
      </c>
      <c r="Y26" s="537">
        <v>0.52</v>
      </c>
      <c r="Z26" s="537">
        <v>0.52200000000000002</v>
      </c>
      <c r="AA26" s="537">
        <v>0.57599999999999996</v>
      </c>
      <c r="AB26" s="537">
        <v>0.55300000000000005</v>
      </c>
      <c r="AC26" s="537">
        <v>0.42399999999999999</v>
      </c>
      <c r="AD26" s="537">
        <v>0.42399999999999999</v>
      </c>
    </row>
    <row r="27" spans="1:30" s="537" customFormat="1">
      <c r="A27" s="537" t="s">
        <v>407</v>
      </c>
      <c r="B27" s="537">
        <f t="shared" ref="B27:AD27" si="37">IFERROR((B25-A25)/A25,0)</f>
        <v>0</v>
      </c>
      <c r="C27" s="537">
        <f t="shared" si="37"/>
        <v>0</v>
      </c>
      <c r="D27" s="537">
        <f t="shared" si="37"/>
        <v>0</v>
      </c>
      <c r="E27" s="537">
        <f t="shared" si="37"/>
        <v>0</v>
      </c>
      <c r="F27" s="537">
        <f t="shared" si="37"/>
        <v>0</v>
      </c>
      <c r="G27" s="537">
        <f t="shared" si="37"/>
        <v>0</v>
      </c>
      <c r="H27" s="537">
        <f t="shared" si="37"/>
        <v>0</v>
      </c>
      <c r="I27" s="537">
        <f t="shared" si="37"/>
        <v>0</v>
      </c>
      <c r="J27" s="537">
        <f t="shared" si="37"/>
        <v>0</v>
      </c>
      <c r="K27" s="537">
        <f t="shared" si="37"/>
        <v>0</v>
      </c>
      <c r="L27" s="537">
        <f t="shared" si="37"/>
        <v>0</v>
      </c>
      <c r="M27" s="537">
        <f t="shared" si="37"/>
        <v>0</v>
      </c>
      <c r="N27" s="537">
        <f t="shared" si="37"/>
        <v>0</v>
      </c>
      <c r="O27" s="537">
        <f t="shared" ca="1" si="37"/>
        <v>0</v>
      </c>
      <c r="P27" s="537">
        <f t="shared" ca="1" si="37"/>
        <v>0</v>
      </c>
      <c r="Q27" s="537">
        <f t="shared" ca="1" si="37"/>
        <v>0</v>
      </c>
      <c r="R27" s="537">
        <f t="shared" si="37"/>
        <v>7.0531714484014213E-2</v>
      </c>
      <c r="S27" s="537">
        <f t="shared" si="37"/>
        <v>0.10041004310925515</v>
      </c>
      <c r="T27" s="537">
        <f t="shared" si="37"/>
        <v>-0.39573873222463229</v>
      </c>
      <c r="U27" s="537">
        <f t="shared" si="37"/>
        <v>0.10494960177539085</v>
      </c>
      <c r="V27" s="537">
        <f t="shared" si="37"/>
        <v>0.51380618652226528</v>
      </c>
      <c r="W27" s="537">
        <f t="shared" ca="1" si="37"/>
        <v>0</v>
      </c>
      <c r="X27" s="537">
        <f t="shared" ca="1" si="37"/>
        <v>7.4553114090659234E-2</v>
      </c>
      <c r="Y27" s="537">
        <f t="shared" si="37"/>
        <v>7.8314756447500702E-2</v>
      </c>
      <c r="Z27" s="537">
        <f t="shared" si="37"/>
        <v>0.148230366901731</v>
      </c>
      <c r="AA27" s="537">
        <f t="shared" si="37"/>
        <v>0.22136948091736719</v>
      </c>
      <c r="AB27" s="537">
        <f t="shared" si="37"/>
        <v>1.903182566589872E-2</v>
      </c>
      <c r="AC27" s="537">
        <f t="shared" si="37"/>
        <v>-0.12409115692447045</v>
      </c>
      <c r="AD27" s="537">
        <f t="shared" si="37"/>
        <v>-1</v>
      </c>
    </row>
    <row r="28" spans="1:30" s="537" customFormat="1">
      <c r="A28" s="537" t="s">
        <v>409</v>
      </c>
      <c r="B28" s="537">
        <v>0.43</v>
      </c>
      <c r="C28" s="537">
        <v>0.43</v>
      </c>
      <c r="D28" s="537">
        <v>0.43</v>
      </c>
      <c r="E28" s="537">
        <v>0.43</v>
      </c>
      <c r="F28" s="537">
        <v>0.43</v>
      </c>
      <c r="G28" s="537">
        <v>0.43</v>
      </c>
      <c r="H28" s="537">
        <v>0.43</v>
      </c>
      <c r="I28" s="537">
        <v>0.43</v>
      </c>
      <c r="J28" s="537">
        <v>0.43</v>
      </c>
      <c r="K28" s="537">
        <v>0.43</v>
      </c>
      <c r="L28" s="537">
        <f>L29*L10</f>
        <v>0</v>
      </c>
      <c r="M28" s="537">
        <f t="shared" ref="M28:V28" si="38">M29*M10</f>
        <v>0</v>
      </c>
      <c r="N28" s="537">
        <f t="shared" si="38"/>
        <v>0</v>
      </c>
      <c r="O28" s="537">
        <f t="shared" si="38"/>
        <v>0</v>
      </c>
      <c r="P28" s="537">
        <f t="shared" si="38"/>
        <v>0</v>
      </c>
      <c r="Q28" s="537">
        <f t="shared" si="38"/>
        <v>0</v>
      </c>
      <c r="R28" s="537">
        <f t="shared" si="38"/>
        <v>0</v>
      </c>
      <c r="S28" s="537">
        <f t="shared" si="38"/>
        <v>0</v>
      </c>
      <c r="T28" s="537">
        <f t="shared" si="38"/>
        <v>363.87982799999997</v>
      </c>
      <c r="U28" s="537">
        <f t="shared" si="38"/>
        <v>372.62966400000005</v>
      </c>
      <c r="V28" s="537">
        <f t="shared" si="38"/>
        <v>404.91756000000004</v>
      </c>
      <c r="W28" s="537">
        <f>W29*W10</f>
        <v>357.37899999999996</v>
      </c>
      <c r="X28" s="537">
        <f t="shared" ref="X28:AD28" si="39">X29*X10</f>
        <v>382.37499999999994</v>
      </c>
      <c r="Y28" s="537">
        <f t="shared" si="39"/>
        <v>413.28</v>
      </c>
      <c r="Z28" s="537">
        <f t="shared" si="39"/>
        <v>426.63917399999997</v>
      </c>
      <c r="AA28" s="537">
        <f t="shared" si="39"/>
        <v>366.17768999999993</v>
      </c>
      <c r="AB28" s="537">
        <f t="shared" si="39"/>
        <v>445.21176000000008</v>
      </c>
      <c r="AC28" s="537">
        <f t="shared" si="39"/>
        <v>415.81</v>
      </c>
      <c r="AD28" s="537">
        <f t="shared" si="39"/>
        <v>0</v>
      </c>
    </row>
    <row r="29" spans="1:30" s="537" customFormat="1">
      <c r="A29" s="537" t="s">
        <v>419</v>
      </c>
      <c r="B29" s="537">
        <v>0.43</v>
      </c>
      <c r="C29" s="537">
        <v>0.43</v>
      </c>
      <c r="D29" s="537">
        <v>0.43</v>
      </c>
      <c r="E29" s="537">
        <v>0.43</v>
      </c>
      <c r="F29" s="537">
        <v>0.43</v>
      </c>
      <c r="G29" s="537">
        <v>0.43</v>
      </c>
      <c r="H29" s="537">
        <v>0.43</v>
      </c>
      <c r="I29" s="537">
        <v>0.43</v>
      </c>
      <c r="J29" s="537">
        <v>0.43</v>
      </c>
      <c r="K29" s="537">
        <v>0.43</v>
      </c>
      <c r="T29" s="537">
        <v>0.61099999999999999</v>
      </c>
      <c r="U29" s="537">
        <v>0.61199999999999999</v>
      </c>
      <c r="V29" s="537">
        <v>0.60699999999999998</v>
      </c>
      <c r="W29" s="537">
        <v>0.58299999999999996</v>
      </c>
      <c r="X29" s="537">
        <v>0.57499999999999996</v>
      </c>
      <c r="Y29" s="537">
        <v>0.57399999999999995</v>
      </c>
      <c r="Z29" s="537">
        <v>0.58199999999999996</v>
      </c>
      <c r="AA29" s="537">
        <v>0.56999999999999995</v>
      </c>
      <c r="AB29" s="537">
        <v>0.56000000000000005</v>
      </c>
      <c r="AC29" s="537">
        <v>0.43</v>
      </c>
      <c r="AD29" s="537">
        <v>0.44</v>
      </c>
    </row>
    <row r="30" spans="1:30" s="537" customFormat="1">
      <c r="A30" s="537" t="s">
        <v>407</v>
      </c>
      <c r="B30" s="537">
        <f t="shared" ref="B30:AD30" si="40">IFERROR((B28-A28)/A28,0)</f>
        <v>0</v>
      </c>
      <c r="C30" s="537">
        <f t="shared" si="40"/>
        <v>0</v>
      </c>
      <c r="D30" s="537">
        <f t="shared" si="40"/>
        <v>0</v>
      </c>
      <c r="E30" s="537">
        <f t="shared" si="40"/>
        <v>0</v>
      </c>
      <c r="F30" s="537">
        <f t="shared" si="40"/>
        <v>0</v>
      </c>
      <c r="G30" s="537">
        <f t="shared" si="40"/>
        <v>0</v>
      </c>
      <c r="H30" s="537">
        <f t="shared" si="40"/>
        <v>0</v>
      </c>
      <c r="I30" s="537">
        <f t="shared" si="40"/>
        <v>0</v>
      </c>
      <c r="J30" s="537">
        <f t="shared" si="40"/>
        <v>0</v>
      </c>
      <c r="K30" s="537">
        <f t="shared" si="40"/>
        <v>0</v>
      </c>
      <c r="L30" s="537">
        <f t="shared" si="40"/>
        <v>-1</v>
      </c>
      <c r="M30" s="537">
        <f t="shared" si="40"/>
        <v>0</v>
      </c>
      <c r="N30" s="537">
        <f t="shared" si="40"/>
        <v>0</v>
      </c>
      <c r="O30" s="537">
        <f t="shared" si="40"/>
        <v>0</v>
      </c>
      <c r="P30" s="537">
        <f t="shared" si="40"/>
        <v>0</v>
      </c>
      <c r="Q30" s="537">
        <f t="shared" si="40"/>
        <v>0</v>
      </c>
      <c r="R30" s="537">
        <f t="shared" si="40"/>
        <v>0</v>
      </c>
      <c r="S30" s="537">
        <f t="shared" si="40"/>
        <v>0</v>
      </c>
      <c r="T30" s="537">
        <f t="shared" si="40"/>
        <v>0</v>
      </c>
      <c r="U30" s="537">
        <f t="shared" si="40"/>
        <v>2.4045949587510725E-2</v>
      </c>
      <c r="V30" s="537">
        <f t="shared" si="40"/>
        <v>8.6648753761053188E-2</v>
      </c>
      <c r="W30" s="537">
        <f t="shared" si="40"/>
        <v>-0.11740305853863209</v>
      </c>
      <c r="X30" s="537">
        <f t="shared" si="40"/>
        <v>6.9942553983306191E-2</v>
      </c>
      <c r="Y30" s="537">
        <f t="shared" si="40"/>
        <v>8.0823798627002383E-2</v>
      </c>
      <c r="Z30" s="537">
        <f t="shared" si="40"/>
        <v>3.2324753193960505E-2</v>
      </c>
      <c r="AA30" s="537">
        <f t="shared" si="40"/>
        <v>-0.14171573471122473</v>
      </c>
      <c r="AB30" s="537">
        <f t="shared" si="40"/>
        <v>0.21583529570029286</v>
      </c>
      <c r="AC30" s="537">
        <f t="shared" si="40"/>
        <v>-6.6039944677112924E-2</v>
      </c>
      <c r="AD30" s="537">
        <f t="shared" si="40"/>
        <v>-1</v>
      </c>
    </row>
    <row r="31" spans="1:30" s="537" customFormat="1">
      <c r="A31" s="537" t="s">
        <v>421</v>
      </c>
      <c r="B31" s="537">
        <f t="shared" ref="B31:AD31" si="41">B28+B25+B22</f>
        <v>0.43</v>
      </c>
      <c r="C31" s="537">
        <f t="shared" si="41"/>
        <v>0.43</v>
      </c>
      <c r="D31" s="537">
        <f t="shared" si="41"/>
        <v>0.43</v>
      </c>
      <c r="E31" s="537">
        <f t="shared" si="41"/>
        <v>0.43</v>
      </c>
      <c r="F31" s="537">
        <f t="shared" si="41"/>
        <v>0.43</v>
      </c>
      <c r="G31" s="537">
        <f t="shared" si="41"/>
        <v>0.43</v>
      </c>
      <c r="H31" s="537">
        <f t="shared" si="41"/>
        <v>0.43</v>
      </c>
      <c r="I31" s="537">
        <f t="shared" si="41"/>
        <v>0.43</v>
      </c>
      <c r="J31" s="537">
        <f t="shared" si="41"/>
        <v>0.43</v>
      </c>
      <c r="K31" s="537">
        <f t="shared" si="41"/>
        <v>0.43</v>
      </c>
      <c r="L31" s="537">
        <f t="shared" si="41"/>
        <v>0</v>
      </c>
      <c r="M31" s="537">
        <f t="shared" si="41"/>
        <v>0</v>
      </c>
      <c r="N31" s="537">
        <f t="shared" si="41"/>
        <v>0</v>
      </c>
      <c r="O31" s="537">
        <f t="shared" ca="1" si="41"/>
        <v>0</v>
      </c>
      <c r="P31" s="537">
        <f t="shared" ca="1" si="41"/>
        <v>0</v>
      </c>
      <c r="Q31" s="537">
        <f t="shared" si="41"/>
        <v>1750.9419999999998</v>
      </c>
      <c r="R31" s="537">
        <f t="shared" si="41"/>
        <v>1885.7279999999998</v>
      </c>
      <c r="S31" s="537">
        <f t="shared" si="41"/>
        <v>2017.7749999999999</v>
      </c>
      <c r="T31" s="537">
        <f t="shared" si="41"/>
        <v>2445.2613719999999</v>
      </c>
      <c r="U31" s="537">
        <f t="shared" si="41"/>
        <v>2555.0731470000001</v>
      </c>
      <c r="V31" s="537">
        <f t="shared" si="41"/>
        <v>2776.5929700000002</v>
      </c>
      <c r="W31" s="537">
        <f t="shared" ca="1" si="41"/>
        <v>2942.5494610000001</v>
      </c>
      <c r="X31" s="537">
        <f t="shared" si="41"/>
        <v>3567.0226739999998</v>
      </c>
      <c r="Y31" s="537">
        <f t="shared" si="41"/>
        <v>3761.4787500000002</v>
      </c>
      <c r="Z31" s="537">
        <f t="shared" si="41"/>
        <v>3849.6370360000001</v>
      </c>
      <c r="AA31" s="537">
        <f t="shared" si="41"/>
        <v>3799.2964739999998</v>
      </c>
      <c r="AB31" s="537">
        <f t="shared" si="41"/>
        <v>4224.5413740000004</v>
      </c>
      <c r="AC31" s="537">
        <f t="shared" si="41"/>
        <v>4102.0059999999994</v>
      </c>
      <c r="AD31" s="537">
        <f t="shared" si="41"/>
        <v>0</v>
      </c>
    </row>
    <row r="33" spans="1:30">
      <c r="A33" t="s">
        <v>422</v>
      </c>
    </row>
    <row r="34" spans="1:30">
      <c r="A34" t="s">
        <v>405</v>
      </c>
      <c r="L34">
        <f>1-L22/L4</f>
        <v>1</v>
      </c>
      <c r="M34">
        <f t="shared" ref="M34:V34" si="42">1-M22/M4</f>
        <v>1</v>
      </c>
      <c r="N34">
        <f t="shared" si="42"/>
        <v>1</v>
      </c>
      <c r="O34" t="e">
        <f t="shared" ca="1" si="42"/>
        <v>#DIV/0!</v>
      </c>
      <c r="P34" t="e">
        <f t="shared" ca="1" si="42"/>
        <v>#DIV/0!</v>
      </c>
      <c r="Q34">
        <f t="shared" si="42"/>
        <v>0.43200000000000005</v>
      </c>
      <c r="R34">
        <f t="shared" si="42"/>
        <v>0.43400000000000005</v>
      </c>
      <c r="S34">
        <f t="shared" si="42"/>
        <v>0.42300000000000004</v>
      </c>
      <c r="T34">
        <f t="shared" si="42"/>
        <v>0.41800000000000004</v>
      </c>
      <c r="U34">
        <f t="shared" si="42"/>
        <v>0.43300000000000005</v>
      </c>
      <c r="V34">
        <f t="shared" si="42"/>
        <v>0.44199999999999995</v>
      </c>
      <c r="W34">
        <f>1-W22/W4</f>
        <v>0.45099999999999996</v>
      </c>
      <c r="X34">
        <f t="shared" ref="X34:AD34" si="43">1-X22/X4</f>
        <v>0.44999999999999996</v>
      </c>
      <c r="Y34">
        <f t="shared" si="43"/>
        <v>0.45499999999999996</v>
      </c>
      <c r="Z34">
        <f t="shared" si="43"/>
        <v>0.45899999999999996</v>
      </c>
      <c r="AA34">
        <f t="shared" si="43"/>
        <v>0.47599999999999998</v>
      </c>
      <c r="AB34">
        <f t="shared" si="43"/>
        <v>0.46699999999999997</v>
      </c>
      <c r="AC34">
        <f t="shared" si="43"/>
        <v>0.52400000000000002</v>
      </c>
      <c r="AD34" t="e">
        <f t="shared" si="43"/>
        <v>#DIV/0!</v>
      </c>
    </row>
    <row r="35" spans="1:30">
      <c r="A35" t="s">
        <v>420</v>
      </c>
      <c r="L35">
        <f>1-L25/L7</f>
        <v>1</v>
      </c>
      <c r="M35">
        <f t="shared" ref="M35:V35" si="44">1-M25/M7</f>
        <v>1</v>
      </c>
      <c r="N35">
        <f t="shared" si="44"/>
        <v>1</v>
      </c>
      <c r="O35" t="e">
        <f t="shared" ca="1" si="44"/>
        <v>#DIV/0!</v>
      </c>
      <c r="P35" t="e">
        <f t="shared" ca="1" si="44"/>
        <v>#DIV/0!</v>
      </c>
      <c r="Q35">
        <f t="shared" si="44"/>
        <v>0.41300000000000003</v>
      </c>
      <c r="R35">
        <f t="shared" si="44"/>
        <v>0.42900000000000005</v>
      </c>
      <c r="S35">
        <f t="shared" si="44"/>
        <v>0.43300000000000005</v>
      </c>
      <c r="T35">
        <f t="shared" si="44"/>
        <v>0.46199999999999997</v>
      </c>
      <c r="U35">
        <f t="shared" si="44"/>
        <v>0.46599999999999997</v>
      </c>
      <c r="V35">
        <f t="shared" si="44"/>
        <v>0.42700000000000005</v>
      </c>
      <c r="W35">
        <f ca="1">1-W25/W7</f>
        <v>0.45299999999999996</v>
      </c>
      <c r="X35">
        <f t="shared" ref="X35:AD35" si="45">1-X25/X7</f>
        <v>0.47099999999999997</v>
      </c>
      <c r="Y35">
        <f t="shared" si="45"/>
        <v>0.48</v>
      </c>
      <c r="Z35">
        <f t="shared" si="45"/>
        <v>0.47799999999999998</v>
      </c>
      <c r="AA35">
        <f t="shared" si="45"/>
        <v>0.42400000000000004</v>
      </c>
      <c r="AB35">
        <f t="shared" si="45"/>
        <v>0.44699999999999995</v>
      </c>
      <c r="AC35">
        <f t="shared" si="45"/>
        <v>0.57600000000000007</v>
      </c>
      <c r="AD35" t="e">
        <f t="shared" si="45"/>
        <v>#DIV/0!</v>
      </c>
    </row>
    <row r="36" spans="1:30">
      <c r="A36" t="s">
        <v>409</v>
      </c>
      <c r="L36">
        <f>1-L28/L10</f>
        <v>1</v>
      </c>
      <c r="M36">
        <f t="shared" ref="M36:V36" si="46">1-M28/M10</f>
        <v>1</v>
      </c>
      <c r="N36">
        <f t="shared" si="46"/>
        <v>1</v>
      </c>
      <c r="O36" t="e">
        <f t="shared" si="46"/>
        <v>#DIV/0!</v>
      </c>
      <c r="P36" t="e">
        <f t="shared" si="46"/>
        <v>#DIV/0!</v>
      </c>
      <c r="Q36">
        <f t="shared" si="46"/>
        <v>1</v>
      </c>
      <c r="R36">
        <f t="shared" si="46"/>
        <v>1</v>
      </c>
      <c r="S36">
        <f t="shared" si="46"/>
        <v>1</v>
      </c>
      <c r="T36">
        <f t="shared" si="46"/>
        <v>0.38900000000000001</v>
      </c>
      <c r="U36">
        <f t="shared" si="46"/>
        <v>0.38800000000000001</v>
      </c>
      <c r="V36">
        <f t="shared" si="46"/>
        <v>0.39300000000000002</v>
      </c>
      <c r="W36">
        <f>1-W28/W10</f>
        <v>0.41700000000000004</v>
      </c>
      <c r="X36">
        <f t="shared" ref="X36:AD36" si="47">1-X28/X10</f>
        <v>0.42500000000000004</v>
      </c>
      <c r="Y36">
        <f t="shared" si="47"/>
        <v>0.42600000000000005</v>
      </c>
      <c r="Z36">
        <f t="shared" si="47"/>
        <v>0.41800000000000004</v>
      </c>
      <c r="AA36">
        <f t="shared" si="47"/>
        <v>0.43000000000000005</v>
      </c>
      <c r="AB36">
        <f t="shared" si="47"/>
        <v>0.43999999999999995</v>
      </c>
      <c r="AC36">
        <f t="shared" si="47"/>
        <v>0.57000000000000006</v>
      </c>
      <c r="AD36" t="e">
        <f t="shared" si="47"/>
        <v>#DIV/0!</v>
      </c>
    </row>
    <row r="37" spans="1:30">
      <c r="A37" t="s">
        <v>423</v>
      </c>
      <c r="L37">
        <f>1-L31/L19</f>
        <v>1</v>
      </c>
      <c r="M37">
        <f t="shared" ref="M37:V37" si="48">1-M31/M19</f>
        <v>1</v>
      </c>
      <c r="N37">
        <f t="shared" si="48"/>
        <v>1</v>
      </c>
      <c r="O37" t="e">
        <f t="shared" ca="1" si="48"/>
        <v>#DIV/0!</v>
      </c>
      <c r="P37" t="e">
        <f t="shared" ca="1" si="48"/>
        <v>#DIV/0!</v>
      </c>
      <c r="Q37">
        <f t="shared" si="48"/>
        <v>0.49815362568071087</v>
      </c>
      <c r="R37">
        <f t="shared" si="48"/>
        <v>0.49874322169059015</v>
      </c>
      <c r="S37">
        <f t="shared" si="48"/>
        <v>0.49135996975044116</v>
      </c>
      <c r="T37">
        <f t="shared" si="48"/>
        <v>0.41696200000000005</v>
      </c>
      <c r="U37">
        <f t="shared" si="48"/>
        <v>0.42928900000000003</v>
      </c>
      <c r="V37">
        <f t="shared" si="48"/>
        <v>0.43392599999999992</v>
      </c>
      <c r="W37">
        <f ca="1">1-W31/W19</f>
        <v>0.46694576542855837</v>
      </c>
      <c r="X37">
        <f t="shared" ref="X37:AD37" si="49">1-X31/X19</f>
        <v>0.46692191972645369</v>
      </c>
      <c r="Y37">
        <f t="shared" si="49"/>
        <v>0.47068438229369802</v>
      </c>
      <c r="Z37">
        <f t="shared" si="49"/>
        <v>0.45665811314150373</v>
      </c>
      <c r="AA37">
        <f t="shared" si="49"/>
        <v>0.466116504551497</v>
      </c>
      <c r="AB37">
        <f t="shared" si="49"/>
        <v>0.4621473771777278</v>
      </c>
      <c r="AC37">
        <f t="shared" si="49"/>
        <v>0.47731829765545375</v>
      </c>
      <c r="AD37" t="e">
        <f t="shared" si="49"/>
        <v>#DIV/0!</v>
      </c>
    </row>
    <row r="39" spans="1:30">
      <c r="A39" t="s">
        <v>424</v>
      </c>
    </row>
    <row r="40" spans="1:30">
      <c r="A40" s="537" t="s">
        <v>405</v>
      </c>
      <c r="L40">
        <f>L41*L4</f>
        <v>0</v>
      </c>
      <c r="M40">
        <f t="shared" ref="M40:V40" si="50">M41*M4</f>
        <v>0</v>
      </c>
      <c r="N40">
        <f t="shared" si="50"/>
        <v>0</v>
      </c>
      <c r="O40">
        <f t="shared" ca="1" si="50"/>
        <v>0</v>
      </c>
      <c r="P40">
        <f t="shared" ca="1" si="50"/>
        <v>0</v>
      </c>
      <c r="Q40">
        <f t="shared" si="50"/>
        <v>0</v>
      </c>
      <c r="R40">
        <f t="shared" si="50"/>
        <v>0</v>
      </c>
      <c r="S40">
        <f t="shared" si="50"/>
        <v>0</v>
      </c>
      <c r="T40">
        <f t="shared" si="50"/>
        <v>859.26672000000008</v>
      </c>
      <c r="U40">
        <f t="shared" si="50"/>
        <v>927.82243400000016</v>
      </c>
      <c r="V40">
        <f t="shared" si="50"/>
        <v>997.08839999999998</v>
      </c>
      <c r="W40">
        <f>W41*W4</f>
        <v>1138.8747900000001</v>
      </c>
      <c r="X40">
        <f t="shared" ref="X40:AD40" si="51">X41*X4</f>
        <v>1500.6774639999999</v>
      </c>
      <c r="Y40">
        <f t="shared" si="51"/>
        <v>1532.4706800000001</v>
      </c>
      <c r="Z40">
        <f t="shared" si="51"/>
        <v>1585.8190040000002</v>
      </c>
      <c r="AA40">
        <f t="shared" si="51"/>
        <v>1479.30432</v>
      </c>
      <c r="AB40">
        <f t="shared" si="51"/>
        <v>1556.7449999999999</v>
      </c>
      <c r="AC40">
        <f t="shared" si="51"/>
        <v>0</v>
      </c>
      <c r="AD40">
        <f t="shared" si="51"/>
        <v>0</v>
      </c>
    </row>
    <row r="41" spans="1:30">
      <c r="A41" s="537" t="s">
        <v>419</v>
      </c>
      <c r="O41">
        <v>0</v>
      </c>
      <c r="T41">
        <v>0.26</v>
      </c>
      <c r="U41">
        <v>0.26200000000000001</v>
      </c>
      <c r="V41">
        <v>0.26400000000000001</v>
      </c>
      <c r="W41">
        <v>0.27100000000000002</v>
      </c>
      <c r="X41">
        <v>0.28599999999999998</v>
      </c>
      <c r="Y41">
        <v>0.27600000000000002</v>
      </c>
      <c r="Z41">
        <v>0.28100000000000003</v>
      </c>
      <c r="AA41">
        <f>0.26</f>
        <v>0.26</v>
      </c>
      <c r="AB41">
        <v>0.25</v>
      </c>
    </row>
    <row r="42" spans="1:30" s="537" customFormat="1">
      <c r="A42" s="537" t="s">
        <v>407</v>
      </c>
      <c r="B42"/>
      <c r="C42"/>
      <c r="D42"/>
      <c r="E42"/>
      <c r="F42"/>
      <c r="G42"/>
      <c r="H42"/>
      <c r="I42"/>
      <c r="J42"/>
      <c r="K42"/>
      <c r="L42" s="537">
        <f>IFERROR((L40-K40)/K40,0)</f>
        <v>0</v>
      </c>
      <c r="M42" s="537">
        <f t="shared" ref="M42:AD42" si="52">IFERROR((M40-L40)/L40,0)</f>
        <v>0</v>
      </c>
      <c r="N42" s="537">
        <f t="shared" si="52"/>
        <v>0</v>
      </c>
      <c r="O42" s="537">
        <f t="shared" ca="1" si="52"/>
        <v>0</v>
      </c>
      <c r="P42" s="537">
        <f t="shared" ca="1" si="52"/>
        <v>0</v>
      </c>
      <c r="Q42" s="537">
        <f t="shared" ca="1" si="52"/>
        <v>0</v>
      </c>
      <c r="R42" s="537">
        <f t="shared" si="52"/>
        <v>0</v>
      </c>
      <c r="S42" s="537">
        <f t="shared" si="52"/>
        <v>0</v>
      </c>
      <c r="T42" s="537">
        <f t="shared" si="52"/>
        <v>0</v>
      </c>
      <c r="U42" s="537">
        <f t="shared" si="52"/>
        <v>7.9783974410180897E-2</v>
      </c>
      <c r="V42" s="537">
        <f t="shared" si="52"/>
        <v>7.4654334128764779E-2</v>
      </c>
      <c r="W42" s="537">
        <f t="shared" si="52"/>
        <v>0.14220042074504136</v>
      </c>
      <c r="X42" s="537">
        <f t="shared" si="52"/>
        <v>0.31768432945995739</v>
      </c>
      <c r="Y42" s="537">
        <f t="shared" si="52"/>
        <v>2.1185908872954368E-2</v>
      </c>
      <c r="Z42" s="537">
        <f t="shared" si="52"/>
        <v>3.481197043195635E-2</v>
      </c>
      <c r="AA42" s="537">
        <f t="shared" si="52"/>
        <v>-6.7166986731356015E-2</v>
      </c>
      <c r="AB42" s="537">
        <f t="shared" si="52"/>
        <v>5.2349390827169308E-2</v>
      </c>
      <c r="AC42" s="537">
        <f t="shared" si="52"/>
        <v>-1</v>
      </c>
      <c r="AD42" s="537">
        <f t="shared" si="52"/>
        <v>0</v>
      </c>
    </row>
    <row r="43" spans="1:30">
      <c r="A43" s="537" t="s">
        <v>420</v>
      </c>
      <c r="L43">
        <f>L44*L7</f>
        <v>0</v>
      </c>
      <c r="M43">
        <f t="shared" ref="M43:S43" si="53">M44*M7</f>
        <v>0</v>
      </c>
      <c r="N43">
        <f t="shared" si="53"/>
        <v>0</v>
      </c>
      <c r="O43">
        <f t="shared" ca="1" si="53"/>
        <v>0</v>
      </c>
      <c r="P43">
        <f t="shared" ca="1" si="53"/>
        <v>0</v>
      </c>
      <c r="Q43">
        <f t="shared" si="53"/>
        <v>0</v>
      </c>
      <c r="R43">
        <f t="shared" si="53"/>
        <v>0</v>
      </c>
      <c r="S43">
        <f t="shared" si="53"/>
        <v>0</v>
      </c>
      <c r="T43">
        <f>T44*T7</f>
        <v>95.707080000000019</v>
      </c>
      <c r="U43">
        <f>U44*U7</f>
        <v>107.197288</v>
      </c>
      <c r="V43">
        <f>V44*V7</f>
        <v>147.08133000000001</v>
      </c>
      <c r="W43">
        <f ca="1">W44*W7</f>
        <v>177.37331699999999</v>
      </c>
      <c r="X43">
        <f t="shared" ref="X43:AD43" si="54">X44*X7</f>
        <v>190.30592200000001</v>
      </c>
      <c r="Y43">
        <f t="shared" si="54"/>
        <v>206.90298000000001</v>
      </c>
      <c r="Z43">
        <f t="shared" si="54"/>
        <v>231.70206300000001</v>
      </c>
      <c r="AA43">
        <f t="shared" si="54"/>
        <v>250.97312000000002</v>
      </c>
      <c r="AB43">
        <f t="shared" si="54"/>
        <v>265.554102</v>
      </c>
      <c r="AC43">
        <f t="shared" si="54"/>
        <v>0</v>
      </c>
      <c r="AD43">
        <f t="shared" si="54"/>
        <v>0</v>
      </c>
    </row>
    <row r="44" spans="1:30">
      <c r="A44" s="537" t="s">
        <v>419</v>
      </c>
      <c r="T44">
        <v>0.32600000000000001</v>
      </c>
      <c r="U44">
        <v>0.32800000000000001</v>
      </c>
      <c r="V44">
        <v>0.31900000000000001</v>
      </c>
      <c r="W44">
        <v>0.34899999999999998</v>
      </c>
      <c r="X44">
        <v>0.33700000000000002</v>
      </c>
      <c r="Y44">
        <v>0.33400000000000002</v>
      </c>
      <c r="Z44">
        <v>0.32700000000000001</v>
      </c>
      <c r="AA44">
        <v>0.32</v>
      </c>
      <c r="AB44">
        <v>0.31900000000000001</v>
      </c>
    </row>
    <row r="45" spans="1:30" s="537" customFormat="1">
      <c r="A45" s="537" t="s">
        <v>407</v>
      </c>
      <c r="B45"/>
      <c r="C45"/>
      <c r="D45"/>
      <c r="E45"/>
      <c r="F45"/>
      <c r="G45"/>
      <c r="H45"/>
      <c r="I45"/>
      <c r="J45"/>
      <c r="K45"/>
      <c r="L45" s="537">
        <f>IFERROR((L43-K43)/K43,0)</f>
        <v>0</v>
      </c>
      <c r="M45" s="537">
        <f t="shared" ref="M45:S45" si="55">IFERROR((M43-L43)/L43,0)</f>
        <v>0</v>
      </c>
      <c r="N45" s="537">
        <f t="shared" si="55"/>
        <v>0</v>
      </c>
      <c r="O45" s="537">
        <f t="shared" ca="1" si="55"/>
        <v>0</v>
      </c>
      <c r="P45" s="537">
        <f t="shared" ca="1" si="55"/>
        <v>0</v>
      </c>
      <c r="Q45" s="537">
        <f t="shared" ca="1" si="55"/>
        <v>0</v>
      </c>
      <c r="R45" s="537">
        <f t="shared" si="55"/>
        <v>0</v>
      </c>
      <c r="S45" s="537">
        <f t="shared" si="55"/>
        <v>0</v>
      </c>
      <c r="T45" s="537">
        <f>IFERROR((T44-S43)/S43,0)</f>
        <v>0</v>
      </c>
      <c r="U45" s="537">
        <f>IFERROR((U44-T44)/T44,0)</f>
        <v>6.1349693251533796E-3</v>
      </c>
      <c r="V45" s="537">
        <f>IFERROR((V44-U44)/U44,0)</f>
        <v>-2.7439024390243927E-2</v>
      </c>
      <c r="W45" s="537">
        <f ca="1">IFERROR((W43-V44)/V44,0)</f>
        <v>555.02920689655173</v>
      </c>
      <c r="X45" s="537">
        <f t="shared" ref="X45:AD45" ca="1" si="56">IFERROR((X43-W43)/W43,0)</f>
        <v>7.2911784132672131E-2</v>
      </c>
      <c r="Y45" s="537">
        <f t="shared" si="56"/>
        <v>8.7212514595315663E-2</v>
      </c>
      <c r="Z45" s="537">
        <f t="shared" si="56"/>
        <v>0.11985851049607886</v>
      </c>
      <c r="AA45" s="537">
        <f t="shared" si="56"/>
        <v>8.3171710905310378E-2</v>
      </c>
      <c r="AB45" s="537">
        <f t="shared" si="56"/>
        <v>5.8097783539527964E-2</v>
      </c>
      <c r="AC45" s="537">
        <f t="shared" si="56"/>
        <v>-1</v>
      </c>
      <c r="AD45" s="537">
        <f t="shared" si="56"/>
        <v>0</v>
      </c>
    </row>
    <row r="46" spans="1:30">
      <c r="A46" s="537" t="s">
        <v>409</v>
      </c>
      <c r="L46">
        <f>L47*L10</f>
        <v>0</v>
      </c>
      <c r="M46">
        <f t="shared" ref="M46:S46" si="57">M47*M10</f>
        <v>0</v>
      </c>
      <c r="N46">
        <f t="shared" si="57"/>
        <v>0</v>
      </c>
      <c r="O46">
        <f t="shared" si="57"/>
        <v>0</v>
      </c>
      <c r="P46">
        <f t="shared" si="57"/>
        <v>0</v>
      </c>
      <c r="Q46">
        <f t="shared" si="57"/>
        <v>0</v>
      </c>
      <c r="R46">
        <f t="shared" si="57"/>
        <v>0</v>
      </c>
      <c r="S46">
        <f t="shared" si="57"/>
        <v>0</v>
      </c>
      <c r="T46">
        <f>T47*T10</f>
        <v>191.170908</v>
      </c>
      <c r="U46">
        <f>U47*U10</f>
        <v>191.18580800000004</v>
      </c>
      <c r="V46">
        <f>V47*V10</f>
        <v>202.79232000000002</v>
      </c>
      <c r="W46">
        <f>W47*W10</f>
        <v>211.48499999999999</v>
      </c>
      <c r="X46">
        <f t="shared" ref="X46:AD46" si="58">X47*X10</f>
        <v>225.435</v>
      </c>
      <c r="Y46">
        <f t="shared" si="58"/>
        <v>239.76000000000002</v>
      </c>
      <c r="Z46">
        <f t="shared" si="58"/>
        <v>255.83689299999998</v>
      </c>
      <c r="AA46">
        <f t="shared" si="58"/>
        <v>197.86443599999998</v>
      </c>
      <c r="AB46">
        <f t="shared" si="58"/>
        <v>222.60588000000004</v>
      </c>
      <c r="AC46">
        <f t="shared" si="58"/>
        <v>0</v>
      </c>
      <c r="AD46">
        <f t="shared" si="58"/>
        <v>0</v>
      </c>
    </row>
    <row r="47" spans="1:30">
      <c r="A47" s="537" t="s">
        <v>419</v>
      </c>
      <c r="T47">
        <v>0.32100000000000001</v>
      </c>
      <c r="U47">
        <v>0.314</v>
      </c>
      <c r="V47">
        <v>0.30399999999999999</v>
      </c>
      <c r="W47">
        <v>0.34499999999999997</v>
      </c>
      <c r="X47">
        <v>0.33900000000000002</v>
      </c>
      <c r="Y47">
        <v>0.33300000000000002</v>
      </c>
      <c r="Z47">
        <v>0.34899999999999998</v>
      </c>
      <c r="AA47">
        <v>0.308</v>
      </c>
      <c r="AB47">
        <v>0.28000000000000003</v>
      </c>
    </row>
    <row r="48" spans="1:30" s="537" customFormat="1">
      <c r="A48" s="537" t="s">
        <v>407</v>
      </c>
      <c r="B48"/>
      <c r="C48"/>
      <c r="D48"/>
      <c r="E48"/>
      <c r="F48"/>
      <c r="G48"/>
      <c r="H48"/>
      <c r="I48"/>
      <c r="J48"/>
      <c r="K48"/>
      <c r="L48" s="537">
        <f>IFERROR((L46-K46)/K46,0)</f>
        <v>0</v>
      </c>
      <c r="M48" s="537">
        <f t="shared" ref="M48:S48" si="59">IFERROR((M46-L46)/L46,0)</f>
        <v>0</v>
      </c>
      <c r="N48" s="537">
        <f t="shared" si="59"/>
        <v>0</v>
      </c>
      <c r="O48" s="537">
        <f t="shared" si="59"/>
        <v>0</v>
      </c>
      <c r="P48" s="537">
        <f t="shared" si="59"/>
        <v>0</v>
      </c>
      <c r="Q48" s="537">
        <f t="shared" si="59"/>
        <v>0</v>
      </c>
      <c r="R48" s="537">
        <f t="shared" si="59"/>
        <v>0</v>
      </c>
      <c r="S48" s="537">
        <f t="shared" si="59"/>
        <v>0</v>
      </c>
      <c r="T48" s="537">
        <f>IFERROR((T47-S46)/S46,0)</f>
        <v>0</v>
      </c>
      <c r="U48" s="537">
        <f>IFERROR((U47-T47)/T47,0)</f>
        <v>-2.1806853582554537E-2</v>
      </c>
      <c r="V48" s="537">
        <f>IFERROR((V47-U47)/U47,0)</f>
        <v>-3.1847133757961811E-2</v>
      </c>
      <c r="W48" s="537">
        <f>IFERROR((W46-V47)/V47,0)</f>
        <v>694.67434210526312</v>
      </c>
      <c r="X48" s="537">
        <f t="shared" ref="X48:AD48" si="60">IFERROR((X46-W46)/W46,0)</f>
        <v>6.5962124973402453E-2</v>
      </c>
      <c r="Y48" s="537">
        <f t="shared" si="60"/>
        <v>6.3543815290438566E-2</v>
      </c>
      <c r="Z48" s="537">
        <f t="shared" si="60"/>
        <v>6.7054108274941418E-2</v>
      </c>
      <c r="AA48" s="537">
        <f t="shared" si="60"/>
        <v>-0.22659928488109021</v>
      </c>
      <c r="AB48" s="537">
        <f t="shared" si="60"/>
        <v>0.12504240024215399</v>
      </c>
      <c r="AC48" s="537">
        <f t="shared" si="60"/>
        <v>-1</v>
      </c>
      <c r="AD48" s="537">
        <f t="shared" si="60"/>
        <v>0</v>
      </c>
    </row>
    <row r="49" spans="1:30">
      <c r="A49" t="s">
        <v>425</v>
      </c>
      <c r="L49">
        <f>L40+L43+L46</f>
        <v>0</v>
      </c>
      <c r="M49">
        <f t="shared" ref="M49:V49" si="61">M40+M43+M46</f>
        <v>0</v>
      </c>
      <c r="N49">
        <f t="shared" si="61"/>
        <v>0</v>
      </c>
      <c r="O49">
        <f t="shared" ca="1" si="61"/>
        <v>0</v>
      </c>
      <c r="P49">
        <f t="shared" ca="1" si="61"/>
        <v>0</v>
      </c>
      <c r="Q49">
        <f t="shared" si="61"/>
        <v>0</v>
      </c>
      <c r="R49">
        <f t="shared" si="61"/>
        <v>0</v>
      </c>
      <c r="S49">
        <f t="shared" si="61"/>
        <v>0</v>
      </c>
      <c r="T49">
        <f t="shared" si="61"/>
        <v>1146.144708</v>
      </c>
      <c r="U49">
        <f t="shared" si="61"/>
        <v>1226.2055300000002</v>
      </c>
      <c r="V49">
        <f t="shared" si="61"/>
        <v>1346.9620500000001</v>
      </c>
      <c r="W49">
        <f ca="1">W40+W43+W46</f>
        <v>1527.733107</v>
      </c>
      <c r="X49">
        <f t="shared" ref="X49:AD49" si="62">X40+X43+X46</f>
        <v>1916.4183859999998</v>
      </c>
      <c r="Y49">
        <f t="shared" si="62"/>
        <v>1979.1336600000002</v>
      </c>
      <c r="Z49">
        <f t="shared" si="62"/>
        <v>2073.3579600000003</v>
      </c>
      <c r="AA49">
        <f t="shared" si="62"/>
        <v>1928.1418760000001</v>
      </c>
      <c r="AB49">
        <f t="shared" si="62"/>
        <v>2044.904982</v>
      </c>
      <c r="AC49">
        <f t="shared" si="62"/>
        <v>0</v>
      </c>
      <c r="AD49">
        <f t="shared" si="62"/>
        <v>0</v>
      </c>
    </row>
    <row r="50" spans="1:30">
      <c r="A50" s="537" t="s">
        <v>426</v>
      </c>
      <c r="L50" s="542">
        <f>L19-L31-L49</f>
        <v>3339</v>
      </c>
      <c r="M50" s="542">
        <f>M19-M31-M49</f>
        <v>3598</v>
      </c>
      <c r="N50" s="542">
        <f>N19-N31-N49</f>
        <v>3756</v>
      </c>
      <c r="O50" s="542">
        <f ca="1">O19-O31-O49</f>
        <v>0</v>
      </c>
      <c r="P50" s="542">
        <f ca="1">P19-P31-P49</f>
        <v>0</v>
      </c>
      <c r="Q50" s="542">
        <v>540</v>
      </c>
      <c r="R50" s="542">
        <v>565</v>
      </c>
      <c r="S50" s="542">
        <v>567</v>
      </c>
      <c r="T50" s="542">
        <f>T19-T31-T49</f>
        <v>602.59392000000003</v>
      </c>
      <c r="U50" s="542">
        <v>684</v>
      </c>
      <c r="V50" s="542">
        <v>769</v>
      </c>
      <c r="W50" s="542">
        <v>774</v>
      </c>
      <c r="X50" s="542">
        <v>949</v>
      </c>
      <c r="Y50" s="542">
        <v>1134</v>
      </c>
      <c r="Z50" s="542">
        <v>1163</v>
      </c>
      <c r="AA50" s="542">
        <v>1319</v>
      </c>
      <c r="AB50" s="542">
        <v>1534</v>
      </c>
      <c r="AC50" s="542">
        <f>AC19-AC31-AC49</f>
        <v>3745.9940000000006</v>
      </c>
      <c r="AD50" s="542">
        <f>AD19-AD31-AD49</f>
        <v>0</v>
      </c>
    </row>
    <row r="51" spans="1:30">
      <c r="A51" s="537" t="s">
        <v>65</v>
      </c>
      <c r="L51">
        <f>1-(L49+L31)/L19</f>
        <v>1</v>
      </c>
      <c r="M51">
        <f t="shared" ref="M51:AD51" si="63">1-(M49+M31)/M19</f>
        <v>1</v>
      </c>
      <c r="N51">
        <f t="shared" si="63"/>
        <v>1</v>
      </c>
      <c r="O51" t="e">
        <f t="shared" ca="1" si="63"/>
        <v>#DIV/0!</v>
      </c>
      <c r="P51" t="e">
        <f t="shared" ca="1" si="63"/>
        <v>#DIV/0!</v>
      </c>
      <c r="Q51">
        <f t="shared" si="63"/>
        <v>0.49815362568071087</v>
      </c>
      <c r="R51">
        <f t="shared" si="63"/>
        <v>0.49874322169059015</v>
      </c>
      <c r="S51">
        <f t="shared" si="63"/>
        <v>0.49135996975044116</v>
      </c>
      <c r="T51">
        <f t="shared" si="63"/>
        <v>0.14368000000000003</v>
      </c>
      <c r="U51">
        <f t="shared" si="63"/>
        <v>0.15539899999999995</v>
      </c>
      <c r="V51">
        <f t="shared" si="63"/>
        <v>0.15931600000000001</v>
      </c>
      <c r="W51">
        <f t="shared" ca="1" si="63"/>
        <v>0.15931600000000001</v>
      </c>
      <c r="X51">
        <f t="shared" si="63"/>
        <v>0.18052042257415157</v>
      </c>
      <c r="Y51">
        <f t="shared" si="63"/>
        <v>0.19218052107522532</v>
      </c>
      <c r="Z51">
        <f t="shared" si="63"/>
        <v>0.16402215406676812</v>
      </c>
      <c r="AA51">
        <f t="shared" si="63"/>
        <v>0.19517078301486424</v>
      </c>
      <c r="AB51">
        <f t="shared" si="63"/>
        <v>0.20179781242731021</v>
      </c>
      <c r="AC51">
        <f t="shared" si="63"/>
        <v>0.47731829765545375</v>
      </c>
      <c r="AD51" t="e">
        <f t="shared" si="63"/>
        <v>#DIV/0!</v>
      </c>
    </row>
    <row r="53" spans="1:30">
      <c r="A53" t="s">
        <v>427</v>
      </c>
    </row>
    <row r="55" spans="1:30">
      <c r="A55" t="s">
        <v>428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D1889-B4DB-4E57-BA8F-F81F89877D33}">
  <dimension ref="A1:AL72"/>
  <sheetViews>
    <sheetView showGridLines="0" zoomScale="75" zoomScaleNormal="70" workbookViewId="0">
      <pane xSplit="3" ySplit="5" topLeftCell="H6" activePane="bottomRight" state="frozen"/>
      <selection pane="topRight" activeCell="D1" sqref="D1"/>
      <selection pane="bottomLeft" activeCell="A7" sqref="A7"/>
      <selection pane="bottomRight" activeCell="M34" sqref="M34"/>
    </sheetView>
  </sheetViews>
  <sheetFormatPr defaultColWidth="12.109375" defaultRowHeight="14.4" outlineLevelCol="1"/>
  <cols>
    <col min="1" max="1" width="0.77734375" customWidth="1"/>
    <col min="2" max="2" width="4.6640625" customWidth="1"/>
    <col min="3" max="3" width="34.6640625" customWidth="1"/>
    <col min="4" max="7" width="12.109375" hidden="1" customWidth="1" outlineLevel="1"/>
    <col min="8" max="8" width="12.109375" customWidth="1" collapsed="1"/>
    <col min="9" max="12" width="12.109375" hidden="1" customWidth="1" outlineLevel="1"/>
    <col min="13" max="13" width="12.109375" customWidth="1" collapsed="1"/>
    <col min="14" max="17" width="12.109375" hidden="1" customWidth="1" outlineLevel="1"/>
    <col min="18" max="18" width="12.109375" customWidth="1" collapsed="1"/>
    <col min="19" max="22" width="12.109375" hidden="1" customWidth="1" outlineLevel="1"/>
    <col min="23" max="23" width="12.109375" customWidth="1" collapsed="1"/>
    <col min="24" max="26" width="12.109375" customWidth="1"/>
    <col min="27" max="27" width="12.44140625" bestFit="1" customWidth="1"/>
    <col min="28" max="38" width="12.109375" customWidth="1"/>
  </cols>
  <sheetData>
    <row r="1" spans="1:37" ht="5.25" customHeight="1"/>
    <row r="2" spans="1:37" ht="5.25" customHeight="1"/>
    <row r="3" spans="1:37">
      <c r="B3" s="254"/>
      <c r="C3" s="262" t="s">
        <v>1</v>
      </c>
      <c r="D3" s="254" t="s">
        <v>30</v>
      </c>
      <c r="E3" s="254" t="s">
        <v>31</v>
      </c>
      <c r="F3" s="254" t="s">
        <v>32</v>
      </c>
      <c r="G3" s="254" t="s">
        <v>33</v>
      </c>
      <c r="H3" s="178" t="s">
        <v>356</v>
      </c>
      <c r="I3" s="254" t="s">
        <v>34</v>
      </c>
      <c r="J3" s="254" t="s">
        <v>35</v>
      </c>
      <c r="K3" s="254" t="s">
        <v>36</v>
      </c>
      <c r="L3" s="254" t="s">
        <v>37</v>
      </c>
      <c r="M3" s="178" t="s">
        <v>357</v>
      </c>
      <c r="N3" s="254" t="s">
        <v>38</v>
      </c>
      <c r="O3" s="254" t="s">
        <v>39</v>
      </c>
      <c r="P3" s="254" t="s">
        <v>40</v>
      </c>
      <c r="Q3" s="254" t="s">
        <v>41</v>
      </c>
      <c r="R3" s="178" t="s">
        <v>358</v>
      </c>
      <c r="S3" s="254" t="s">
        <v>173</v>
      </c>
      <c r="T3" s="255" t="s">
        <v>174</v>
      </c>
      <c r="U3" s="255" t="s">
        <v>175</v>
      </c>
      <c r="V3" s="255" t="s">
        <v>176</v>
      </c>
      <c r="W3" s="178" t="s">
        <v>341</v>
      </c>
      <c r="X3" s="178" t="s">
        <v>342</v>
      </c>
      <c r="Y3" s="178" t="s">
        <v>343</v>
      </c>
      <c r="Z3" s="178" t="s">
        <v>344</v>
      </c>
      <c r="AA3" s="178" t="s">
        <v>345</v>
      </c>
      <c r="AB3" s="178" t="s">
        <v>346</v>
      </c>
      <c r="AC3" s="178" t="s">
        <v>347</v>
      </c>
      <c r="AD3" s="178" t="s">
        <v>348</v>
      </c>
      <c r="AE3" s="178" t="s">
        <v>349</v>
      </c>
      <c r="AF3" s="178" t="s">
        <v>350</v>
      </c>
      <c r="AG3" s="178" t="s">
        <v>351</v>
      </c>
      <c r="AH3" s="178" t="s">
        <v>352</v>
      </c>
      <c r="AI3" s="178" t="s">
        <v>353</v>
      </c>
      <c r="AJ3" s="178" t="s">
        <v>354</v>
      </c>
      <c r="AK3" s="178" t="s">
        <v>355</v>
      </c>
    </row>
    <row r="4" spans="1:37">
      <c r="B4" s="198"/>
      <c r="C4" s="199" t="s">
        <v>42</v>
      </c>
      <c r="D4" s="200">
        <f>D11</f>
        <v>3.0409999999999999</v>
      </c>
      <c r="E4" s="200">
        <f>E11</f>
        <v>3.2839999999999998</v>
      </c>
      <c r="F4" s="200">
        <f>F11</f>
        <v>2.42</v>
      </c>
      <c r="G4" s="200">
        <f t="shared" ref="G4:AK4" si="0">G11</f>
        <v>6.6539999999999999</v>
      </c>
      <c r="H4" s="201">
        <f t="shared" si="0"/>
        <v>15.398999999999999</v>
      </c>
      <c r="I4" s="200">
        <f t="shared" si="0"/>
        <v>39.247</v>
      </c>
      <c r="J4" s="200">
        <f t="shared" si="0"/>
        <v>72.038000000000011</v>
      </c>
      <c r="K4" s="200">
        <f t="shared" si="0"/>
        <v>90.971000000000004</v>
      </c>
      <c r="L4" s="200">
        <f t="shared" si="0"/>
        <v>109.07600000000001</v>
      </c>
      <c r="M4" s="201">
        <f t="shared" si="0"/>
        <v>311.33199999999999</v>
      </c>
      <c r="N4" s="200">
        <f t="shared" si="0"/>
        <v>120.633</v>
      </c>
      <c r="O4" s="200">
        <f t="shared" si="0"/>
        <v>121.297</v>
      </c>
      <c r="P4" s="200">
        <f t="shared" si="0"/>
        <v>137.053</v>
      </c>
      <c r="Q4" s="200">
        <f t="shared" si="0"/>
        <v>148.22200000000001</v>
      </c>
      <c r="R4" s="201">
        <f t="shared" si="0"/>
        <v>527.20500000000004</v>
      </c>
      <c r="S4" s="200">
        <f t="shared" si="0"/>
        <v>152.46600000000001</v>
      </c>
      <c r="T4" s="200">
        <f t="shared" si="0"/>
        <v>0</v>
      </c>
      <c r="U4" s="200">
        <f t="shared" si="0"/>
        <v>0</v>
      </c>
      <c r="V4" s="200">
        <f t="shared" si="0"/>
        <v>0</v>
      </c>
      <c r="W4" s="201">
        <f t="shared" si="0"/>
        <v>652.21260628383368</v>
      </c>
      <c r="X4" s="201">
        <f t="shared" si="0"/>
        <v>744.47351451430302</v>
      </c>
      <c r="Y4" s="201">
        <f t="shared" si="0"/>
        <v>881.30706194362608</v>
      </c>
      <c r="Z4" s="201">
        <f t="shared" si="0"/>
        <v>1026.3204269714192</v>
      </c>
      <c r="AA4" s="201">
        <f t="shared" si="0"/>
        <v>1176.7441344158319</v>
      </c>
      <c r="AB4" s="201">
        <f t="shared" si="0"/>
        <v>1286.6492047247332</v>
      </c>
      <c r="AC4" s="201">
        <f t="shared" si="0"/>
        <v>1370.1216089743971</v>
      </c>
      <c r="AD4" s="201">
        <f t="shared" si="0"/>
        <v>1428.1295723712483</v>
      </c>
      <c r="AE4" s="201">
        <f t="shared" si="0"/>
        <v>1472.3756399806971</v>
      </c>
      <c r="AF4" s="201">
        <f t="shared" si="0"/>
        <v>1241.5915372730499</v>
      </c>
      <c r="AG4" s="201">
        <f t="shared" si="0"/>
        <v>1061.9677393772274</v>
      </c>
      <c r="AH4" s="201">
        <f t="shared" si="0"/>
        <v>976.34279282099465</v>
      </c>
      <c r="AI4" s="201">
        <f t="shared" si="0"/>
        <v>903.42371745859941</v>
      </c>
      <c r="AJ4" s="201">
        <f t="shared" si="0"/>
        <v>821.83812941503697</v>
      </c>
      <c r="AK4" s="201">
        <f t="shared" si="0"/>
        <v>764.07360844716641</v>
      </c>
    </row>
    <row r="5" spans="1:37">
      <c r="B5" s="202"/>
      <c r="C5" s="203" t="s">
        <v>43</v>
      </c>
      <c r="D5" s="204">
        <f>D31</f>
        <v>-0.20414575079646854</v>
      </c>
      <c r="E5" s="204">
        <f>E31</f>
        <v>-0.24675950266847213</v>
      </c>
      <c r="F5" s="204">
        <f>F31</f>
        <v>-0.23404199213599686</v>
      </c>
      <c r="G5" s="204">
        <f t="shared" ref="G5:AK5" si="1">G31</f>
        <v>-0.19621893914172972</v>
      </c>
      <c r="H5" s="205">
        <f t="shared" si="1"/>
        <v>-0.87939145490215309</v>
      </c>
      <c r="I5" s="204">
        <f t="shared" si="1"/>
        <v>-0.13537286756096839</v>
      </c>
      <c r="J5" s="204">
        <f t="shared" si="1"/>
        <v>0.21128936108204063</v>
      </c>
      <c r="K5" s="204">
        <f t="shared" si="1"/>
        <v>-3.6956743658763294E-2</v>
      </c>
      <c r="L5" s="204">
        <f t="shared" si="1"/>
        <v>-6.6978657366014452E-2</v>
      </c>
      <c r="M5" s="205">
        <f t="shared" si="1"/>
        <v>-2.4272027557995634E-2</v>
      </c>
      <c r="N5" s="204">
        <f t="shared" si="1"/>
        <v>-2.1306419210819931E-2</v>
      </c>
      <c r="O5" s="204">
        <f t="shared" si="1"/>
        <v>-2.7761134411823488E-2</v>
      </c>
      <c r="P5" s="204">
        <f t="shared" si="1"/>
        <v>-3.239068674740421E-2</v>
      </c>
      <c r="Q5" s="204">
        <f t="shared" si="1"/>
        <v>-7.7378676860996101E-2</v>
      </c>
      <c r="R5" s="205">
        <f t="shared" si="1"/>
        <v>-0.15902103217896102</v>
      </c>
      <c r="S5" s="204">
        <f t="shared" si="1"/>
        <v>-5.197772647305883E-2</v>
      </c>
      <c r="T5" s="204" t="e">
        <f>T31</f>
        <v>#DIV/0!</v>
      </c>
      <c r="U5" s="204" t="e">
        <f t="shared" si="1"/>
        <v>#DIV/0!</v>
      </c>
      <c r="V5" s="204" t="e">
        <f t="shared" si="1"/>
        <v>#DIV/0!</v>
      </c>
      <c r="W5" s="205">
        <f t="shared" si="1"/>
        <v>-0.10069431597956512</v>
      </c>
      <c r="X5" s="205">
        <f t="shared" si="1"/>
        <v>-1.7278878080047591E-2</v>
      </c>
      <c r="Y5" s="205">
        <f t="shared" si="1"/>
        <v>0.10353250799299499</v>
      </c>
      <c r="Z5" s="205">
        <f t="shared" si="1"/>
        <v>0.26696580956151811</v>
      </c>
      <c r="AA5" s="205">
        <f t="shared" si="1"/>
        <v>0.47387933167402535</v>
      </c>
      <c r="AB5" s="205">
        <f t="shared" si="1"/>
        <v>0.70148473124526067</v>
      </c>
      <c r="AC5" s="205">
        <f t="shared" si="1"/>
        <v>0.94217819382255175</v>
      </c>
      <c r="AD5" s="205">
        <f t="shared" si="1"/>
        <v>1.1854741286083168</v>
      </c>
      <c r="AE5" s="205">
        <f t="shared" si="1"/>
        <v>1.4318895127951969</v>
      </c>
      <c r="AF5" s="205">
        <f t="shared" si="1"/>
        <v>1.3839708765606735</v>
      </c>
      <c r="AG5" s="205">
        <f t="shared" si="1"/>
        <v>1.2731993239359805</v>
      </c>
      <c r="AH5" s="205">
        <f t="shared" si="1"/>
        <v>1.2528675192411634</v>
      </c>
      <c r="AI5" s="205">
        <f t="shared" si="1"/>
        <v>1.235471771227683</v>
      </c>
      <c r="AJ5" s="205">
        <f t="shared" si="1"/>
        <v>1.1931597169927251</v>
      </c>
      <c r="AK5" s="205">
        <f t="shared" si="1"/>
        <v>1.1737103777155282</v>
      </c>
    </row>
    <row r="6" spans="1:37">
      <c r="B6" s="206"/>
      <c r="C6" s="206"/>
      <c r="D6" s="206"/>
      <c r="E6" s="206"/>
      <c r="F6" s="206"/>
      <c r="G6" s="206"/>
      <c r="H6" s="206"/>
      <c r="I6" s="206"/>
      <c r="J6" s="206"/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  <c r="AG6" s="206"/>
      <c r="AH6" s="206"/>
      <c r="AI6" s="206"/>
      <c r="AJ6" s="206"/>
      <c r="AK6" s="206"/>
    </row>
    <row r="7" spans="1:37" s="259" customFormat="1">
      <c r="A7" s="256"/>
      <c r="B7" s="256"/>
      <c r="C7" s="257" t="s">
        <v>44</v>
      </c>
      <c r="D7" s="256"/>
      <c r="E7" s="256"/>
      <c r="F7" s="256"/>
      <c r="G7" s="256"/>
      <c r="H7" s="258"/>
      <c r="I7" s="258"/>
      <c r="J7" s="258"/>
      <c r="K7" s="258"/>
      <c r="L7" s="258"/>
      <c r="M7" s="258"/>
      <c r="N7" s="258"/>
      <c r="O7" s="258"/>
      <c r="P7" s="258"/>
      <c r="Q7" s="258"/>
      <c r="R7" s="258"/>
      <c r="S7" s="258"/>
      <c r="T7" s="258"/>
      <c r="U7" s="258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58"/>
      <c r="AK7" s="258"/>
    </row>
    <row r="8" spans="1:37">
      <c r="B8" s="207"/>
      <c r="C8" s="208"/>
      <c r="D8" s="209"/>
      <c r="E8" s="209"/>
      <c r="F8" s="209"/>
      <c r="G8" s="209"/>
      <c r="H8" s="210"/>
      <c r="I8" s="211"/>
      <c r="J8" s="211"/>
      <c r="K8" s="211"/>
      <c r="L8" s="211"/>
      <c r="M8" s="210"/>
      <c r="N8" s="211"/>
      <c r="O8" s="211"/>
      <c r="P8" s="211"/>
      <c r="Q8" s="211"/>
      <c r="R8" s="210"/>
      <c r="S8" s="211"/>
      <c r="T8" s="211"/>
      <c r="U8" s="211"/>
      <c r="V8" s="211"/>
      <c r="W8" s="210"/>
      <c r="X8" s="210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</row>
    <row r="9" spans="1:37">
      <c r="B9" s="206"/>
      <c r="C9" s="212" t="s">
        <v>45</v>
      </c>
      <c r="D9" s="213">
        <v>2.8119999999999998</v>
      </c>
      <c r="E9" s="213">
        <v>3.0939999999999999</v>
      </c>
      <c r="F9" s="213">
        <v>2.343</v>
      </c>
      <c r="G9" s="213">
        <v>6.617</v>
      </c>
      <c r="H9" s="214">
        <f>SUM(D9:G9)</f>
        <v>14.866</v>
      </c>
      <c r="I9" s="213">
        <v>38.973999999999997</v>
      </c>
      <c r="J9" s="213">
        <v>71.489000000000004</v>
      </c>
      <c r="K9" s="213">
        <v>90.849000000000004</v>
      </c>
      <c r="L9" s="213">
        <v>109.01900000000001</v>
      </c>
      <c r="M9" s="214">
        <f>SUM(I9:L9)</f>
        <v>310.33100000000002</v>
      </c>
      <c r="N9" s="213">
        <v>120.532</v>
      </c>
      <c r="O9" s="213">
        <v>121.23</v>
      </c>
      <c r="P9" s="213">
        <v>136.846</v>
      </c>
      <c r="Q9" s="213">
        <v>148.22200000000001</v>
      </c>
      <c r="R9" s="214">
        <f>SUM(N9:Q9)</f>
        <v>526.83000000000004</v>
      </c>
      <c r="S9" s="213">
        <v>152.44300000000001</v>
      </c>
      <c r="T9" s="215"/>
      <c r="U9" s="215"/>
      <c r="V9" s="215"/>
      <c r="W9" s="263">
        <v>651.66551068003321</v>
      </c>
      <c r="X9" s="263">
        <v>743.37959720765207</v>
      </c>
      <c r="Y9" s="264">
        <v>880.05706194362608</v>
      </c>
      <c r="Z9" s="264">
        <v>1025.0704269714192</v>
      </c>
      <c r="AA9" s="264">
        <v>1175.4941344158319</v>
      </c>
      <c r="AB9" s="264">
        <v>1285.3992047247332</v>
      </c>
      <c r="AC9" s="264">
        <v>1368.8716089743971</v>
      </c>
      <c r="AD9" s="264">
        <v>1426.8795723712483</v>
      </c>
      <c r="AE9" s="264">
        <v>1471.1256399806971</v>
      </c>
      <c r="AF9" s="264">
        <v>1240.3415372730499</v>
      </c>
      <c r="AG9" s="264">
        <v>1060.7177393772274</v>
      </c>
      <c r="AH9" s="264">
        <v>975.09279282099465</v>
      </c>
      <c r="AI9" s="264">
        <v>902.17371745859941</v>
      </c>
      <c r="AJ9" s="264">
        <v>820.58812941503697</v>
      </c>
      <c r="AK9" s="264">
        <v>762.82360844716641</v>
      </c>
    </row>
    <row r="10" spans="1:37" ht="15.6">
      <c r="B10" s="206"/>
      <c r="C10" s="212" t="s">
        <v>177</v>
      </c>
      <c r="D10" s="216">
        <v>0.22900000000000001</v>
      </c>
      <c r="E10" s="216">
        <v>0.19</v>
      </c>
      <c r="F10" s="216">
        <v>7.6999999999999999E-2</v>
      </c>
      <c r="G10" s="216">
        <v>3.6999999999999998E-2</v>
      </c>
      <c r="H10" s="217">
        <f>SUM(D10:G10)</f>
        <v>0.53300000000000003</v>
      </c>
      <c r="I10" s="216">
        <v>0.27300000000000002</v>
      </c>
      <c r="J10" s="216">
        <v>0.54900000000000004</v>
      </c>
      <c r="K10" s="216">
        <v>0.122</v>
      </c>
      <c r="L10" s="216">
        <v>5.7000000000000002E-2</v>
      </c>
      <c r="M10" s="217">
        <f>SUM(I10:L10)</f>
        <v>1.0010000000000001</v>
      </c>
      <c r="N10" s="216">
        <v>0.10100000000000001</v>
      </c>
      <c r="O10" s="216">
        <v>6.7000000000000004E-2</v>
      </c>
      <c r="P10" s="216">
        <v>0.20699999999999999</v>
      </c>
      <c r="Q10" s="216">
        <v>0</v>
      </c>
      <c r="R10" s="217">
        <f>SUM(N10:Q10)</f>
        <v>0.375</v>
      </c>
      <c r="S10" s="216">
        <v>2.3E-2</v>
      </c>
      <c r="T10" s="218"/>
      <c r="U10" s="218"/>
      <c r="V10" s="218"/>
      <c r="W10" s="265">
        <v>0.5470956038005218</v>
      </c>
      <c r="X10" s="265">
        <v>1.0939173066509131</v>
      </c>
      <c r="Y10" s="266">
        <v>1.25</v>
      </c>
      <c r="Z10" s="266">
        <v>1.25</v>
      </c>
      <c r="AA10" s="266">
        <v>1.25</v>
      </c>
      <c r="AB10" s="266">
        <v>1.25</v>
      </c>
      <c r="AC10" s="266">
        <v>1.25</v>
      </c>
      <c r="AD10" s="266">
        <v>1.25</v>
      </c>
      <c r="AE10" s="266">
        <v>1.25</v>
      </c>
      <c r="AF10" s="266">
        <v>1.25</v>
      </c>
      <c r="AG10" s="266">
        <v>1.25</v>
      </c>
      <c r="AH10" s="266">
        <v>1.25</v>
      </c>
      <c r="AI10" s="266">
        <v>1.25</v>
      </c>
      <c r="AJ10" s="266">
        <v>1.25</v>
      </c>
      <c r="AK10" s="266">
        <v>1.25</v>
      </c>
    </row>
    <row r="11" spans="1:37">
      <c r="B11" s="206"/>
      <c r="C11" s="206" t="s">
        <v>47</v>
      </c>
      <c r="D11" s="219">
        <f t="shared" ref="D11:S11" si="2">SUM(D9:D10)</f>
        <v>3.0409999999999999</v>
      </c>
      <c r="E11" s="219">
        <f t="shared" si="2"/>
        <v>3.2839999999999998</v>
      </c>
      <c r="F11" s="219">
        <f t="shared" si="2"/>
        <v>2.42</v>
      </c>
      <c r="G11" s="219">
        <f t="shared" si="2"/>
        <v>6.6539999999999999</v>
      </c>
      <c r="H11" s="220">
        <f t="shared" si="2"/>
        <v>15.398999999999999</v>
      </c>
      <c r="I11" s="219">
        <f t="shared" si="2"/>
        <v>39.247</v>
      </c>
      <c r="J11" s="219">
        <f t="shared" si="2"/>
        <v>72.038000000000011</v>
      </c>
      <c r="K11" s="219">
        <f t="shared" si="2"/>
        <v>90.971000000000004</v>
      </c>
      <c r="L11" s="219">
        <f t="shared" si="2"/>
        <v>109.07600000000001</v>
      </c>
      <c r="M11" s="220">
        <f t="shared" si="2"/>
        <v>311.33199999999999</v>
      </c>
      <c r="N11" s="219">
        <f t="shared" si="2"/>
        <v>120.633</v>
      </c>
      <c r="O11" s="219">
        <f t="shared" si="2"/>
        <v>121.297</v>
      </c>
      <c r="P11" s="219">
        <f t="shared" si="2"/>
        <v>137.053</v>
      </c>
      <c r="Q11" s="219">
        <f t="shared" si="2"/>
        <v>148.22200000000001</v>
      </c>
      <c r="R11" s="220">
        <f t="shared" si="2"/>
        <v>527.20500000000004</v>
      </c>
      <c r="S11" s="219">
        <f t="shared" si="2"/>
        <v>152.46600000000001</v>
      </c>
      <c r="T11" s="219"/>
      <c r="U11" s="219"/>
      <c r="V11" s="219"/>
      <c r="W11" s="30">
        <f>SUM(W9:W10)</f>
        <v>652.21260628383368</v>
      </c>
      <c r="X11" s="30">
        <f t="shared" ref="X11:AK11" si="3">SUM(X9:X10)</f>
        <v>744.47351451430302</v>
      </c>
      <c r="Y11" s="30">
        <f t="shared" si="3"/>
        <v>881.30706194362608</v>
      </c>
      <c r="Z11" s="30">
        <f t="shared" si="3"/>
        <v>1026.3204269714192</v>
      </c>
      <c r="AA11" s="30">
        <f t="shared" si="3"/>
        <v>1176.7441344158319</v>
      </c>
      <c r="AB11" s="30">
        <f t="shared" si="3"/>
        <v>1286.6492047247332</v>
      </c>
      <c r="AC11" s="30">
        <f t="shared" si="3"/>
        <v>1370.1216089743971</v>
      </c>
      <c r="AD11" s="30">
        <f t="shared" si="3"/>
        <v>1428.1295723712483</v>
      </c>
      <c r="AE11" s="30">
        <f t="shared" si="3"/>
        <v>1472.3756399806971</v>
      </c>
      <c r="AF11" s="30">
        <f t="shared" si="3"/>
        <v>1241.5915372730499</v>
      </c>
      <c r="AG11" s="30">
        <f t="shared" si="3"/>
        <v>1061.9677393772274</v>
      </c>
      <c r="AH11" s="30">
        <f t="shared" si="3"/>
        <v>976.34279282099465</v>
      </c>
      <c r="AI11" s="30">
        <f t="shared" si="3"/>
        <v>903.42371745859941</v>
      </c>
      <c r="AJ11" s="30">
        <f t="shared" si="3"/>
        <v>821.83812941503697</v>
      </c>
      <c r="AK11" s="30">
        <f t="shared" si="3"/>
        <v>764.07360844716641</v>
      </c>
    </row>
    <row r="12" spans="1:37" ht="15.6">
      <c r="B12" s="206"/>
      <c r="C12" s="212" t="s">
        <v>48</v>
      </c>
      <c r="D12" s="216">
        <v>1.625</v>
      </c>
      <c r="E12" s="216">
        <v>1.7909999999999999</v>
      </c>
      <c r="F12" s="216">
        <v>1.399</v>
      </c>
      <c r="G12" s="216">
        <v>1.829</v>
      </c>
      <c r="H12" s="217">
        <f>SUM(D12:G12)</f>
        <v>6.6439999999999992</v>
      </c>
      <c r="I12" s="216">
        <v>5.1310000000000002</v>
      </c>
      <c r="J12" s="216">
        <v>6.62</v>
      </c>
      <c r="K12" s="216">
        <v>8.15</v>
      </c>
      <c r="L12" s="216">
        <v>7.298</v>
      </c>
      <c r="M12" s="217">
        <f>SUM(I12:L12)</f>
        <v>27.199000000000005</v>
      </c>
      <c r="N12" s="216">
        <v>10.769</v>
      </c>
      <c r="O12" s="216">
        <v>8.7080000000000002</v>
      </c>
      <c r="P12" s="216">
        <v>7.6349999999999998</v>
      </c>
      <c r="Q12" s="216">
        <v>10.419</v>
      </c>
      <c r="R12" s="217">
        <f>SUM(N12:Q12)</f>
        <v>37.531000000000006</v>
      </c>
      <c r="S12" s="216">
        <v>11.807</v>
      </c>
      <c r="T12" s="221"/>
      <c r="U12" s="221"/>
      <c r="V12" s="221"/>
      <c r="W12" s="217">
        <f>W11-W13</f>
        <v>51.70479222516758</v>
      </c>
      <c r="X12" s="217">
        <f t="shared" ref="X12:AK12" si="4">X11-X13</f>
        <v>59.018865956035711</v>
      </c>
      <c r="Y12" s="217">
        <f t="shared" si="4"/>
        <v>69.866479251303531</v>
      </c>
      <c r="Z12" s="217">
        <f t="shared" si="4"/>
        <v>81.362555586527606</v>
      </c>
      <c r="AA12" s="217">
        <f t="shared" si="4"/>
        <v>93.287542108128264</v>
      </c>
      <c r="AB12" s="217">
        <f t="shared" si="4"/>
        <v>102.000374043703</v>
      </c>
      <c r="AC12" s="217">
        <f t="shared" si="4"/>
        <v>108.61773052636158</v>
      </c>
      <c r="AD12" s="217">
        <f t="shared" si="4"/>
        <v>113.21636855626525</v>
      </c>
      <c r="AE12" s="217">
        <f t="shared" si="4"/>
        <v>116.72401883852854</v>
      </c>
      <c r="AF12" s="217">
        <f t="shared" si="4"/>
        <v>98.42838339020409</v>
      </c>
      <c r="AG12" s="217">
        <f t="shared" si="4"/>
        <v>84.188531140465102</v>
      </c>
      <c r="AH12" s="217">
        <f t="shared" si="4"/>
        <v>77.400529761273106</v>
      </c>
      <c r="AI12" s="217">
        <f t="shared" si="4"/>
        <v>71.619798747277287</v>
      </c>
      <c r="AJ12" s="217">
        <f t="shared" si="4"/>
        <v>65.152021464657992</v>
      </c>
      <c r="AK12" s="217">
        <f t="shared" si="4"/>
        <v>60.572682571397877</v>
      </c>
    </row>
    <row r="13" spans="1:37">
      <c r="B13" s="206"/>
      <c r="C13" s="206" t="s">
        <v>0</v>
      </c>
      <c r="D13" s="222">
        <f t="shared" ref="D13:S13" si="5">D11-D12</f>
        <v>1.4159999999999999</v>
      </c>
      <c r="E13" s="222">
        <f t="shared" si="5"/>
        <v>1.4929999999999999</v>
      </c>
      <c r="F13" s="222">
        <f t="shared" si="5"/>
        <v>1.0209999999999999</v>
      </c>
      <c r="G13" s="222">
        <f t="shared" si="5"/>
        <v>4.8250000000000002</v>
      </c>
      <c r="H13" s="223">
        <f t="shared" si="5"/>
        <v>8.754999999999999</v>
      </c>
      <c r="I13" s="222">
        <f t="shared" si="5"/>
        <v>34.116</v>
      </c>
      <c r="J13" s="222">
        <f t="shared" si="5"/>
        <v>65.418000000000006</v>
      </c>
      <c r="K13" s="222">
        <f t="shared" si="5"/>
        <v>82.820999999999998</v>
      </c>
      <c r="L13" s="222">
        <f t="shared" si="5"/>
        <v>101.77800000000001</v>
      </c>
      <c r="M13" s="223">
        <f t="shared" si="5"/>
        <v>284.13299999999998</v>
      </c>
      <c r="N13" s="222">
        <f t="shared" si="5"/>
        <v>109.86399999999999</v>
      </c>
      <c r="O13" s="222">
        <f t="shared" si="5"/>
        <v>112.589</v>
      </c>
      <c r="P13" s="222">
        <f t="shared" si="5"/>
        <v>129.41800000000001</v>
      </c>
      <c r="Q13" s="222">
        <f t="shared" si="5"/>
        <v>137.803</v>
      </c>
      <c r="R13" s="223">
        <f t="shared" si="5"/>
        <v>489.67400000000004</v>
      </c>
      <c r="S13" s="222">
        <f t="shared" si="5"/>
        <v>140.65900000000002</v>
      </c>
      <c r="T13" s="222"/>
      <c r="U13" s="222"/>
      <c r="V13" s="222"/>
      <c r="W13" s="223">
        <f>W$11*W46</f>
        <v>600.5078140586661</v>
      </c>
      <c r="X13" s="223">
        <f t="shared" ref="X13:AK13" si="6">X$11*X46</f>
        <v>685.45464855826731</v>
      </c>
      <c r="Y13" s="223">
        <f t="shared" si="6"/>
        <v>811.44058269232255</v>
      </c>
      <c r="Z13" s="223">
        <f t="shared" si="6"/>
        <v>944.95787138489163</v>
      </c>
      <c r="AA13" s="223">
        <f t="shared" si="6"/>
        <v>1083.4565923077037</v>
      </c>
      <c r="AB13" s="223">
        <f t="shared" si="6"/>
        <v>1184.6488306810302</v>
      </c>
      <c r="AC13" s="223">
        <f t="shared" si="6"/>
        <v>1261.5038784480355</v>
      </c>
      <c r="AD13" s="223">
        <f t="shared" si="6"/>
        <v>1314.913203814983</v>
      </c>
      <c r="AE13" s="223">
        <f t="shared" si="6"/>
        <v>1355.6516211421686</v>
      </c>
      <c r="AF13" s="223">
        <f t="shared" si="6"/>
        <v>1143.1631538828458</v>
      </c>
      <c r="AG13" s="223">
        <f t="shared" si="6"/>
        <v>977.77920823676232</v>
      </c>
      <c r="AH13" s="223">
        <f t="shared" si="6"/>
        <v>898.94226305972154</v>
      </c>
      <c r="AI13" s="223">
        <f t="shared" si="6"/>
        <v>831.80391871132213</v>
      </c>
      <c r="AJ13" s="223">
        <f t="shared" si="6"/>
        <v>756.68610795037898</v>
      </c>
      <c r="AK13" s="223">
        <f t="shared" si="6"/>
        <v>703.50092587576853</v>
      </c>
    </row>
    <row r="14" spans="1:37">
      <c r="B14" s="206"/>
      <c r="C14" s="212" t="s">
        <v>50</v>
      </c>
      <c r="D14" s="213">
        <v>43.484999999999999</v>
      </c>
      <c r="E14" s="213">
        <v>45.113</v>
      </c>
      <c r="F14" s="213">
        <v>28.943000000000001</v>
      </c>
      <c r="G14" s="213">
        <v>29.085999999999999</v>
      </c>
      <c r="H14" s="214">
        <f t="shared" ref="H14:H23" si="7">SUM(D14:G14)</f>
        <v>146.62700000000001</v>
      </c>
      <c r="I14" s="213">
        <v>30.375</v>
      </c>
      <c r="J14" s="213">
        <v>32.466999999999999</v>
      </c>
      <c r="K14" s="213">
        <v>36.301000000000002</v>
      </c>
      <c r="L14" s="213">
        <v>43.534999999999997</v>
      </c>
      <c r="M14" s="214">
        <f t="shared" ref="M14:M23" si="8">SUM(I14:L14)</f>
        <v>142.678</v>
      </c>
      <c r="N14" s="213">
        <v>45.874000000000002</v>
      </c>
      <c r="O14" s="213">
        <v>45.734000000000002</v>
      </c>
      <c r="P14" s="213">
        <v>56.933999999999997</v>
      </c>
      <c r="Q14" s="213">
        <v>56.853999999999999</v>
      </c>
      <c r="R14" s="214">
        <f>SUM(N14:Q14)</f>
        <v>205.39600000000002</v>
      </c>
      <c r="S14" s="213">
        <v>60.634</v>
      </c>
      <c r="T14" s="224"/>
      <c r="U14" s="224"/>
      <c r="V14" s="224"/>
      <c r="W14" s="214">
        <f t="shared" ref="W14:AK14" si="9">W$11*W39</f>
        <v>241.05398381721898</v>
      </c>
      <c r="X14" s="214">
        <f t="shared" si="9"/>
        <v>260.26360830872102</v>
      </c>
      <c r="Y14" s="214">
        <f t="shared" si="9"/>
        <v>290.47367896634825</v>
      </c>
      <c r="Z14" s="214">
        <f t="shared" si="9"/>
        <v>317.74283165391876</v>
      </c>
      <c r="AA14" s="214">
        <f t="shared" si="9"/>
        <v>340.77825341945601</v>
      </c>
      <c r="AB14" s="214">
        <f t="shared" si="9"/>
        <v>346.87313810835042</v>
      </c>
      <c r="AC14" s="214">
        <f t="shared" si="9"/>
        <v>341.9743803579189</v>
      </c>
      <c r="AD14" s="214">
        <f t="shared" si="9"/>
        <v>327.89023900465173</v>
      </c>
      <c r="AE14" s="214">
        <f t="shared" si="9"/>
        <v>308.60136584400942</v>
      </c>
      <c r="AF14" s="214">
        <f t="shared" si="9"/>
        <v>235.39853018868877</v>
      </c>
      <c r="AG14" s="214">
        <f t="shared" si="9"/>
        <v>201.34290340465424</v>
      </c>
      <c r="AH14" s="214">
        <f t="shared" si="9"/>
        <v>185.1089118206817</v>
      </c>
      <c r="AI14" s="214">
        <f t="shared" si="9"/>
        <v>171.28387947491825</v>
      </c>
      <c r="AJ14" s="214">
        <f t="shared" si="9"/>
        <v>155.81572675843361</v>
      </c>
      <c r="AK14" s="214">
        <f t="shared" si="9"/>
        <v>144.86390973594047</v>
      </c>
    </row>
    <row r="15" spans="1:37">
      <c r="B15" s="206"/>
      <c r="C15" s="212" t="s">
        <v>49</v>
      </c>
      <c r="D15" s="213">
        <v>26.172999999999998</v>
      </c>
      <c r="E15" s="213">
        <v>37.786000000000001</v>
      </c>
      <c r="F15" s="213">
        <v>52.685000000000002</v>
      </c>
      <c r="G15" s="213">
        <v>49.082999999999998</v>
      </c>
      <c r="H15" s="214">
        <f t="shared" si="7"/>
        <v>165.727</v>
      </c>
      <c r="I15" s="213">
        <v>55.078000000000003</v>
      </c>
      <c r="J15" s="213">
        <v>62.273000000000003</v>
      </c>
      <c r="K15" s="213">
        <v>64.177999999999997</v>
      </c>
      <c r="L15" s="213">
        <v>78.350999999999999</v>
      </c>
      <c r="M15" s="214">
        <f t="shared" si="8"/>
        <v>259.88</v>
      </c>
      <c r="N15" s="213">
        <v>71.183000000000007</v>
      </c>
      <c r="O15" s="213">
        <v>75.894000000000005</v>
      </c>
      <c r="P15" s="213">
        <v>85.204999999999998</v>
      </c>
      <c r="Q15" s="213">
        <v>103.761</v>
      </c>
      <c r="R15" s="214">
        <f>SUM(N15:Q15)</f>
        <v>336.04300000000001</v>
      </c>
      <c r="S15" s="213">
        <v>101.05200000000001</v>
      </c>
      <c r="T15" s="224"/>
      <c r="U15" s="224"/>
      <c r="V15" s="224"/>
      <c r="W15" s="214">
        <f t="shared" ref="W15:AK15" si="10">W$11*W41</f>
        <v>396.70472034816436</v>
      </c>
      <c r="X15" s="214">
        <f t="shared" si="10"/>
        <v>431.11282275154116</v>
      </c>
      <c r="Y15" s="214">
        <f t="shared" si="10"/>
        <v>484.65176695413948</v>
      </c>
      <c r="Z15" s="214">
        <f t="shared" si="10"/>
        <v>534.47024164660752</v>
      </c>
      <c r="AA15" s="214">
        <f t="shared" si="10"/>
        <v>578.49118565512993</v>
      </c>
      <c r="AB15" s="214">
        <f t="shared" si="10"/>
        <v>595.00176732037869</v>
      </c>
      <c r="AC15" s="214">
        <f t="shared" si="10"/>
        <v>593.6498015964379</v>
      </c>
      <c r="AD15" s="214">
        <f t="shared" si="10"/>
        <v>577.1389248510709</v>
      </c>
      <c r="AE15" s="214">
        <f t="shared" si="10"/>
        <v>552.08479962734805</v>
      </c>
      <c r="AF15" s="214">
        <f t="shared" si="10"/>
        <v>429.34434203207633</v>
      </c>
      <c r="AG15" s="214">
        <f t="shared" si="10"/>
        <v>336.2628256128807</v>
      </c>
      <c r="AH15" s="214">
        <f t="shared" si="10"/>
        <v>280.6799642641094</v>
      </c>
      <c r="AI15" s="214">
        <f t="shared" si="10"/>
        <v>233.37299343709523</v>
      </c>
      <c r="AJ15" s="214">
        <f t="shared" si="10"/>
        <v>188.33268897603128</v>
      </c>
      <c r="AK15" s="214">
        <f t="shared" si="10"/>
        <v>152.8147216894333</v>
      </c>
    </row>
    <row r="16" spans="1:37" ht="15.6">
      <c r="B16" s="206"/>
      <c r="C16" s="212" t="s">
        <v>51</v>
      </c>
      <c r="D16" s="216">
        <v>0</v>
      </c>
      <c r="E16" s="216">
        <v>0</v>
      </c>
      <c r="F16" s="216">
        <v>0</v>
      </c>
      <c r="G16" s="216">
        <v>0</v>
      </c>
      <c r="H16" s="217">
        <f t="shared" si="7"/>
        <v>0</v>
      </c>
      <c r="I16" s="216">
        <v>0</v>
      </c>
      <c r="J16" s="216">
        <v>0</v>
      </c>
      <c r="K16" s="216">
        <v>0</v>
      </c>
      <c r="L16" s="216">
        <v>0</v>
      </c>
      <c r="M16" s="217">
        <f t="shared" si="8"/>
        <v>0</v>
      </c>
      <c r="N16" s="216">
        <v>0</v>
      </c>
      <c r="O16" s="216">
        <v>0</v>
      </c>
      <c r="P16" s="216">
        <v>0</v>
      </c>
      <c r="Q16" s="216">
        <v>0</v>
      </c>
      <c r="R16" s="217">
        <f t="shared" ref="R16:R23" si="11">SUM(N16:Q16)</f>
        <v>0</v>
      </c>
      <c r="S16" s="216">
        <v>0</v>
      </c>
      <c r="T16" s="225"/>
      <c r="U16" s="225"/>
      <c r="V16" s="225"/>
      <c r="W16" s="217">
        <v>0</v>
      </c>
      <c r="X16" s="217">
        <v>0</v>
      </c>
      <c r="Y16" s="217">
        <v>0</v>
      </c>
      <c r="Z16" s="217">
        <v>0</v>
      </c>
      <c r="AA16" s="217">
        <v>0</v>
      </c>
      <c r="AB16" s="217">
        <v>0</v>
      </c>
      <c r="AC16" s="217">
        <v>0</v>
      </c>
      <c r="AD16" s="217">
        <v>0</v>
      </c>
      <c r="AE16" s="217">
        <v>0</v>
      </c>
      <c r="AF16" s="217">
        <v>0</v>
      </c>
      <c r="AG16" s="217">
        <v>0</v>
      </c>
      <c r="AH16" s="217">
        <v>0</v>
      </c>
      <c r="AI16" s="217">
        <v>0</v>
      </c>
      <c r="AJ16" s="217">
        <v>0</v>
      </c>
      <c r="AK16" s="217">
        <v>0</v>
      </c>
    </row>
    <row r="17" spans="2:37">
      <c r="B17" s="206"/>
      <c r="C17" s="206" t="s">
        <v>52</v>
      </c>
      <c r="D17" s="219">
        <f t="shared" ref="D17:M17" si="12">D13-SUM(D14:D16)</f>
        <v>-68.242000000000004</v>
      </c>
      <c r="E17" s="219">
        <f t="shared" si="12"/>
        <v>-81.406000000000006</v>
      </c>
      <c r="F17" s="219">
        <f t="shared" si="12"/>
        <v>-80.606999999999999</v>
      </c>
      <c r="G17" s="219">
        <f t="shared" si="12"/>
        <v>-73.343999999999994</v>
      </c>
      <c r="H17" s="220">
        <f t="shared" si="12"/>
        <v>-303.59900000000005</v>
      </c>
      <c r="I17" s="219">
        <f t="shared" si="12"/>
        <v>-51.337000000000003</v>
      </c>
      <c r="J17" s="219">
        <f t="shared" si="12"/>
        <v>-29.322000000000003</v>
      </c>
      <c r="K17" s="219">
        <f t="shared" si="12"/>
        <v>-17.658000000000001</v>
      </c>
      <c r="L17" s="219">
        <f t="shared" si="12"/>
        <v>-20.10799999999999</v>
      </c>
      <c r="M17" s="220">
        <f t="shared" si="12"/>
        <v>-118.42500000000001</v>
      </c>
      <c r="N17" s="219">
        <f t="shared" ref="N17:AK17" si="13">N13-SUM(N14:N16)</f>
        <v>-7.1930000000000263</v>
      </c>
      <c r="O17" s="219">
        <f t="shared" si="13"/>
        <v>-9.0390000000000157</v>
      </c>
      <c r="P17" s="219">
        <f t="shared" si="13"/>
        <v>-12.721000000000004</v>
      </c>
      <c r="Q17" s="219">
        <f t="shared" si="13"/>
        <v>-22.812000000000012</v>
      </c>
      <c r="R17" s="220">
        <f t="shared" si="13"/>
        <v>-51.765000000000043</v>
      </c>
      <c r="S17" s="220">
        <f t="shared" si="13"/>
        <v>-21.026999999999987</v>
      </c>
      <c r="T17" s="220">
        <f t="shared" si="13"/>
        <v>0</v>
      </c>
      <c r="U17" s="220">
        <f t="shared" si="13"/>
        <v>0</v>
      </c>
      <c r="V17" s="220">
        <f t="shared" si="13"/>
        <v>0</v>
      </c>
      <c r="W17" s="220">
        <f t="shared" si="13"/>
        <v>-37.250890106717179</v>
      </c>
      <c r="X17" s="220">
        <f t="shared" si="13"/>
        <v>-5.9217825019948123</v>
      </c>
      <c r="Y17" s="220">
        <f t="shared" si="13"/>
        <v>36.315136771834887</v>
      </c>
      <c r="Z17" s="220">
        <f t="shared" si="13"/>
        <v>92.744798084365357</v>
      </c>
      <c r="AA17" s="220">
        <f t="shared" si="13"/>
        <v>164.18715323311767</v>
      </c>
      <c r="AB17" s="220">
        <f t="shared" si="13"/>
        <v>242.77392525230107</v>
      </c>
      <c r="AC17" s="220">
        <f t="shared" si="13"/>
        <v>325.87969649367869</v>
      </c>
      <c r="AD17" s="220">
        <f t="shared" si="13"/>
        <v>409.88403995926046</v>
      </c>
      <c r="AE17" s="220">
        <f t="shared" si="13"/>
        <v>494.96545567081102</v>
      </c>
      <c r="AF17" s="220">
        <f t="shared" si="13"/>
        <v>478.4202816620807</v>
      </c>
      <c r="AG17" s="220">
        <f t="shared" si="13"/>
        <v>440.17347921922737</v>
      </c>
      <c r="AH17" s="220">
        <f t="shared" si="13"/>
        <v>433.15338697493041</v>
      </c>
      <c r="AI17" s="220">
        <f t="shared" si="13"/>
        <v>427.14704579930867</v>
      </c>
      <c r="AJ17" s="220">
        <f t="shared" si="13"/>
        <v>412.53769221591409</v>
      </c>
      <c r="AK17" s="220">
        <f t="shared" si="13"/>
        <v>405.82229445039479</v>
      </c>
    </row>
    <row r="18" spans="2:37">
      <c r="B18" s="206"/>
      <c r="C18" s="212" t="s">
        <v>53</v>
      </c>
      <c r="D18" s="213">
        <v>0.75900000000000001</v>
      </c>
      <c r="E18" s="213">
        <v>0.999</v>
      </c>
      <c r="F18" s="213">
        <v>1.2829999999999999</v>
      </c>
      <c r="G18" s="213">
        <v>2.4489999999999998</v>
      </c>
      <c r="H18" s="214">
        <f t="shared" si="7"/>
        <v>5.49</v>
      </c>
      <c r="I18" s="213">
        <v>2.0870000000000002</v>
      </c>
      <c r="J18" s="213">
        <v>2.31</v>
      </c>
      <c r="K18" s="213">
        <v>2.2490000000000001</v>
      </c>
      <c r="L18" s="213">
        <v>1.8180000000000001</v>
      </c>
      <c r="M18" s="214">
        <f t="shared" si="8"/>
        <v>8.4640000000000004</v>
      </c>
      <c r="N18" s="213">
        <v>1.2689999999999999</v>
      </c>
      <c r="O18" s="213">
        <v>-9.0389999999999997</v>
      </c>
      <c r="P18" s="213">
        <v>0.20799999999999999</v>
      </c>
      <c r="Q18" s="213">
        <v>8.6999999999999994E-2</v>
      </c>
      <c r="R18" s="214">
        <f t="shared" si="11"/>
        <v>-7.4749999999999996</v>
      </c>
      <c r="S18" s="213">
        <v>0.14599999999999999</v>
      </c>
      <c r="T18" s="213"/>
      <c r="U18" s="213"/>
      <c r="V18" s="213"/>
      <c r="W18" s="214">
        <v>0</v>
      </c>
      <c r="X18" s="214">
        <f>W18</f>
        <v>0</v>
      </c>
      <c r="Y18" s="226">
        <f>X18</f>
        <v>0</v>
      </c>
      <c r="Z18" s="226">
        <f t="shared" ref="Z18:AK18" si="14">Y18</f>
        <v>0</v>
      </c>
      <c r="AA18" s="226">
        <f t="shared" si="14"/>
        <v>0</v>
      </c>
      <c r="AB18" s="226">
        <f t="shared" si="14"/>
        <v>0</v>
      </c>
      <c r="AC18" s="226">
        <f t="shared" si="14"/>
        <v>0</v>
      </c>
      <c r="AD18" s="226">
        <f t="shared" si="14"/>
        <v>0</v>
      </c>
      <c r="AE18" s="226">
        <f t="shared" si="14"/>
        <v>0</v>
      </c>
      <c r="AF18" s="226">
        <f t="shared" si="14"/>
        <v>0</v>
      </c>
      <c r="AG18" s="226">
        <f t="shared" si="14"/>
        <v>0</v>
      </c>
      <c r="AH18" s="226">
        <f t="shared" si="14"/>
        <v>0</v>
      </c>
      <c r="AI18" s="226">
        <f t="shared" si="14"/>
        <v>0</v>
      </c>
      <c r="AJ18" s="226">
        <f t="shared" si="14"/>
        <v>0</v>
      </c>
      <c r="AK18" s="226">
        <f t="shared" si="14"/>
        <v>0</v>
      </c>
    </row>
    <row r="19" spans="2:37">
      <c r="B19" s="206"/>
      <c r="C19" s="212" t="s">
        <v>178</v>
      </c>
      <c r="D19" s="213">
        <v>-0.32500000000000001</v>
      </c>
      <c r="E19" s="213">
        <v>-0.313</v>
      </c>
      <c r="F19" s="213">
        <v>-0.29699999999999999</v>
      </c>
      <c r="G19" s="213">
        <v>-0.29499999999999998</v>
      </c>
      <c r="H19" s="214">
        <f t="shared" si="7"/>
        <v>-1.23</v>
      </c>
      <c r="I19" s="213">
        <v>-0.26500000000000001</v>
      </c>
      <c r="J19" s="213">
        <v>-0.26800000000000002</v>
      </c>
      <c r="K19" s="213">
        <v>-0.27200000000000002</v>
      </c>
      <c r="L19" s="213">
        <v>-0.28199999999999997</v>
      </c>
      <c r="M19" s="214">
        <f t="shared" si="8"/>
        <v>-1.087</v>
      </c>
      <c r="N19" s="213">
        <v>-0.28399999999999997</v>
      </c>
      <c r="O19" s="213">
        <v>0.25</v>
      </c>
      <c r="P19" s="213">
        <v>-0.26900000000000002</v>
      </c>
      <c r="Q19" s="213">
        <f>-0.271</f>
        <v>-0.27100000000000002</v>
      </c>
      <c r="R19" s="214">
        <f t="shared" si="11"/>
        <v>-0.57400000000000007</v>
      </c>
      <c r="S19" s="213">
        <f>-0.286</f>
        <v>-0.28599999999999998</v>
      </c>
      <c r="T19" s="213"/>
      <c r="U19" s="213"/>
      <c r="V19" s="213"/>
      <c r="W19" s="214">
        <f>W55*AVERAGE(W54,R54)*-1</f>
        <v>-0.56780556815090233</v>
      </c>
      <c r="X19" s="214">
        <f>X55*AVERAGE(X54,W54)*-1</f>
        <v>-0.56780556815090233</v>
      </c>
      <c r="Y19" s="214">
        <f>Y55*AVERAGE(Y54,X54)*-1</f>
        <v>-0.56780556815090233</v>
      </c>
      <c r="Z19" s="214">
        <f t="shared" ref="Z19:AK19" si="15">Z55*AVERAGE(Z54,Y54)*-1</f>
        <v>-0.56780556815090233</v>
      </c>
      <c r="AA19" s="214">
        <f t="shared" si="15"/>
        <v>-0.56780556815090233</v>
      </c>
      <c r="AB19" s="214">
        <f t="shared" si="15"/>
        <v>-0.56780556815090233</v>
      </c>
      <c r="AC19" s="214">
        <f t="shared" si="15"/>
        <v>-0.56780556815090233</v>
      </c>
      <c r="AD19" s="214">
        <f t="shared" si="15"/>
        <v>-0.56780556815090233</v>
      </c>
      <c r="AE19" s="214">
        <f t="shared" si="15"/>
        <v>-0.56780556815090233</v>
      </c>
      <c r="AF19" s="214">
        <f t="shared" si="15"/>
        <v>-0.56780556815090233</v>
      </c>
      <c r="AG19" s="214">
        <f t="shared" si="15"/>
        <v>-0.56780556815090233</v>
      </c>
      <c r="AH19" s="214">
        <f t="shared" si="15"/>
        <v>-0.56780556815090233</v>
      </c>
      <c r="AI19" s="214">
        <f t="shared" si="15"/>
        <v>-0.56780556815090233</v>
      </c>
      <c r="AJ19" s="214">
        <f t="shared" si="15"/>
        <v>-0.56780556815090233</v>
      </c>
      <c r="AK19" s="214">
        <f t="shared" si="15"/>
        <v>-0.56780556815090233</v>
      </c>
    </row>
    <row r="20" spans="2:37">
      <c r="B20" s="206"/>
      <c r="C20" s="212" t="s">
        <v>55</v>
      </c>
      <c r="D20" s="213">
        <v>0</v>
      </c>
      <c r="E20" s="213">
        <v>0</v>
      </c>
      <c r="F20" s="213">
        <v>0</v>
      </c>
      <c r="G20" s="213">
        <v>0</v>
      </c>
      <c r="H20" s="214">
        <f t="shared" si="7"/>
        <v>0</v>
      </c>
      <c r="I20" s="213">
        <v>0</v>
      </c>
      <c r="J20" s="213">
        <v>104.117</v>
      </c>
      <c r="K20" s="213" t="s">
        <v>179</v>
      </c>
      <c r="L20" s="213">
        <v>0</v>
      </c>
      <c r="M20" s="214">
        <f t="shared" si="8"/>
        <v>104.117</v>
      </c>
      <c r="N20" s="213">
        <v>0</v>
      </c>
      <c r="O20" s="213">
        <v>-0.29699999999999999</v>
      </c>
      <c r="P20" s="213">
        <v>0</v>
      </c>
      <c r="Q20" s="213">
        <v>0</v>
      </c>
      <c r="R20" s="214">
        <f t="shared" si="11"/>
        <v>-0.29699999999999999</v>
      </c>
      <c r="S20" s="213">
        <v>0</v>
      </c>
      <c r="T20" s="213"/>
      <c r="U20" s="213"/>
      <c r="V20" s="213"/>
      <c r="W20" s="214">
        <v>0</v>
      </c>
      <c r="X20" s="214">
        <v>0</v>
      </c>
      <c r="Y20" s="214">
        <v>0</v>
      </c>
      <c r="Z20" s="214">
        <v>0</v>
      </c>
      <c r="AA20" s="214">
        <v>0</v>
      </c>
      <c r="AB20" s="214">
        <v>0</v>
      </c>
      <c r="AC20" s="214">
        <v>0</v>
      </c>
      <c r="AD20" s="214">
        <v>0</v>
      </c>
      <c r="AE20" s="214">
        <v>0</v>
      </c>
      <c r="AF20" s="214">
        <v>0</v>
      </c>
      <c r="AG20" s="214">
        <v>0</v>
      </c>
      <c r="AH20" s="214">
        <v>0</v>
      </c>
      <c r="AI20" s="214">
        <v>0</v>
      </c>
      <c r="AJ20" s="214">
        <v>0</v>
      </c>
      <c r="AK20" s="214">
        <v>0</v>
      </c>
    </row>
    <row r="21" spans="2:37" ht="15.6">
      <c r="B21" s="206"/>
      <c r="C21" s="212" t="s">
        <v>180</v>
      </c>
      <c r="D21" s="216">
        <v>-0.64</v>
      </c>
      <c r="E21" s="216">
        <v>-3.66</v>
      </c>
      <c r="F21" s="216">
        <v>-0.82299999999999995</v>
      </c>
      <c r="G21" s="216">
        <v>-0.98199999999999998</v>
      </c>
      <c r="H21" s="217">
        <f t="shared" si="7"/>
        <v>-6.1049999999999995</v>
      </c>
      <c r="I21" s="216">
        <v>-1.1140000000000001</v>
      </c>
      <c r="J21" s="216">
        <v>2.0259999999999998</v>
      </c>
      <c r="K21" s="216">
        <v>1.889</v>
      </c>
      <c r="L21" s="216">
        <v>-5.0730000000000004</v>
      </c>
      <c r="M21" s="217">
        <f t="shared" si="8"/>
        <v>-2.2720000000000007</v>
      </c>
      <c r="N21" s="216">
        <v>-0.02</v>
      </c>
      <c r="O21" s="216">
        <v>0</v>
      </c>
      <c r="P21" s="216">
        <v>-1.796</v>
      </c>
      <c r="Q21" s="216">
        <f>-3.544</f>
        <v>-3.544</v>
      </c>
      <c r="R21" s="217">
        <f t="shared" si="11"/>
        <v>-5.36</v>
      </c>
      <c r="S21" s="216">
        <f>-0.573</f>
        <v>-0.57299999999999995</v>
      </c>
      <c r="T21" s="216"/>
      <c r="U21" s="216"/>
      <c r="V21" s="216"/>
      <c r="W21" s="217">
        <v>0</v>
      </c>
      <c r="X21" s="217">
        <v>0</v>
      </c>
      <c r="Y21" s="217">
        <v>0</v>
      </c>
      <c r="Z21" s="217">
        <v>0</v>
      </c>
      <c r="AA21" s="217">
        <v>0</v>
      </c>
      <c r="AB21" s="217">
        <v>0</v>
      </c>
      <c r="AC21" s="217">
        <v>0</v>
      </c>
      <c r="AD21" s="217">
        <v>0</v>
      </c>
      <c r="AE21" s="217">
        <v>0</v>
      </c>
      <c r="AF21" s="217">
        <v>0</v>
      </c>
      <c r="AG21" s="217">
        <v>0</v>
      </c>
      <c r="AH21" s="217">
        <v>0</v>
      </c>
      <c r="AI21" s="217">
        <v>0</v>
      </c>
      <c r="AJ21" s="217">
        <v>0</v>
      </c>
      <c r="AK21" s="217">
        <v>0</v>
      </c>
    </row>
    <row r="22" spans="2:37">
      <c r="B22" s="206"/>
      <c r="C22" s="228" t="s">
        <v>56</v>
      </c>
      <c r="D22" s="219">
        <f>D17+SUM(D18:D21)</f>
        <v>-68.448000000000008</v>
      </c>
      <c r="E22" s="219">
        <f>E17+SUM(E18:E21)</f>
        <v>-84.38000000000001</v>
      </c>
      <c r="F22" s="219">
        <f>F17+SUM(F18:F21)</f>
        <v>-80.444000000000003</v>
      </c>
      <c r="G22" s="219">
        <f>G17+SUM(G18:G21)</f>
        <v>-72.171999999999997</v>
      </c>
      <c r="H22" s="220">
        <f t="shared" ref="H22:AK22" si="16">H17+SUM(H18:H21)</f>
        <v>-305.44400000000007</v>
      </c>
      <c r="I22" s="219">
        <f t="shared" si="16"/>
        <v>-50.629000000000005</v>
      </c>
      <c r="J22" s="219">
        <f t="shared" si="16"/>
        <v>78.863</v>
      </c>
      <c r="K22" s="219">
        <f t="shared" si="16"/>
        <v>-13.792000000000002</v>
      </c>
      <c r="L22" s="219">
        <f t="shared" si="16"/>
        <v>-23.644999999999989</v>
      </c>
      <c r="M22" s="220">
        <f t="shared" si="16"/>
        <v>-9.2030000000000172</v>
      </c>
      <c r="N22" s="219">
        <f t="shared" si="16"/>
        <v>-6.2280000000000264</v>
      </c>
      <c r="O22" s="219">
        <f t="shared" si="16"/>
        <v>-18.125000000000014</v>
      </c>
      <c r="P22" s="219">
        <f t="shared" si="16"/>
        <v>-14.578000000000003</v>
      </c>
      <c r="Q22" s="219">
        <f t="shared" si="16"/>
        <v>-26.540000000000013</v>
      </c>
      <c r="R22" s="220">
        <f t="shared" si="16"/>
        <v>-65.471000000000046</v>
      </c>
      <c r="S22" s="220">
        <f t="shared" si="16"/>
        <v>-21.739999999999988</v>
      </c>
      <c r="T22" s="220">
        <f t="shared" si="16"/>
        <v>0</v>
      </c>
      <c r="U22" s="220">
        <f t="shared" si="16"/>
        <v>0</v>
      </c>
      <c r="V22" s="220">
        <f t="shared" si="16"/>
        <v>0</v>
      </c>
      <c r="W22" s="220">
        <f t="shared" si="16"/>
        <v>-37.818695674868081</v>
      </c>
      <c r="X22" s="220">
        <f t="shared" si="16"/>
        <v>-6.4895880701457145</v>
      </c>
      <c r="Y22" s="220">
        <f t="shared" si="16"/>
        <v>35.747331203683984</v>
      </c>
      <c r="Z22" s="220">
        <f t="shared" si="16"/>
        <v>92.176992516214455</v>
      </c>
      <c r="AA22" s="220">
        <f t="shared" si="16"/>
        <v>163.61934766496677</v>
      </c>
      <c r="AB22" s="220">
        <f t="shared" si="16"/>
        <v>242.20611968415017</v>
      </c>
      <c r="AC22" s="220">
        <f t="shared" si="16"/>
        <v>325.31189092552779</v>
      </c>
      <c r="AD22" s="220">
        <f t="shared" si="16"/>
        <v>409.31623439110956</v>
      </c>
      <c r="AE22" s="220">
        <f t="shared" si="16"/>
        <v>494.39765010266012</v>
      </c>
      <c r="AF22" s="220">
        <f t="shared" si="16"/>
        <v>477.85247609392979</v>
      </c>
      <c r="AG22" s="220">
        <f t="shared" si="16"/>
        <v>439.60567365107647</v>
      </c>
      <c r="AH22" s="220">
        <f t="shared" si="16"/>
        <v>432.58558140677951</v>
      </c>
      <c r="AI22" s="220">
        <f t="shared" si="16"/>
        <v>426.57924023115777</v>
      </c>
      <c r="AJ22" s="220">
        <f t="shared" si="16"/>
        <v>411.96988664776319</v>
      </c>
      <c r="AK22" s="220">
        <f t="shared" si="16"/>
        <v>405.25448888224389</v>
      </c>
    </row>
    <row r="23" spans="2:37" ht="15.6">
      <c r="B23" s="206"/>
      <c r="C23" s="212" t="s">
        <v>57</v>
      </c>
      <c r="D23" s="216">
        <v>1.0129999999999999</v>
      </c>
      <c r="E23" s="216">
        <v>-0.36899999999999999</v>
      </c>
      <c r="F23" s="216">
        <v>-0.56499999999999995</v>
      </c>
      <c r="G23" s="216">
        <v>-0.26600000000000001</v>
      </c>
      <c r="H23" s="217">
        <f t="shared" si="7"/>
        <v>-0.18700000000000006</v>
      </c>
      <c r="I23" s="216">
        <v>-0.56499999999999995</v>
      </c>
      <c r="J23" s="216">
        <v>-0.88500000000000001</v>
      </c>
      <c r="K23" s="216">
        <v>-3.5000000000000003E-2</v>
      </c>
      <c r="L23" s="216">
        <v>1.3009999999999999</v>
      </c>
      <c r="M23" s="217">
        <f t="shared" si="8"/>
        <v>-0.18399999999999994</v>
      </c>
      <c r="N23" s="216">
        <v>1.7370000000000001</v>
      </c>
      <c r="O23" s="216">
        <v>-7.7</v>
      </c>
      <c r="P23" s="216">
        <v>-2.39</v>
      </c>
      <c r="Q23" s="216">
        <v>2.6070000000000002</v>
      </c>
      <c r="R23" s="217">
        <f t="shared" si="11"/>
        <v>-5.7459999999999996</v>
      </c>
      <c r="S23" s="217">
        <f>-2.063</f>
        <v>-2.0630000000000002</v>
      </c>
      <c r="T23" s="217"/>
      <c r="U23" s="217"/>
      <c r="V23" s="217"/>
      <c r="W23" s="217">
        <f>IF(W22&lt;0,0,W22*W43*-1)</f>
        <v>0</v>
      </c>
      <c r="X23" s="217">
        <f t="shared" ref="X23:AK23" si="17">IF(X22&lt;0,0,X22*X43*-1)</f>
        <v>0</v>
      </c>
      <c r="Y23" s="217">
        <f t="shared" si="17"/>
        <v>-3.1373304989440824</v>
      </c>
      <c r="Z23" s="217">
        <f t="shared" si="17"/>
        <v>-8.0898260145433536</v>
      </c>
      <c r="AA23" s="217">
        <f t="shared" si="17"/>
        <v>-14.359896315664926</v>
      </c>
      <c r="AB23" s="217">
        <f t="shared" si="17"/>
        <v>-21.256989563396402</v>
      </c>
      <c r="AC23" s="217">
        <f t="shared" si="17"/>
        <v>-28.550688476700849</v>
      </c>
      <c r="AD23" s="217">
        <f t="shared" si="17"/>
        <v>-35.923249726005615</v>
      </c>
      <c r="AE23" s="217">
        <f t="shared" si="17"/>
        <v>-43.390339195825369</v>
      </c>
      <c r="AF23" s="217">
        <f t="shared" si="17"/>
        <v>-41.938267746570524</v>
      </c>
      <c r="AG23" s="217">
        <f t="shared" si="17"/>
        <v>-38.581573533306099</v>
      </c>
      <c r="AH23" s="217">
        <f t="shared" si="17"/>
        <v>-37.965461819177243</v>
      </c>
      <c r="AI23" s="217">
        <f t="shared" si="17"/>
        <v>-37.438321002707013</v>
      </c>
      <c r="AJ23" s="217">
        <f t="shared" si="17"/>
        <v>-36.156144990576678</v>
      </c>
      <c r="AK23" s="217">
        <f t="shared" si="17"/>
        <v>-35.566774497370922</v>
      </c>
    </row>
    <row r="24" spans="2:37">
      <c r="B24" s="206"/>
      <c r="C24" s="229" t="s">
        <v>58</v>
      </c>
      <c r="D24" s="230">
        <f t="shared" ref="D24:AK24" si="18">D22-D23</f>
        <v>-69.461000000000013</v>
      </c>
      <c r="E24" s="230">
        <f t="shared" si="18"/>
        <v>-84.01100000000001</v>
      </c>
      <c r="F24" s="230">
        <f t="shared" si="18"/>
        <v>-79.879000000000005</v>
      </c>
      <c r="G24" s="230">
        <f t="shared" si="18"/>
        <v>-71.905999999999992</v>
      </c>
      <c r="H24" s="231">
        <f t="shared" si="18"/>
        <v>-305.25700000000006</v>
      </c>
      <c r="I24" s="230">
        <f t="shared" si="18"/>
        <v>-50.064000000000007</v>
      </c>
      <c r="J24" s="230">
        <f t="shared" si="18"/>
        <v>79.748000000000005</v>
      </c>
      <c r="K24" s="230">
        <f t="shared" si="18"/>
        <v>-13.757000000000001</v>
      </c>
      <c r="L24" s="230">
        <f t="shared" si="18"/>
        <v>-24.945999999999987</v>
      </c>
      <c r="M24" s="231">
        <f t="shared" si="18"/>
        <v>-9.0190000000000179</v>
      </c>
      <c r="N24" s="230">
        <f t="shared" si="18"/>
        <v>-7.9650000000000265</v>
      </c>
      <c r="O24" s="230">
        <f t="shared" si="18"/>
        <v>-10.425000000000015</v>
      </c>
      <c r="P24" s="230">
        <f t="shared" si="18"/>
        <v>-12.188000000000002</v>
      </c>
      <c r="Q24" s="230">
        <f t="shared" si="18"/>
        <v>-29.147000000000013</v>
      </c>
      <c r="R24" s="231">
        <f t="shared" si="18"/>
        <v>-59.725000000000044</v>
      </c>
      <c r="S24" s="231">
        <f t="shared" si="18"/>
        <v>-19.676999999999989</v>
      </c>
      <c r="T24" s="231">
        <f t="shared" si="18"/>
        <v>0</v>
      </c>
      <c r="U24" s="231">
        <f t="shared" si="18"/>
        <v>0</v>
      </c>
      <c r="V24" s="231">
        <f t="shared" si="18"/>
        <v>0</v>
      </c>
      <c r="W24" s="231">
        <f t="shared" si="18"/>
        <v>-37.818695674868081</v>
      </c>
      <c r="X24" s="231">
        <f t="shared" si="18"/>
        <v>-6.4895880701457145</v>
      </c>
      <c r="Y24" s="231">
        <f t="shared" si="18"/>
        <v>38.884661702628065</v>
      </c>
      <c r="Z24" s="231">
        <f t="shared" si="18"/>
        <v>100.2668185307578</v>
      </c>
      <c r="AA24" s="231">
        <f t="shared" si="18"/>
        <v>177.97924398063168</v>
      </c>
      <c r="AB24" s="231">
        <f t="shared" si="18"/>
        <v>263.46310924754658</v>
      </c>
      <c r="AC24" s="231">
        <f t="shared" si="18"/>
        <v>353.86257940222862</v>
      </c>
      <c r="AD24" s="231">
        <f t="shared" si="18"/>
        <v>445.23948411711518</v>
      </c>
      <c r="AE24" s="231">
        <f t="shared" si="18"/>
        <v>537.78798929848551</v>
      </c>
      <c r="AF24" s="231">
        <f t="shared" si="18"/>
        <v>519.79074384050034</v>
      </c>
      <c r="AG24" s="231">
        <f t="shared" si="18"/>
        <v>478.18724718438256</v>
      </c>
      <c r="AH24" s="231">
        <f t="shared" si="18"/>
        <v>470.55104322595673</v>
      </c>
      <c r="AI24" s="231">
        <f t="shared" si="18"/>
        <v>464.0175612338648</v>
      </c>
      <c r="AJ24" s="231">
        <f t="shared" si="18"/>
        <v>448.1260316383399</v>
      </c>
      <c r="AK24" s="231">
        <f t="shared" si="18"/>
        <v>440.82126337961483</v>
      </c>
    </row>
    <row r="25" spans="2:37">
      <c r="B25" s="206"/>
      <c r="C25" s="229"/>
      <c r="D25" s="230"/>
      <c r="E25" s="230"/>
      <c r="F25" s="230"/>
      <c r="G25" s="230"/>
      <c r="H25" s="231"/>
      <c r="I25" s="230"/>
      <c r="J25" s="230"/>
      <c r="K25" s="230"/>
      <c r="L25" s="230"/>
      <c r="M25" s="231"/>
      <c r="N25" s="230"/>
      <c r="O25" s="230"/>
      <c r="P25" s="230"/>
      <c r="Q25" s="230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1"/>
      <c r="AI25" s="231"/>
      <c r="AJ25" s="231"/>
      <c r="AK25" s="231"/>
    </row>
    <row r="26" spans="2:37">
      <c r="B26" s="206"/>
      <c r="C26" s="229" t="s">
        <v>300</v>
      </c>
      <c r="D26" s="230"/>
      <c r="E26" s="230"/>
      <c r="F26" s="230"/>
      <c r="G26" s="230"/>
      <c r="H26" s="231"/>
      <c r="I26" s="230"/>
      <c r="J26" s="230"/>
      <c r="K26" s="230"/>
      <c r="L26" s="230"/>
      <c r="M26" s="231">
        <v>9.24</v>
      </c>
      <c r="N26" s="230"/>
      <c r="O26" s="230"/>
      <c r="P26" s="230"/>
      <c r="Q26" s="230"/>
      <c r="R26" s="361">
        <v>12.757</v>
      </c>
      <c r="S26" s="231"/>
      <c r="T26" s="231"/>
      <c r="U26" s="231"/>
      <c r="V26" s="231"/>
      <c r="W26" s="231">
        <f>W27*W$11</f>
        <v>17.569416158685865</v>
      </c>
      <c r="X26" s="231">
        <f>X27*X$11</f>
        <v>20.054756485232726</v>
      </c>
      <c r="Y26" s="231">
        <f t="shared" ref="Y26:AK26" si="19">Y27*Y$11</f>
        <v>23.740802287004353</v>
      </c>
      <c r="Z26" s="231">
        <f t="shared" si="19"/>
        <v>27.647197432080642</v>
      </c>
      <c r="AA26" s="231">
        <f t="shared" si="19"/>
        <v>31.699337318308423</v>
      </c>
      <c r="AB26" s="231">
        <f t="shared" si="19"/>
        <v>34.659979139092833</v>
      </c>
      <c r="AC26" s="231">
        <f t="shared" si="19"/>
        <v>36.908573223136308</v>
      </c>
      <c r="AD26" s="231">
        <f t="shared" si="19"/>
        <v>38.471201788757085</v>
      </c>
      <c r="AE26" s="231">
        <f t="shared" si="19"/>
        <v>39.663110021940568</v>
      </c>
      <c r="AF26" s="231">
        <f t="shared" si="19"/>
        <v>33.446207888780954</v>
      </c>
      <c r="AG26" s="231">
        <f t="shared" si="19"/>
        <v>28.607470908186638</v>
      </c>
      <c r="AH26" s="231">
        <f t="shared" si="19"/>
        <v>26.300891266644101</v>
      </c>
      <c r="AI26" s="231">
        <f t="shared" si="19"/>
        <v>24.336584584121987</v>
      </c>
      <c r="AJ26" s="231">
        <f t="shared" si="19"/>
        <v>22.138817881856415</v>
      </c>
      <c r="AK26" s="231">
        <f t="shared" si="19"/>
        <v>20.582747210554505</v>
      </c>
    </row>
    <row r="27" spans="2:37">
      <c r="B27" s="206"/>
      <c r="C27" s="1" t="s">
        <v>199</v>
      </c>
      <c r="D27" s="230"/>
      <c r="E27" s="230"/>
      <c r="F27" s="230"/>
      <c r="G27" s="230"/>
      <c r="H27" s="231"/>
      <c r="I27" s="230"/>
      <c r="J27" s="230"/>
      <c r="K27" s="230"/>
      <c r="L27" s="230"/>
      <c r="M27" s="362">
        <f>M26/M$11</f>
        <v>2.9678927961147586E-2</v>
      </c>
      <c r="N27" s="230"/>
      <c r="O27" s="230"/>
      <c r="P27" s="230"/>
      <c r="Q27" s="230"/>
      <c r="R27" s="362">
        <f>R26/R$11</f>
        <v>2.4197418461509277E-2</v>
      </c>
      <c r="S27" s="231"/>
      <c r="T27" s="231"/>
      <c r="U27" s="231"/>
      <c r="V27" s="231"/>
      <c r="W27" s="362">
        <f>AVERAGE(R27,M27)</f>
        <v>2.693817321132843E-2</v>
      </c>
      <c r="X27" s="362">
        <f>W27</f>
        <v>2.693817321132843E-2</v>
      </c>
      <c r="Y27" s="362">
        <f t="shared" ref="Y27:AK27" si="20">X27</f>
        <v>2.693817321132843E-2</v>
      </c>
      <c r="Z27" s="362">
        <f t="shared" si="20"/>
        <v>2.693817321132843E-2</v>
      </c>
      <c r="AA27" s="362">
        <f t="shared" si="20"/>
        <v>2.693817321132843E-2</v>
      </c>
      <c r="AB27" s="362">
        <f t="shared" si="20"/>
        <v>2.693817321132843E-2</v>
      </c>
      <c r="AC27" s="362">
        <f t="shared" si="20"/>
        <v>2.693817321132843E-2</v>
      </c>
      <c r="AD27" s="362">
        <f t="shared" si="20"/>
        <v>2.693817321132843E-2</v>
      </c>
      <c r="AE27" s="362">
        <f t="shared" si="20"/>
        <v>2.693817321132843E-2</v>
      </c>
      <c r="AF27" s="362">
        <f t="shared" si="20"/>
        <v>2.693817321132843E-2</v>
      </c>
      <c r="AG27" s="362">
        <f t="shared" si="20"/>
        <v>2.693817321132843E-2</v>
      </c>
      <c r="AH27" s="362">
        <f t="shared" si="20"/>
        <v>2.693817321132843E-2</v>
      </c>
      <c r="AI27" s="362">
        <f t="shared" si="20"/>
        <v>2.693817321132843E-2</v>
      </c>
      <c r="AJ27" s="362">
        <f t="shared" si="20"/>
        <v>2.693817321132843E-2</v>
      </c>
      <c r="AK27" s="362">
        <f t="shared" si="20"/>
        <v>2.693817321132843E-2</v>
      </c>
    </row>
    <row r="28" spans="2:37">
      <c r="B28" s="206"/>
      <c r="C28" s="229" t="s">
        <v>299</v>
      </c>
      <c r="D28" s="230"/>
      <c r="E28" s="230"/>
      <c r="F28" s="230"/>
      <c r="G28" s="230"/>
      <c r="H28" s="231"/>
      <c r="I28" s="230"/>
      <c r="J28" s="230"/>
      <c r="K28" s="230"/>
      <c r="L28" s="230"/>
      <c r="M28" s="231">
        <f>M26+M17</f>
        <v>-109.18500000000002</v>
      </c>
      <c r="N28" s="230">
        <f t="shared" ref="N28:AK28" si="21">N26+N17</f>
        <v>-7.1930000000000263</v>
      </c>
      <c r="O28" s="230">
        <f t="shared" si="21"/>
        <v>-9.0390000000000157</v>
      </c>
      <c r="P28" s="230">
        <f t="shared" si="21"/>
        <v>-12.721000000000004</v>
      </c>
      <c r="Q28" s="230">
        <f t="shared" si="21"/>
        <v>-22.812000000000012</v>
      </c>
      <c r="R28" s="231">
        <f t="shared" si="21"/>
        <v>-39.008000000000045</v>
      </c>
      <c r="S28" s="231">
        <f t="shared" si="21"/>
        <v>-21.026999999999987</v>
      </c>
      <c r="T28" s="231">
        <f t="shared" si="21"/>
        <v>0</v>
      </c>
      <c r="U28" s="231">
        <f t="shared" si="21"/>
        <v>0</v>
      </c>
      <c r="V28" s="231">
        <f t="shared" si="21"/>
        <v>0</v>
      </c>
      <c r="W28" s="231">
        <f t="shared" si="21"/>
        <v>-19.681473948031314</v>
      </c>
      <c r="X28" s="231">
        <f t="shared" si="21"/>
        <v>14.132973983237914</v>
      </c>
      <c r="Y28" s="231">
        <f t="shared" si="21"/>
        <v>60.055939058839243</v>
      </c>
      <c r="Z28" s="231">
        <f t="shared" si="21"/>
        <v>120.391995516446</v>
      </c>
      <c r="AA28" s="231">
        <f t="shared" si="21"/>
        <v>195.88649055142611</v>
      </c>
      <c r="AB28" s="231">
        <f t="shared" si="21"/>
        <v>277.43390439139392</v>
      </c>
      <c r="AC28" s="231">
        <f t="shared" si="21"/>
        <v>362.78826971681502</v>
      </c>
      <c r="AD28" s="231">
        <f t="shared" si="21"/>
        <v>448.35524174801753</v>
      </c>
      <c r="AE28" s="231">
        <f t="shared" si="21"/>
        <v>534.62856569275164</v>
      </c>
      <c r="AF28" s="231">
        <f t="shared" si="21"/>
        <v>511.86648955086167</v>
      </c>
      <c r="AG28" s="231">
        <f t="shared" si="21"/>
        <v>468.78095012741403</v>
      </c>
      <c r="AH28" s="231">
        <f t="shared" si="21"/>
        <v>459.45427824157451</v>
      </c>
      <c r="AI28" s="231">
        <f t="shared" si="21"/>
        <v>451.48363038343064</v>
      </c>
      <c r="AJ28" s="231">
        <f t="shared" si="21"/>
        <v>434.67651009777052</v>
      </c>
      <c r="AK28" s="231">
        <f t="shared" si="21"/>
        <v>426.40504166094928</v>
      </c>
    </row>
    <row r="29" spans="2:37">
      <c r="B29" s="206"/>
      <c r="C29" s="229"/>
      <c r="D29" s="230"/>
      <c r="E29" s="230"/>
      <c r="F29" s="230"/>
      <c r="G29" s="230"/>
      <c r="H29" s="231"/>
      <c r="I29" s="230"/>
      <c r="J29" s="230"/>
      <c r="K29" s="230"/>
      <c r="L29" s="230"/>
      <c r="M29" s="231"/>
      <c r="N29" s="230"/>
      <c r="O29" s="230"/>
      <c r="P29" s="230"/>
      <c r="Q29" s="230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1"/>
      <c r="AI29" s="231"/>
      <c r="AJ29" s="231"/>
      <c r="AK29" s="231"/>
    </row>
    <row r="30" spans="2:37">
      <c r="B30" s="206"/>
      <c r="C30" s="229"/>
      <c r="D30" s="232"/>
      <c r="E30" s="232"/>
      <c r="F30" s="232"/>
      <c r="G30" s="232"/>
      <c r="H30" s="206"/>
      <c r="I30" s="232"/>
      <c r="J30" s="232"/>
      <c r="K30" s="232"/>
      <c r="L30" s="232"/>
      <c r="M30" s="206"/>
      <c r="N30" s="232"/>
      <c r="O30" s="232"/>
      <c r="P30" s="232"/>
      <c r="Q30" s="232"/>
      <c r="R30" s="206"/>
      <c r="S30" s="232"/>
      <c r="T30" s="232"/>
      <c r="U30" s="232"/>
      <c r="V30" s="232"/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  <c r="AG30" s="206"/>
      <c r="AH30" s="206"/>
      <c r="AI30" s="206"/>
      <c r="AJ30" s="206"/>
      <c r="AK30" s="206"/>
    </row>
    <row r="31" spans="2:37">
      <c r="B31" s="206"/>
      <c r="C31" s="233" t="s">
        <v>59</v>
      </c>
      <c r="D31" s="234">
        <f t="shared" ref="D31:M31" si="22">D24/D35</f>
        <v>-0.20414575079646854</v>
      </c>
      <c r="E31" s="234">
        <f t="shared" si="22"/>
        <v>-0.24675950266847213</v>
      </c>
      <c r="F31" s="234">
        <f t="shared" si="22"/>
        <v>-0.23404199213599686</v>
      </c>
      <c r="G31" s="234">
        <f t="shared" si="22"/>
        <v>-0.19621893914172972</v>
      </c>
      <c r="H31" s="234">
        <f t="shared" si="22"/>
        <v>-0.87939145490215309</v>
      </c>
      <c r="I31" s="234">
        <f t="shared" si="22"/>
        <v>-0.13537286756096839</v>
      </c>
      <c r="J31" s="234">
        <f t="shared" si="22"/>
        <v>0.21128936108204063</v>
      </c>
      <c r="K31" s="234">
        <f t="shared" si="22"/>
        <v>-3.6956743658763294E-2</v>
      </c>
      <c r="L31" s="234">
        <f t="shared" si="22"/>
        <v>-6.6978657366014452E-2</v>
      </c>
      <c r="M31" s="234">
        <f t="shared" si="22"/>
        <v>-2.4272027557995634E-2</v>
      </c>
      <c r="N31" s="234">
        <f>N24/N35</f>
        <v>-2.1306419210819931E-2</v>
      </c>
      <c r="O31" s="234">
        <f>O24/O35</f>
        <v>-2.7761134411823488E-2</v>
      </c>
      <c r="P31" s="234">
        <f>P24/P35</f>
        <v>-3.239068674740421E-2</v>
      </c>
      <c r="Q31" s="234">
        <f>Q24/Q35</f>
        <v>-7.7378676860996101E-2</v>
      </c>
      <c r="R31" s="234">
        <f t="shared" ref="R31:AK31" si="23">R24/R35</f>
        <v>-0.15902103217896102</v>
      </c>
      <c r="S31" s="234">
        <f t="shared" si="23"/>
        <v>-5.197772647305883E-2</v>
      </c>
      <c r="T31" s="234" t="e">
        <f t="shared" si="23"/>
        <v>#DIV/0!</v>
      </c>
      <c r="U31" s="234" t="e">
        <f t="shared" si="23"/>
        <v>#DIV/0!</v>
      </c>
      <c r="V31" s="234" t="e">
        <f t="shared" si="23"/>
        <v>#DIV/0!</v>
      </c>
      <c r="W31" s="234">
        <f t="shared" si="23"/>
        <v>-0.10069431597956512</v>
      </c>
      <c r="X31" s="234">
        <f t="shared" si="23"/>
        <v>-1.7278878080047591E-2</v>
      </c>
      <c r="Y31" s="234">
        <f t="shared" si="23"/>
        <v>0.10353250799299499</v>
      </c>
      <c r="Z31" s="234">
        <f t="shared" si="23"/>
        <v>0.26696580956151811</v>
      </c>
      <c r="AA31" s="234">
        <f t="shared" si="23"/>
        <v>0.47387933167402535</v>
      </c>
      <c r="AB31" s="234">
        <f t="shared" si="23"/>
        <v>0.70148473124526067</v>
      </c>
      <c r="AC31" s="234">
        <f t="shared" si="23"/>
        <v>0.94217819382255175</v>
      </c>
      <c r="AD31" s="234">
        <f t="shared" si="23"/>
        <v>1.1854741286083168</v>
      </c>
      <c r="AE31" s="234">
        <f t="shared" si="23"/>
        <v>1.4318895127951969</v>
      </c>
      <c r="AF31" s="234">
        <f t="shared" si="23"/>
        <v>1.3839708765606735</v>
      </c>
      <c r="AG31" s="234">
        <f t="shared" si="23"/>
        <v>1.2731993239359805</v>
      </c>
      <c r="AH31" s="234">
        <f t="shared" si="23"/>
        <v>1.2528675192411634</v>
      </c>
      <c r="AI31" s="234">
        <f t="shared" si="23"/>
        <v>1.235471771227683</v>
      </c>
      <c r="AJ31" s="234">
        <f t="shared" si="23"/>
        <v>1.1931597169927251</v>
      </c>
      <c r="AK31" s="234">
        <f t="shared" si="23"/>
        <v>1.1737103777155282</v>
      </c>
    </row>
    <row r="32" spans="2:37">
      <c r="B32" s="206"/>
      <c r="C32" s="235"/>
      <c r="D32" s="236"/>
      <c r="E32" s="236"/>
      <c r="F32" s="236"/>
      <c r="G32" s="236"/>
      <c r="H32" s="237"/>
      <c r="I32" s="236"/>
      <c r="J32" s="236"/>
      <c r="K32" s="236"/>
      <c r="L32" s="236"/>
      <c r="M32" s="237"/>
      <c r="N32" s="236"/>
      <c r="O32" s="236"/>
      <c r="P32" s="236"/>
      <c r="Q32" s="236"/>
      <c r="R32" s="238"/>
      <c r="S32" s="236"/>
      <c r="T32" s="236"/>
      <c r="U32" s="236"/>
      <c r="V32" s="236"/>
      <c r="W32" s="238"/>
      <c r="X32" s="238"/>
      <c r="Y32" s="237"/>
      <c r="Z32" s="237"/>
      <c r="AA32" s="237"/>
      <c r="AB32" s="237"/>
      <c r="AC32" s="237"/>
      <c r="AD32" s="237"/>
      <c r="AE32" s="237"/>
      <c r="AF32" s="237"/>
      <c r="AG32" s="237"/>
      <c r="AH32" s="237"/>
      <c r="AI32" s="237"/>
      <c r="AJ32" s="237"/>
      <c r="AK32" s="237"/>
    </row>
    <row r="33" spans="2:37">
      <c r="B33" s="206"/>
      <c r="C33" s="235" t="s">
        <v>76</v>
      </c>
      <c r="D33" s="215"/>
      <c r="E33" s="215"/>
      <c r="F33" s="215"/>
      <c r="G33" s="215"/>
      <c r="H33" s="226"/>
      <c r="I33" s="215"/>
      <c r="J33" s="215"/>
      <c r="K33" s="215"/>
      <c r="L33" s="215"/>
      <c r="M33" s="223"/>
      <c r="N33" s="215"/>
      <c r="O33" s="215"/>
      <c r="P33" s="215"/>
      <c r="Q33" s="215"/>
      <c r="R33" s="227"/>
      <c r="S33" s="215"/>
      <c r="T33" s="215"/>
      <c r="U33" s="215"/>
      <c r="V33" s="215"/>
      <c r="W33" s="227"/>
      <c r="X33" s="227"/>
      <c r="Y33" s="227"/>
      <c r="Z33" s="227"/>
      <c r="AA33" s="227"/>
      <c r="AB33" s="227"/>
      <c r="AC33" s="227"/>
      <c r="AD33" s="227"/>
      <c r="AE33" s="227"/>
      <c r="AF33" s="227"/>
      <c r="AG33" s="227"/>
      <c r="AH33" s="227"/>
      <c r="AI33" s="227"/>
      <c r="AJ33" s="227"/>
      <c r="AK33" s="227"/>
    </row>
    <row r="34" spans="2:37">
      <c r="B34" s="206"/>
      <c r="C34" s="239" t="s">
        <v>74</v>
      </c>
      <c r="D34" s="213">
        <v>340.25200000000001</v>
      </c>
      <c r="E34" s="213">
        <v>340.45699999999999</v>
      </c>
      <c r="F34" s="213">
        <v>341.30200000000002</v>
      </c>
      <c r="G34" s="213">
        <v>366.45800000000003</v>
      </c>
      <c r="H34" s="226">
        <v>347.12299999999999</v>
      </c>
      <c r="I34" s="213">
        <v>369.82299999999998</v>
      </c>
      <c r="J34" s="213">
        <v>371.71199999999999</v>
      </c>
      <c r="K34" s="213">
        <v>372.24599999999998</v>
      </c>
      <c r="L34" s="213">
        <v>372.447</v>
      </c>
      <c r="M34" s="226">
        <v>371.58</v>
      </c>
      <c r="N34" s="213">
        <v>373.83100000000002</v>
      </c>
      <c r="O34" s="213">
        <v>375.52499999999998</v>
      </c>
      <c r="P34" s="213">
        <v>376.28100000000001</v>
      </c>
      <c r="Q34" s="213">
        <v>376.68</v>
      </c>
      <c r="R34" s="223">
        <f>AVERAGE(N34:Q34)</f>
        <v>375.57925</v>
      </c>
      <c r="S34" s="213">
        <v>378.56599999999997</v>
      </c>
      <c r="T34" s="213"/>
      <c r="U34" s="213"/>
      <c r="V34" s="213"/>
      <c r="W34" s="223">
        <f>R34</f>
        <v>375.57925</v>
      </c>
      <c r="X34" s="223">
        <f>W34</f>
        <v>375.57925</v>
      </c>
      <c r="Y34" s="223">
        <f t="shared" ref="Y34:AK34" si="24">X34</f>
        <v>375.57925</v>
      </c>
      <c r="Z34" s="223">
        <f t="shared" si="24"/>
        <v>375.57925</v>
      </c>
      <c r="AA34" s="223">
        <f t="shared" si="24"/>
        <v>375.57925</v>
      </c>
      <c r="AB34" s="223">
        <f t="shared" si="24"/>
        <v>375.57925</v>
      </c>
      <c r="AC34" s="223">
        <f t="shared" si="24"/>
        <v>375.57925</v>
      </c>
      <c r="AD34" s="223">
        <f t="shared" si="24"/>
        <v>375.57925</v>
      </c>
      <c r="AE34" s="223">
        <f t="shared" si="24"/>
        <v>375.57925</v>
      </c>
      <c r="AF34" s="223">
        <f t="shared" si="24"/>
        <v>375.57925</v>
      </c>
      <c r="AG34" s="223">
        <f t="shared" si="24"/>
        <v>375.57925</v>
      </c>
      <c r="AH34" s="223">
        <f t="shared" si="24"/>
        <v>375.57925</v>
      </c>
      <c r="AI34" s="223">
        <f t="shared" si="24"/>
        <v>375.57925</v>
      </c>
      <c r="AJ34" s="223">
        <f t="shared" si="24"/>
        <v>375.57925</v>
      </c>
      <c r="AK34" s="223">
        <f t="shared" si="24"/>
        <v>375.57925</v>
      </c>
    </row>
    <row r="35" spans="2:37">
      <c r="B35" s="206"/>
      <c r="C35" s="239" t="s">
        <v>75</v>
      </c>
      <c r="D35" s="213">
        <v>340.25200000000001</v>
      </c>
      <c r="E35" s="213">
        <v>340.45699999999999</v>
      </c>
      <c r="F35" s="213">
        <v>341.30200000000002</v>
      </c>
      <c r="G35" s="213">
        <v>366.45800000000003</v>
      </c>
      <c r="H35" s="226">
        <v>347.12299999999999</v>
      </c>
      <c r="I35" s="213">
        <v>369.82299999999998</v>
      </c>
      <c r="J35" s="213">
        <v>377.435</v>
      </c>
      <c r="K35" s="213">
        <v>372.24599999999998</v>
      </c>
      <c r="L35" s="213">
        <v>372.447</v>
      </c>
      <c r="M35" s="226">
        <v>371.58</v>
      </c>
      <c r="N35" s="213">
        <v>373.83100000000002</v>
      </c>
      <c r="O35" s="213">
        <v>375.52499999999998</v>
      </c>
      <c r="P35" s="213">
        <v>376.28100000000001</v>
      </c>
      <c r="Q35" s="213">
        <v>376.68</v>
      </c>
      <c r="R35" s="223">
        <f>AVERAGE(N35:Q35)</f>
        <v>375.57925</v>
      </c>
      <c r="S35" s="213">
        <v>378.56599999999997</v>
      </c>
      <c r="T35" s="213"/>
      <c r="U35" s="213"/>
      <c r="V35" s="213"/>
      <c r="W35" s="223">
        <f>R35</f>
        <v>375.57925</v>
      </c>
      <c r="X35" s="223">
        <f>W35</f>
        <v>375.57925</v>
      </c>
      <c r="Y35" s="223">
        <f t="shared" ref="Y35:AK35" si="25">X35</f>
        <v>375.57925</v>
      </c>
      <c r="Z35" s="223">
        <f t="shared" si="25"/>
        <v>375.57925</v>
      </c>
      <c r="AA35" s="223">
        <f t="shared" si="25"/>
        <v>375.57925</v>
      </c>
      <c r="AB35" s="223">
        <f t="shared" si="25"/>
        <v>375.57925</v>
      </c>
      <c r="AC35" s="223">
        <f t="shared" si="25"/>
        <v>375.57925</v>
      </c>
      <c r="AD35" s="223">
        <f t="shared" si="25"/>
        <v>375.57925</v>
      </c>
      <c r="AE35" s="223">
        <f t="shared" si="25"/>
        <v>375.57925</v>
      </c>
      <c r="AF35" s="223">
        <f t="shared" si="25"/>
        <v>375.57925</v>
      </c>
      <c r="AG35" s="223">
        <f t="shared" si="25"/>
        <v>375.57925</v>
      </c>
      <c r="AH35" s="223">
        <f t="shared" si="25"/>
        <v>375.57925</v>
      </c>
      <c r="AI35" s="223">
        <f t="shared" si="25"/>
        <v>375.57925</v>
      </c>
      <c r="AJ35" s="223">
        <f t="shared" si="25"/>
        <v>375.57925</v>
      </c>
      <c r="AK35" s="223">
        <f t="shared" si="25"/>
        <v>375.57925</v>
      </c>
    </row>
    <row r="36" spans="2:37">
      <c r="B36" s="240"/>
      <c r="C36" s="240"/>
      <c r="D36" s="241"/>
      <c r="E36" s="241"/>
      <c r="F36" s="241"/>
      <c r="G36" s="219"/>
      <c r="H36" s="242"/>
      <c r="I36" s="241"/>
      <c r="J36" s="241"/>
      <c r="K36" s="241"/>
      <c r="L36" s="241"/>
      <c r="M36" s="243"/>
      <c r="N36" s="244"/>
      <c r="O36" s="244"/>
      <c r="P36" s="244"/>
      <c r="Q36" s="244"/>
      <c r="R36" s="242"/>
      <c r="S36" s="244"/>
      <c r="T36" s="244"/>
      <c r="U36" s="244"/>
      <c r="V36" s="244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242"/>
      <c r="AK36" s="242"/>
    </row>
    <row r="37" spans="2:37" s="259" customFormat="1">
      <c r="B37" s="254"/>
      <c r="C37" s="260" t="s">
        <v>61</v>
      </c>
      <c r="D37" s="254"/>
      <c r="E37" s="254"/>
      <c r="F37" s="254"/>
      <c r="G37" s="254"/>
      <c r="H37" s="261"/>
      <c r="I37" s="261"/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261"/>
      <c r="Y37" s="261"/>
      <c r="Z37" s="261"/>
      <c r="AA37" s="261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</row>
    <row r="38" spans="2:37">
      <c r="B38" s="207"/>
      <c r="C38" s="208"/>
      <c r="D38" s="209"/>
      <c r="E38" s="209"/>
      <c r="F38" s="209"/>
      <c r="G38" s="209"/>
      <c r="H38" s="210"/>
      <c r="I38" s="211"/>
      <c r="J38" s="211"/>
      <c r="K38" s="211"/>
      <c r="L38" s="211"/>
      <c r="M38" s="210"/>
      <c r="N38" s="211"/>
      <c r="O38" s="211"/>
      <c r="P38" s="211"/>
      <c r="Q38" s="211"/>
      <c r="R38" s="210"/>
      <c r="S38" s="211"/>
      <c r="T38" s="211"/>
      <c r="U38" s="211"/>
      <c r="V38" s="211"/>
      <c r="W38" s="210"/>
      <c r="X38" s="210"/>
      <c r="Y38" s="210"/>
      <c r="Z38" s="210"/>
      <c r="AA38" s="210"/>
      <c r="AB38" s="210"/>
      <c r="AC38" s="210"/>
      <c r="AD38" s="210"/>
      <c r="AE38" s="210"/>
      <c r="AF38" s="210"/>
      <c r="AG38" s="210"/>
      <c r="AH38" s="210"/>
      <c r="AI38" s="210"/>
      <c r="AJ38" s="210"/>
      <c r="AK38" s="210"/>
    </row>
    <row r="39" spans="2:37">
      <c r="B39" s="207"/>
      <c r="C39" s="245" t="s">
        <v>181</v>
      </c>
      <c r="D39" s="246">
        <f t="shared" ref="D39:S39" si="26">D14/D11</f>
        <v>14.299572509043077</v>
      </c>
      <c r="E39" s="246">
        <f t="shared" si="26"/>
        <v>13.737210718635811</v>
      </c>
      <c r="F39" s="246">
        <f t="shared" si="26"/>
        <v>11.959917355371902</v>
      </c>
      <c r="G39" s="246">
        <f t="shared" si="26"/>
        <v>4.3712052900510967</v>
      </c>
      <c r="H39" s="247">
        <f t="shared" si="26"/>
        <v>9.5218520683161252</v>
      </c>
      <c r="I39" s="246">
        <f t="shared" si="26"/>
        <v>0.77394450531250791</v>
      </c>
      <c r="J39" s="246">
        <f t="shared" si="26"/>
        <v>0.45069268996918282</v>
      </c>
      <c r="K39" s="246">
        <f t="shared" si="26"/>
        <v>0.39903925426784359</v>
      </c>
      <c r="L39" s="246">
        <f t="shared" si="26"/>
        <v>0.39912538046866397</v>
      </c>
      <c r="M39" s="247">
        <f t="shared" si="26"/>
        <v>0.45828247658448218</v>
      </c>
      <c r="N39" s="246">
        <f t="shared" si="26"/>
        <v>0.38027737020549934</v>
      </c>
      <c r="O39" s="246">
        <f t="shared" si="26"/>
        <v>0.37704147670593668</v>
      </c>
      <c r="P39" s="246">
        <f t="shared" si="26"/>
        <v>0.41541593398174426</v>
      </c>
      <c r="Q39" s="246">
        <f t="shared" si="26"/>
        <v>0.38357328871557528</v>
      </c>
      <c r="R39" s="247">
        <f>R14/R11</f>
        <v>0.38959418063182255</v>
      </c>
      <c r="S39" s="246">
        <f t="shared" si="26"/>
        <v>0.39768866501383915</v>
      </c>
      <c r="T39" s="248"/>
      <c r="U39" s="248"/>
      <c r="V39" s="248"/>
      <c r="W39" s="252">
        <f>R39-0.02</f>
        <v>0.36959418063182253</v>
      </c>
      <c r="X39" s="252">
        <f>W39-0.02</f>
        <v>0.34959418063182252</v>
      </c>
      <c r="Y39" s="252">
        <f t="shared" ref="Y39:AF39" si="27">X39-0.02</f>
        <v>0.3295941806318225</v>
      </c>
      <c r="Z39" s="252">
        <f t="shared" si="27"/>
        <v>0.30959418063182248</v>
      </c>
      <c r="AA39" s="252">
        <f t="shared" si="27"/>
        <v>0.28959418063182246</v>
      </c>
      <c r="AB39" s="252">
        <f t="shared" si="27"/>
        <v>0.26959418063182244</v>
      </c>
      <c r="AC39" s="252">
        <f t="shared" si="27"/>
        <v>0.24959418063182245</v>
      </c>
      <c r="AD39" s="252">
        <f t="shared" si="27"/>
        <v>0.22959418063182246</v>
      </c>
      <c r="AE39" s="252">
        <f t="shared" si="27"/>
        <v>0.20959418063182247</v>
      </c>
      <c r="AF39" s="252">
        <f t="shared" si="27"/>
        <v>0.18959418063182248</v>
      </c>
      <c r="AG39" s="252">
        <f t="shared" ref="AG39:AK39" si="28">AF39</f>
        <v>0.18959418063182248</v>
      </c>
      <c r="AH39" s="252">
        <f t="shared" si="28"/>
        <v>0.18959418063182248</v>
      </c>
      <c r="AI39" s="252">
        <f t="shared" si="28"/>
        <v>0.18959418063182248</v>
      </c>
      <c r="AJ39" s="252">
        <f t="shared" si="28"/>
        <v>0.18959418063182248</v>
      </c>
      <c r="AK39" s="252">
        <f t="shared" si="28"/>
        <v>0.18959418063182248</v>
      </c>
    </row>
    <row r="40" spans="2:37">
      <c r="B40" s="207"/>
      <c r="C40" s="249" t="s">
        <v>182</v>
      </c>
      <c r="D40" s="246"/>
      <c r="E40" s="246"/>
      <c r="F40" s="246"/>
      <c r="G40" s="246"/>
      <c r="H40" s="247"/>
      <c r="I40" s="246">
        <f>I14/D14-1</f>
        <v>-0.30148327009313558</v>
      </c>
      <c r="J40" s="246">
        <f t="shared" ref="J40:L40" si="29">J14/E14-1</f>
        <v>-0.28031831179482636</v>
      </c>
      <c r="K40" s="246">
        <f t="shared" si="29"/>
        <v>0.25422381923090209</v>
      </c>
      <c r="L40" s="246">
        <f t="shared" si="29"/>
        <v>0.49676820463453208</v>
      </c>
      <c r="M40" s="247">
        <f>M14/H14-1</f>
        <v>-2.6932283958616132E-2</v>
      </c>
      <c r="N40" s="246">
        <f>N14/I14-1</f>
        <v>0.51025514403292194</v>
      </c>
      <c r="O40" s="246">
        <f t="shared" ref="O40:Q40" si="30">O14/J14-1</f>
        <v>0.40863030153694524</v>
      </c>
      <c r="P40" s="246">
        <f t="shared" si="30"/>
        <v>0.56838654582518378</v>
      </c>
      <c r="Q40" s="246">
        <f t="shared" si="30"/>
        <v>0.30593775123463884</v>
      </c>
      <c r="R40" s="247">
        <f>R14/M14-1</f>
        <v>0.43957722984622727</v>
      </c>
      <c r="S40" s="246">
        <f>S14/N14-1</f>
        <v>0.32175088285303222</v>
      </c>
      <c r="T40" s="246"/>
      <c r="U40" s="246"/>
      <c r="V40" s="246"/>
      <c r="W40" s="247"/>
      <c r="X40" s="247"/>
      <c r="Y40" s="247"/>
      <c r="Z40" s="247"/>
      <c r="AA40" s="247"/>
      <c r="AB40" s="247"/>
      <c r="AC40" s="247"/>
      <c r="AD40" s="247"/>
      <c r="AE40" s="247"/>
      <c r="AF40" s="247"/>
      <c r="AG40" s="247"/>
      <c r="AH40" s="247"/>
      <c r="AI40" s="247"/>
      <c r="AJ40" s="247"/>
      <c r="AK40" s="247"/>
    </row>
    <row r="41" spans="2:37">
      <c r="B41" s="207"/>
      <c r="C41" s="245" t="s">
        <v>183</v>
      </c>
      <c r="D41" s="246">
        <f t="shared" ref="D41:S41" si="31">D15/D11</f>
        <v>8.6067083196317</v>
      </c>
      <c r="E41" s="246">
        <f t="shared" si="31"/>
        <v>11.50609013398295</v>
      </c>
      <c r="F41" s="246">
        <f t="shared" si="31"/>
        <v>21.770661157024794</v>
      </c>
      <c r="G41" s="246">
        <f t="shared" si="31"/>
        <v>7.3764652840396749</v>
      </c>
      <c r="H41" s="247">
        <f t="shared" si="31"/>
        <v>10.762192350152608</v>
      </c>
      <c r="I41" s="246">
        <f t="shared" si="31"/>
        <v>1.403368410324356</v>
      </c>
      <c r="J41" s="246">
        <f t="shared" si="31"/>
        <v>0.86444654210277905</v>
      </c>
      <c r="K41" s="246">
        <f t="shared" si="31"/>
        <v>0.70547756977498322</v>
      </c>
      <c r="L41" s="246">
        <f t="shared" si="31"/>
        <v>0.71831566980820705</v>
      </c>
      <c r="M41" s="247">
        <f t="shared" si="31"/>
        <v>0.8347359089332288</v>
      </c>
      <c r="N41" s="246">
        <f t="shared" si="31"/>
        <v>0.59007899994197288</v>
      </c>
      <c r="O41" s="246">
        <f t="shared" si="31"/>
        <v>0.62568736242446232</v>
      </c>
      <c r="P41" s="246">
        <f t="shared" si="31"/>
        <v>0.62169379729009944</v>
      </c>
      <c r="Q41" s="246">
        <f t="shared" si="31"/>
        <v>0.70003778116608861</v>
      </c>
      <c r="R41" s="247">
        <f t="shared" si="31"/>
        <v>0.63740480458265758</v>
      </c>
      <c r="S41" s="246">
        <f t="shared" si="31"/>
        <v>0.66278383377277561</v>
      </c>
      <c r="T41" s="248"/>
      <c r="U41" s="248"/>
      <c r="V41" s="248"/>
      <c r="W41" s="252">
        <f>R$41-($R$41-$AK$41)/15</f>
        <v>0.60824448427714706</v>
      </c>
      <c r="X41" s="252">
        <f>W$41-($R$41-$AK$41)/15</f>
        <v>0.57908416397163653</v>
      </c>
      <c r="Y41" s="252">
        <f t="shared" ref="Y41:AJ41" si="32">X$41-($R$41-$AK$41)/15</f>
        <v>0.54992384366612601</v>
      </c>
      <c r="Z41" s="252">
        <f t="shared" si="32"/>
        <v>0.52076352336061549</v>
      </c>
      <c r="AA41" s="252">
        <f t="shared" si="32"/>
        <v>0.49160320305510496</v>
      </c>
      <c r="AB41" s="252">
        <f t="shared" si="32"/>
        <v>0.46244288274959444</v>
      </c>
      <c r="AC41" s="252">
        <f t="shared" si="32"/>
        <v>0.43328256244408392</v>
      </c>
      <c r="AD41" s="252">
        <f t="shared" si="32"/>
        <v>0.4041222421385734</v>
      </c>
      <c r="AE41" s="252">
        <f t="shared" si="32"/>
        <v>0.37496192183306287</v>
      </c>
      <c r="AF41" s="252">
        <f t="shared" si="32"/>
        <v>0.34580160152755235</v>
      </c>
      <c r="AG41" s="252">
        <f t="shared" si="32"/>
        <v>0.31664128122204183</v>
      </c>
      <c r="AH41" s="252">
        <f t="shared" si="32"/>
        <v>0.2874809609165313</v>
      </c>
      <c r="AI41" s="252">
        <f t="shared" si="32"/>
        <v>0.25832064061102078</v>
      </c>
      <c r="AJ41" s="252">
        <f t="shared" si="32"/>
        <v>0.22916032030551028</v>
      </c>
      <c r="AK41" s="252">
        <v>0.2</v>
      </c>
    </row>
    <row r="42" spans="2:37">
      <c r="B42" s="207"/>
      <c r="C42" s="249" t="s">
        <v>184</v>
      </c>
      <c r="D42" s="246"/>
      <c r="E42" s="246"/>
      <c r="F42" s="246"/>
      <c r="G42" s="246"/>
      <c r="H42" s="247"/>
      <c r="I42" s="246">
        <f>I15/D15-1</f>
        <v>1.1043823787872999</v>
      </c>
      <c r="J42" s="246">
        <f t="shared" ref="J42:L42" si="33">J15/E15-1</f>
        <v>0.64804424919282266</v>
      </c>
      <c r="K42" s="246">
        <f t="shared" si="33"/>
        <v>0.21814558223403235</v>
      </c>
      <c r="L42" s="246">
        <f t="shared" si="33"/>
        <v>0.59629606992237649</v>
      </c>
      <c r="M42" s="247">
        <f>M15/H15-1</f>
        <v>0.56812106657334049</v>
      </c>
      <c r="N42" s="246">
        <f>N15/I15-1</f>
        <v>0.29240350049021391</v>
      </c>
      <c r="O42" s="246">
        <f t="shared" ref="O42:Q42" si="34">O15/J15-1</f>
        <v>0.21873042891782957</v>
      </c>
      <c r="P42" s="246">
        <f t="shared" si="34"/>
        <v>0.32763563838075349</v>
      </c>
      <c r="Q42" s="246">
        <f t="shared" si="34"/>
        <v>0.32430983650495837</v>
      </c>
      <c r="R42" s="247">
        <f>R15/M15-1</f>
        <v>0.29306987840541798</v>
      </c>
      <c r="S42" s="247">
        <f t="shared" ref="S42:W42" si="35">S15/N15-1</f>
        <v>0.41960861441636332</v>
      </c>
      <c r="T42" s="247">
        <f t="shared" si="35"/>
        <v>-1</v>
      </c>
      <c r="U42" s="247">
        <f t="shared" si="35"/>
        <v>-1</v>
      </c>
      <c r="V42" s="247">
        <f t="shared" si="35"/>
        <v>-1</v>
      </c>
      <c r="W42" s="247">
        <f t="shared" si="35"/>
        <v>0.18051773239783109</v>
      </c>
      <c r="X42" s="247">
        <f>X15/W15-1</f>
        <v>8.673479451713817E-2</v>
      </c>
      <c r="Y42" s="247">
        <f t="shared" ref="Y42:AK42" si="36">Y15/X15-1</f>
        <v>0.12418777957215599</v>
      </c>
      <c r="Z42" s="247">
        <f t="shared" si="36"/>
        <v>0.10279231004471323</v>
      </c>
      <c r="AA42" s="247">
        <f t="shared" si="36"/>
        <v>8.2363695072903864E-2</v>
      </c>
      <c r="AB42" s="247">
        <f t="shared" si="36"/>
        <v>2.8540766177017618E-2</v>
      </c>
      <c r="AC42" s="247">
        <f t="shared" si="36"/>
        <v>-2.2722045516426759E-3</v>
      </c>
      <c r="AD42" s="247">
        <f t="shared" si="36"/>
        <v>-2.7812485915039598E-2</v>
      </c>
      <c r="AE42" s="247">
        <f t="shared" si="36"/>
        <v>-4.3410908786282287E-2</v>
      </c>
      <c r="AF42" s="247">
        <f t="shared" si="36"/>
        <v>-0.22232174781504643</v>
      </c>
      <c r="AG42" s="247">
        <f t="shared" si="36"/>
        <v>-0.21679921523745505</v>
      </c>
      <c r="AH42" s="247">
        <f t="shared" si="36"/>
        <v>-0.16529588498956027</v>
      </c>
      <c r="AI42" s="247">
        <f t="shared" si="36"/>
        <v>-0.16854416720140408</v>
      </c>
      <c r="AJ42" s="247">
        <f t="shared" si="36"/>
        <v>-0.19299707218780815</v>
      </c>
      <c r="AK42" s="247">
        <f t="shared" si="36"/>
        <v>-0.18859162198400026</v>
      </c>
    </row>
    <row r="43" spans="2:37">
      <c r="B43" s="207"/>
      <c r="C43" s="245" t="s">
        <v>185</v>
      </c>
      <c r="D43" s="246">
        <f t="shared" ref="D43:S43" si="37">D23/D22</f>
        <v>-1.4799555867227674E-2</v>
      </c>
      <c r="E43" s="246">
        <f t="shared" si="37"/>
        <v>4.3730741881962548E-3</v>
      </c>
      <c r="F43" s="246">
        <f t="shared" si="37"/>
        <v>7.0235194669583797E-3</v>
      </c>
      <c r="G43" s="246">
        <f t="shared" si="37"/>
        <v>3.6856398603336477E-3</v>
      </c>
      <c r="H43" s="247">
        <f t="shared" si="37"/>
        <v>6.1222351724047621E-4</v>
      </c>
      <c r="I43" s="246">
        <f t="shared" si="37"/>
        <v>1.1159612080033181E-2</v>
      </c>
      <c r="J43" s="246">
        <f t="shared" si="37"/>
        <v>-1.1221992569392492E-2</v>
      </c>
      <c r="K43" s="246">
        <f t="shared" si="37"/>
        <v>2.5377030162412992E-3</v>
      </c>
      <c r="L43" s="246">
        <f t="shared" si="37"/>
        <v>-5.5022203425671413E-2</v>
      </c>
      <c r="M43" s="247">
        <f t="shared" si="37"/>
        <v>1.9993480386830336E-2</v>
      </c>
      <c r="N43" s="246">
        <f t="shared" si="37"/>
        <v>-0.27890173410404506</v>
      </c>
      <c r="O43" s="246">
        <f t="shared" si="37"/>
        <v>0.4248275862068962</v>
      </c>
      <c r="P43" s="246">
        <f t="shared" si="37"/>
        <v>0.16394567155988474</v>
      </c>
      <c r="Q43" s="246">
        <f t="shared" si="37"/>
        <v>-9.822908816880177E-2</v>
      </c>
      <c r="R43" s="247">
        <f t="shared" si="37"/>
        <v>8.7764048204548514E-2</v>
      </c>
      <c r="S43" s="246">
        <f t="shared" si="37"/>
        <v>9.4894204231830787E-2</v>
      </c>
      <c r="T43" s="248"/>
      <c r="U43" s="248"/>
      <c r="V43" s="248"/>
      <c r="W43" s="252">
        <f>R43</f>
        <v>8.7764048204548514E-2</v>
      </c>
      <c r="X43" s="252">
        <f t="shared" ref="X43:AK43" si="38">W43</f>
        <v>8.7764048204548514E-2</v>
      </c>
      <c r="Y43" s="252">
        <f t="shared" si="38"/>
        <v>8.7764048204548514E-2</v>
      </c>
      <c r="Z43" s="252">
        <f t="shared" si="38"/>
        <v>8.7764048204548514E-2</v>
      </c>
      <c r="AA43" s="252">
        <f t="shared" si="38"/>
        <v>8.7764048204548514E-2</v>
      </c>
      <c r="AB43" s="252">
        <f t="shared" si="38"/>
        <v>8.7764048204548514E-2</v>
      </c>
      <c r="AC43" s="252">
        <f t="shared" si="38"/>
        <v>8.7764048204548514E-2</v>
      </c>
      <c r="AD43" s="252">
        <f t="shared" si="38"/>
        <v>8.7764048204548514E-2</v>
      </c>
      <c r="AE43" s="252">
        <f t="shared" si="38"/>
        <v>8.7764048204548514E-2</v>
      </c>
      <c r="AF43" s="252">
        <f t="shared" si="38"/>
        <v>8.7764048204548514E-2</v>
      </c>
      <c r="AG43" s="252">
        <f t="shared" si="38"/>
        <v>8.7764048204548514E-2</v>
      </c>
      <c r="AH43" s="252">
        <f t="shared" si="38"/>
        <v>8.7764048204548514E-2</v>
      </c>
      <c r="AI43" s="252">
        <f t="shared" si="38"/>
        <v>8.7764048204548514E-2</v>
      </c>
      <c r="AJ43" s="252">
        <f t="shared" si="38"/>
        <v>8.7764048204548514E-2</v>
      </c>
      <c r="AK43" s="252">
        <f t="shared" si="38"/>
        <v>8.7764048204548514E-2</v>
      </c>
    </row>
    <row r="44" spans="2:37">
      <c r="B44" s="207"/>
      <c r="C44" s="208"/>
      <c r="D44" s="209"/>
      <c r="E44" s="209"/>
      <c r="F44" s="209"/>
      <c r="G44" s="209"/>
      <c r="H44" s="207"/>
      <c r="I44" s="209"/>
      <c r="J44" s="209"/>
      <c r="K44" s="209"/>
      <c r="L44" s="209"/>
      <c r="M44" s="207"/>
      <c r="N44" s="209"/>
      <c r="O44" s="209"/>
      <c r="P44" s="209"/>
      <c r="Q44" s="209"/>
      <c r="R44" s="207"/>
      <c r="S44" s="209"/>
      <c r="T44" s="211"/>
      <c r="U44" s="211"/>
      <c r="V44" s="211"/>
      <c r="W44" s="207"/>
      <c r="X44" s="207"/>
      <c r="Y44" s="210"/>
      <c r="Z44" s="210"/>
      <c r="AA44" s="210"/>
      <c r="AB44" s="210"/>
      <c r="AC44" s="210"/>
      <c r="AD44" s="210"/>
      <c r="AE44" s="210"/>
      <c r="AF44" s="210"/>
      <c r="AG44" s="210"/>
      <c r="AH44" s="210"/>
      <c r="AI44" s="210"/>
      <c r="AJ44" s="210"/>
      <c r="AK44" s="210"/>
    </row>
    <row r="45" spans="2:37">
      <c r="B45" s="207"/>
      <c r="C45" s="250" t="s">
        <v>186</v>
      </c>
      <c r="D45" s="209"/>
      <c r="E45" s="209"/>
      <c r="F45" s="209"/>
      <c r="G45" s="209"/>
      <c r="H45" s="207"/>
      <c r="I45" s="209"/>
      <c r="J45" s="209"/>
      <c r="K45" s="209"/>
      <c r="L45" s="209"/>
      <c r="M45" s="207"/>
      <c r="N45" s="209"/>
      <c r="O45" s="209"/>
      <c r="P45" s="209"/>
      <c r="Q45" s="209"/>
      <c r="R45" s="207"/>
      <c r="S45" s="209"/>
      <c r="T45" s="211"/>
      <c r="U45" s="211"/>
      <c r="V45" s="211"/>
      <c r="W45" s="207"/>
      <c r="X45" s="207"/>
      <c r="Y45" s="210"/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</row>
    <row r="46" spans="2:37">
      <c r="B46" s="207"/>
      <c r="C46" s="245" t="s">
        <v>187</v>
      </c>
      <c r="D46" s="251">
        <f t="shared" ref="D46:R46" si="39">D13/D11</f>
        <v>0.46563630384741861</v>
      </c>
      <c r="E46" s="251">
        <f t="shared" si="39"/>
        <v>0.45462850182704018</v>
      </c>
      <c r="F46" s="251">
        <f t="shared" si="39"/>
        <v>0.42190082644628096</v>
      </c>
      <c r="G46" s="251">
        <f t="shared" si="39"/>
        <v>0.72512774271115121</v>
      </c>
      <c r="H46" s="252">
        <f t="shared" si="39"/>
        <v>0.56854341190986424</v>
      </c>
      <c r="I46" s="251">
        <f t="shared" si="39"/>
        <v>0.86926389278161387</v>
      </c>
      <c r="J46" s="251">
        <f t="shared" si="39"/>
        <v>0.90810405619256496</v>
      </c>
      <c r="K46" s="251">
        <f t="shared" si="39"/>
        <v>0.91041101010212044</v>
      </c>
      <c r="L46" s="251">
        <f t="shared" si="39"/>
        <v>0.93309252264476139</v>
      </c>
      <c r="M46" s="252">
        <f t="shared" si="39"/>
        <v>0.91263667082085997</v>
      </c>
      <c r="N46" s="251">
        <f t="shared" si="39"/>
        <v>0.91072923661021443</v>
      </c>
      <c r="O46" s="251">
        <f t="shared" si="39"/>
        <v>0.92820927145766174</v>
      </c>
      <c r="P46" s="251">
        <f t="shared" si="39"/>
        <v>0.94429162440807579</v>
      </c>
      <c r="Q46" s="251">
        <f t="shared" si="39"/>
        <v>0.92970679116460442</v>
      </c>
      <c r="R46" s="252">
        <f t="shared" si="39"/>
        <v>0.92881137318500395</v>
      </c>
      <c r="S46" s="251">
        <f>S13/S11</f>
        <v>0.92255978382065518</v>
      </c>
      <c r="T46" s="253"/>
      <c r="U46" s="253"/>
      <c r="V46" s="253"/>
      <c r="W46" s="252">
        <f>AVERAGE(R46,M46)</f>
        <v>0.92072402200293202</v>
      </c>
      <c r="X46" s="252">
        <f>W46</f>
        <v>0.92072402200293202</v>
      </c>
      <c r="Y46" s="252">
        <f t="shared" ref="Y46:AK46" si="40">X46</f>
        <v>0.92072402200293202</v>
      </c>
      <c r="Z46" s="252">
        <f t="shared" si="40"/>
        <v>0.92072402200293202</v>
      </c>
      <c r="AA46" s="252">
        <f t="shared" si="40"/>
        <v>0.92072402200293202</v>
      </c>
      <c r="AB46" s="252">
        <f t="shared" si="40"/>
        <v>0.92072402200293202</v>
      </c>
      <c r="AC46" s="252">
        <f t="shared" si="40"/>
        <v>0.92072402200293202</v>
      </c>
      <c r="AD46" s="252">
        <f t="shared" si="40"/>
        <v>0.92072402200293202</v>
      </c>
      <c r="AE46" s="252">
        <f t="shared" si="40"/>
        <v>0.92072402200293202</v>
      </c>
      <c r="AF46" s="252">
        <f t="shared" si="40"/>
        <v>0.92072402200293202</v>
      </c>
      <c r="AG46" s="252">
        <f t="shared" si="40"/>
        <v>0.92072402200293202</v>
      </c>
      <c r="AH46" s="252">
        <f t="shared" si="40"/>
        <v>0.92072402200293202</v>
      </c>
      <c r="AI46" s="252">
        <f t="shared" si="40"/>
        <v>0.92072402200293202</v>
      </c>
      <c r="AJ46" s="252">
        <f t="shared" si="40"/>
        <v>0.92072402200293202</v>
      </c>
      <c r="AK46" s="252">
        <f t="shared" si="40"/>
        <v>0.92072402200293202</v>
      </c>
    </row>
    <row r="47" spans="2:37">
      <c r="B47" s="206"/>
      <c r="C47" s="245" t="s">
        <v>188</v>
      </c>
      <c r="D47" s="251">
        <f t="shared" ref="D47:S47" si="41">D17/D11</f>
        <v>-22.440644524827363</v>
      </c>
      <c r="E47" s="251">
        <f t="shared" si="41"/>
        <v>-24.788672350791721</v>
      </c>
      <c r="F47" s="251">
        <f t="shared" si="41"/>
        <v>-33.308677685950414</v>
      </c>
      <c r="G47" s="251">
        <f t="shared" si="41"/>
        <v>-11.022542831379621</v>
      </c>
      <c r="H47" s="252">
        <f t="shared" si="41"/>
        <v>-19.715501006558871</v>
      </c>
      <c r="I47" s="251">
        <f t="shared" si="41"/>
        <v>-1.3080490228552502</v>
      </c>
      <c r="J47" s="251">
        <f t="shared" si="41"/>
        <v>-0.40703517587939697</v>
      </c>
      <c r="K47" s="251">
        <f t="shared" si="41"/>
        <v>-0.19410581394070639</v>
      </c>
      <c r="L47" s="251">
        <f t="shared" si="41"/>
        <v>-0.18434852763210963</v>
      </c>
      <c r="M47" s="252">
        <f t="shared" si="41"/>
        <v>-0.380381714696851</v>
      </c>
      <c r="N47" s="251">
        <f t="shared" si="41"/>
        <v>-5.9627133537257855E-2</v>
      </c>
      <c r="O47" s="251">
        <f t="shared" si="41"/>
        <v>-7.4519567672737291E-2</v>
      </c>
      <c r="P47" s="251">
        <f t="shared" si="41"/>
        <v>-9.2818106863768055E-2</v>
      </c>
      <c r="Q47" s="251">
        <f t="shared" si="41"/>
        <v>-0.15390427871705961</v>
      </c>
      <c r="R47" s="252">
        <f t="shared" si="41"/>
        <v>-9.8187612029476276E-2</v>
      </c>
      <c r="S47" s="251">
        <f t="shared" si="41"/>
        <v>-0.13791271496595953</v>
      </c>
      <c r="T47" s="251"/>
      <c r="U47" s="251"/>
      <c r="V47" s="251"/>
      <c r="W47" s="252">
        <f>W17/W$11</f>
        <v>-5.7114642906037481E-2</v>
      </c>
      <c r="X47" s="252">
        <f t="shared" ref="X47:AK47" si="42">X17/X$11</f>
        <v>-7.9543226005269006E-3</v>
      </c>
      <c r="Y47" s="252">
        <f t="shared" si="42"/>
        <v>4.1205997704983587E-2</v>
      </c>
      <c r="Z47" s="252">
        <f t="shared" si="42"/>
        <v>9.0366318010494107E-2</v>
      </c>
      <c r="AA47" s="252">
        <f t="shared" si="42"/>
        <v>0.13952663831600459</v>
      </c>
      <c r="AB47" s="252">
        <f t="shared" si="42"/>
        <v>0.18868695862151513</v>
      </c>
      <c r="AC47" s="252">
        <f t="shared" si="42"/>
        <v>0.23784727892702573</v>
      </c>
      <c r="AD47" s="252">
        <f t="shared" si="42"/>
        <v>0.28700759923253616</v>
      </c>
      <c r="AE47" s="252">
        <f t="shared" si="42"/>
        <v>0.3361679195380467</v>
      </c>
      <c r="AF47" s="252">
        <f t="shared" si="42"/>
        <v>0.38532823984355724</v>
      </c>
      <c r="AG47" s="252">
        <f t="shared" si="42"/>
        <v>0.41448856014906771</v>
      </c>
      <c r="AH47" s="252">
        <f t="shared" si="42"/>
        <v>0.44364888045457812</v>
      </c>
      <c r="AI47" s="252">
        <f t="shared" si="42"/>
        <v>0.47280920076008881</v>
      </c>
      <c r="AJ47" s="252">
        <f t="shared" si="42"/>
        <v>0.50196952106559922</v>
      </c>
      <c r="AK47" s="252">
        <f t="shared" si="42"/>
        <v>0.53112984137110963</v>
      </c>
    </row>
    <row r="48" spans="2:37">
      <c r="B48" s="206"/>
      <c r="C48" s="245" t="s">
        <v>189</v>
      </c>
      <c r="D48" s="251">
        <f t="shared" ref="D48:S48" si="43">D24/D11</f>
        <v>-22.841499506741208</v>
      </c>
      <c r="E48" s="251">
        <f t="shared" si="43"/>
        <v>-25.581912302070648</v>
      </c>
      <c r="F48" s="251">
        <f t="shared" si="43"/>
        <v>-33.007851239669428</v>
      </c>
      <c r="G48" s="251">
        <f t="shared" si="43"/>
        <v>-10.806432221220318</v>
      </c>
      <c r="H48" s="252">
        <f t="shared" si="43"/>
        <v>-19.823170335736091</v>
      </c>
      <c r="I48" s="251">
        <f t="shared" si="43"/>
        <v>-1.2756134226819886</v>
      </c>
      <c r="J48" s="251">
        <f t="shared" si="43"/>
        <v>1.1070268469418916</v>
      </c>
      <c r="K48" s="251">
        <f t="shared" si="43"/>
        <v>-0.1512240164448011</v>
      </c>
      <c r="L48" s="251">
        <f t="shared" si="43"/>
        <v>-0.22870292273277334</v>
      </c>
      <c r="M48" s="252">
        <f t="shared" si="43"/>
        <v>-2.8969074814024956E-2</v>
      </c>
      <c r="N48" s="251">
        <f t="shared" si="43"/>
        <v>-6.6026709109447884E-2</v>
      </c>
      <c r="O48" s="251">
        <f t="shared" si="43"/>
        <v>-8.5946066267096596E-2</v>
      </c>
      <c r="P48" s="251">
        <f t="shared" si="43"/>
        <v>-8.8929100421005033E-2</v>
      </c>
      <c r="Q48" s="251">
        <f t="shared" si="43"/>
        <v>-0.1966442228549069</v>
      </c>
      <c r="R48" s="252">
        <f t="shared" si="43"/>
        <v>-0.11328610312876403</v>
      </c>
      <c r="S48" s="251">
        <f t="shared" si="43"/>
        <v>-0.12905828184644438</v>
      </c>
      <c r="T48" s="251"/>
      <c r="U48" s="251"/>
      <c r="V48" s="251"/>
      <c r="W48" s="252">
        <f>W24/W$11</f>
        <v>-5.7985226459130908E-2</v>
      </c>
      <c r="X48" s="252">
        <f t="shared" ref="X48:AK48" si="44">X24/X$11</f>
        <v>-8.7170167153354586E-3</v>
      </c>
      <c r="Y48" s="252">
        <f t="shared" si="44"/>
        <v>4.4121581888691787E-2</v>
      </c>
      <c r="Z48" s="252">
        <f t="shared" si="44"/>
        <v>9.7695433020500544E-2</v>
      </c>
      <c r="AA48" s="252">
        <f t="shared" si="44"/>
        <v>0.15124719025600705</v>
      </c>
      <c r="AB48" s="252">
        <f t="shared" si="44"/>
        <v>0.20476685352936747</v>
      </c>
      <c r="AC48" s="252">
        <f t="shared" si="44"/>
        <v>0.25827092798508011</v>
      </c>
      <c r="AD48" s="252">
        <f t="shared" si="44"/>
        <v>0.3117640673022723</v>
      </c>
      <c r="AE48" s="252">
        <f t="shared" si="44"/>
        <v>0.36525189272048536</v>
      </c>
      <c r="AF48" s="252">
        <f t="shared" si="44"/>
        <v>0.41864874899367838</v>
      </c>
      <c r="AG48" s="252">
        <f t="shared" si="44"/>
        <v>0.45028415596203253</v>
      </c>
      <c r="AH48" s="252">
        <f t="shared" si="44"/>
        <v>0.48195269805430813</v>
      </c>
      <c r="AI48" s="252">
        <f t="shared" si="44"/>
        <v>0.51362118601355955</v>
      </c>
      <c r="AJ48" s="252">
        <f t="shared" si="44"/>
        <v>0.54527286529928265</v>
      </c>
      <c r="AK48" s="252">
        <f t="shared" si="44"/>
        <v>0.57693559691912377</v>
      </c>
    </row>
    <row r="51" spans="2:37" s="259" customFormat="1">
      <c r="B51" s="254"/>
      <c r="C51" s="260" t="s">
        <v>307</v>
      </c>
      <c r="D51" s="254"/>
      <c r="E51" s="254"/>
      <c r="F51" s="254"/>
      <c r="G51" s="254"/>
      <c r="H51" s="261"/>
      <c r="I51" s="261"/>
      <c r="J51" s="261"/>
      <c r="K51" s="261"/>
      <c r="L51" s="261"/>
      <c r="M51" s="261"/>
      <c r="N51" s="261"/>
      <c r="O51" s="261"/>
      <c r="P51" s="261"/>
      <c r="Q51" s="261"/>
      <c r="R51" s="261"/>
      <c r="S51" s="261"/>
      <c r="T51" s="261"/>
      <c r="U51" s="261"/>
      <c r="V51" s="261"/>
      <c r="W51" s="261"/>
      <c r="X51" s="261"/>
      <c r="Y51" s="261"/>
      <c r="Z51" s="261"/>
      <c r="AA51" s="261"/>
      <c r="AB51" s="261"/>
      <c r="AC51" s="261"/>
      <c r="AD51" s="261"/>
      <c r="AE51" s="261"/>
      <c r="AF51" s="261"/>
      <c r="AG51" s="261"/>
      <c r="AH51" s="261"/>
      <c r="AI51" s="261"/>
      <c r="AJ51" s="261"/>
      <c r="AK51" s="261"/>
    </row>
    <row r="54" spans="2:37">
      <c r="C54" s="245" t="s">
        <v>194</v>
      </c>
      <c r="M54" s="223">
        <v>5.5730000000000004</v>
      </c>
      <c r="N54" s="223"/>
      <c r="O54" s="223"/>
      <c r="P54" s="223"/>
      <c r="Q54" s="223"/>
      <c r="R54" s="223">
        <v>5.4539999999999997</v>
      </c>
      <c r="W54" s="223">
        <f>R54</f>
        <v>5.4539999999999997</v>
      </c>
      <c r="X54" s="223">
        <f>W54</f>
        <v>5.4539999999999997</v>
      </c>
      <c r="Y54" s="223">
        <f t="shared" ref="Y54:AK54" si="45">X54</f>
        <v>5.4539999999999997</v>
      </c>
      <c r="Z54" s="223">
        <f t="shared" si="45"/>
        <v>5.4539999999999997</v>
      </c>
      <c r="AA54" s="223">
        <f t="shared" si="45"/>
        <v>5.4539999999999997</v>
      </c>
      <c r="AB54" s="223">
        <f t="shared" si="45"/>
        <v>5.4539999999999997</v>
      </c>
      <c r="AC54" s="223">
        <f t="shared" si="45"/>
        <v>5.4539999999999997</v>
      </c>
      <c r="AD54" s="223">
        <f t="shared" si="45"/>
        <v>5.4539999999999997</v>
      </c>
      <c r="AE54" s="223">
        <f t="shared" si="45"/>
        <v>5.4539999999999997</v>
      </c>
      <c r="AF54" s="223">
        <f t="shared" si="45"/>
        <v>5.4539999999999997</v>
      </c>
      <c r="AG54" s="223">
        <f t="shared" si="45"/>
        <v>5.4539999999999997</v>
      </c>
      <c r="AH54" s="223">
        <f t="shared" si="45"/>
        <v>5.4539999999999997</v>
      </c>
      <c r="AI54" s="223">
        <f t="shared" si="45"/>
        <v>5.4539999999999997</v>
      </c>
      <c r="AJ54" s="223">
        <f t="shared" si="45"/>
        <v>5.4539999999999997</v>
      </c>
      <c r="AK54" s="223">
        <f t="shared" si="45"/>
        <v>5.4539999999999997</v>
      </c>
    </row>
    <row r="55" spans="2:37">
      <c r="C55" s="58" t="s">
        <v>193</v>
      </c>
      <c r="R55" s="368">
        <f>R19/AVERAGE(R54,M54)*-1</f>
        <v>0.10410809830416251</v>
      </c>
      <c r="W55" s="368">
        <f>R55</f>
        <v>0.10410809830416251</v>
      </c>
      <c r="X55" s="368">
        <f>W55</f>
        <v>0.10410809830416251</v>
      </c>
      <c r="Y55" s="368">
        <f t="shared" ref="Y55:AK55" si="46">X55</f>
        <v>0.10410809830416251</v>
      </c>
      <c r="Z55" s="368">
        <f t="shared" si="46"/>
        <v>0.10410809830416251</v>
      </c>
      <c r="AA55" s="368">
        <f t="shared" si="46"/>
        <v>0.10410809830416251</v>
      </c>
      <c r="AB55" s="368">
        <f t="shared" si="46"/>
        <v>0.10410809830416251</v>
      </c>
      <c r="AC55" s="368">
        <f t="shared" si="46"/>
        <v>0.10410809830416251</v>
      </c>
      <c r="AD55" s="368">
        <f t="shared" si="46"/>
        <v>0.10410809830416251</v>
      </c>
      <c r="AE55" s="368">
        <f t="shared" si="46"/>
        <v>0.10410809830416251</v>
      </c>
      <c r="AF55" s="368">
        <f t="shared" si="46"/>
        <v>0.10410809830416251</v>
      </c>
      <c r="AG55" s="368">
        <f t="shared" si="46"/>
        <v>0.10410809830416251</v>
      </c>
      <c r="AH55" s="368">
        <f t="shared" si="46"/>
        <v>0.10410809830416251</v>
      </c>
      <c r="AI55" s="368">
        <f t="shared" si="46"/>
        <v>0.10410809830416251</v>
      </c>
      <c r="AJ55" s="368">
        <f t="shared" si="46"/>
        <v>0.10410809830416251</v>
      </c>
      <c r="AK55" s="368">
        <f t="shared" si="46"/>
        <v>0.10410809830416251</v>
      </c>
    </row>
    <row r="57" spans="2:37">
      <c r="C57" s="250" t="s">
        <v>314</v>
      </c>
    </row>
    <row r="58" spans="2:37">
      <c r="C58" s="70" t="s">
        <v>101</v>
      </c>
      <c r="M58" s="223">
        <v>48.883000000000003</v>
      </c>
      <c r="N58" s="223"/>
      <c r="O58" s="223"/>
      <c r="P58" s="223"/>
      <c r="Q58" s="223"/>
      <c r="R58" s="223">
        <v>71.168000000000006</v>
      </c>
      <c r="S58" s="223">
        <v>71.168000000000006</v>
      </c>
      <c r="T58" s="223">
        <v>71.168000000000006</v>
      </c>
      <c r="U58" s="223">
        <v>71.168000000000006</v>
      </c>
      <c r="V58" s="223">
        <v>71.168000000000006</v>
      </c>
      <c r="W58" s="223">
        <f>W59/365*W$11</f>
        <v>95.22420869993617</v>
      </c>
      <c r="X58" s="223">
        <f>X59/365*X$11</f>
        <v>108.69446655073361</v>
      </c>
      <c r="Y58" s="223">
        <f t="shared" ref="Y58:AK58" si="47">Y59/365*Y$11</f>
        <v>128.67240955892512</v>
      </c>
      <c r="Z58" s="223">
        <f t="shared" si="47"/>
        <v>149.84462058742096</v>
      </c>
      <c r="AA58" s="223">
        <f t="shared" si="47"/>
        <v>171.80675129924487</v>
      </c>
      <c r="AB58" s="223">
        <f t="shared" si="47"/>
        <v>187.85308841607375</v>
      </c>
      <c r="AC58" s="223">
        <f t="shared" si="47"/>
        <v>200.0402089445235</v>
      </c>
      <c r="AD58" s="223">
        <f t="shared" si="47"/>
        <v>208.509475498927</v>
      </c>
      <c r="AE58" s="223">
        <f t="shared" si="47"/>
        <v>214.96948061934333</v>
      </c>
      <c r="AF58" s="223">
        <f t="shared" si="47"/>
        <v>181.27458826502911</v>
      </c>
      <c r="AG58" s="223">
        <f t="shared" si="47"/>
        <v>155.04919204681602</v>
      </c>
      <c r="AH58" s="223">
        <f t="shared" si="47"/>
        <v>142.54779648617384</v>
      </c>
      <c r="AI58" s="223">
        <f t="shared" si="47"/>
        <v>131.90148087740542</v>
      </c>
      <c r="AJ58" s="223">
        <f t="shared" si="47"/>
        <v>119.98983889453599</v>
      </c>
      <c r="AK58" s="223">
        <f t="shared" si="47"/>
        <v>111.55611537079507</v>
      </c>
    </row>
    <row r="59" spans="2:37">
      <c r="C59" s="268" t="s">
        <v>196</v>
      </c>
      <c r="M59" s="138">
        <f>M58/M$11*365</f>
        <v>57.309544152223353</v>
      </c>
      <c r="N59" s="223"/>
      <c r="O59" s="223"/>
      <c r="P59" s="223"/>
      <c r="Q59" s="223"/>
      <c r="R59" s="138">
        <f>R58/R$11*365</f>
        <v>49.271763355810357</v>
      </c>
      <c r="S59" s="138">
        <f t="shared" ref="S59:V59" si="48">S58/S$11*365</f>
        <v>170.37450972675876</v>
      </c>
      <c r="T59" s="138" t="e">
        <f t="shared" si="48"/>
        <v>#DIV/0!</v>
      </c>
      <c r="U59" s="138" t="e">
        <f t="shared" si="48"/>
        <v>#DIV/0!</v>
      </c>
      <c r="V59" s="138" t="e">
        <f t="shared" si="48"/>
        <v>#DIV/0!</v>
      </c>
      <c r="W59" s="138">
        <f>AVERAGE(R59,M59)</f>
        <v>53.290653754016859</v>
      </c>
      <c r="X59" s="138">
        <f>W59</f>
        <v>53.290653754016859</v>
      </c>
      <c r="Y59" s="138">
        <f t="shared" ref="Y59:AK59" si="49">X59</f>
        <v>53.290653754016859</v>
      </c>
      <c r="Z59" s="138">
        <f t="shared" si="49"/>
        <v>53.290653754016859</v>
      </c>
      <c r="AA59" s="138">
        <f t="shared" si="49"/>
        <v>53.290653754016859</v>
      </c>
      <c r="AB59" s="138">
        <f t="shared" si="49"/>
        <v>53.290653754016859</v>
      </c>
      <c r="AC59" s="138">
        <f t="shared" si="49"/>
        <v>53.290653754016859</v>
      </c>
      <c r="AD59" s="138">
        <f t="shared" si="49"/>
        <v>53.290653754016859</v>
      </c>
      <c r="AE59" s="138">
        <f t="shared" si="49"/>
        <v>53.290653754016859</v>
      </c>
      <c r="AF59" s="138">
        <f t="shared" si="49"/>
        <v>53.290653754016859</v>
      </c>
      <c r="AG59" s="138">
        <f t="shared" si="49"/>
        <v>53.290653754016859</v>
      </c>
      <c r="AH59" s="138">
        <f t="shared" si="49"/>
        <v>53.290653754016859</v>
      </c>
      <c r="AI59" s="138">
        <f t="shared" si="49"/>
        <v>53.290653754016859</v>
      </c>
      <c r="AJ59" s="138">
        <f t="shared" si="49"/>
        <v>53.290653754016859</v>
      </c>
      <c r="AK59" s="138">
        <f t="shared" si="49"/>
        <v>53.290653754016859</v>
      </c>
    </row>
    <row r="60" spans="2:37">
      <c r="C60" s="70" t="s">
        <v>102</v>
      </c>
      <c r="M60" s="223">
        <v>85.528000000000006</v>
      </c>
      <c r="N60" s="223"/>
      <c r="O60" s="223"/>
      <c r="P60" s="223"/>
      <c r="Q60" s="223"/>
      <c r="R60" s="223">
        <v>129.13800000000001</v>
      </c>
      <c r="S60" s="223">
        <v>129.13800000000001</v>
      </c>
      <c r="T60" s="223">
        <v>129.13800000000001</v>
      </c>
      <c r="U60" s="223">
        <v>129.13800000000001</v>
      </c>
      <c r="V60" s="223">
        <v>129.13800000000001</v>
      </c>
      <c r="W60" s="223">
        <f>W61*W$11</f>
        <v>169.46594713282073</v>
      </c>
      <c r="X60" s="223">
        <f>X61*X$11</f>
        <v>193.43831756229778</v>
      </c>
      <c r="Y60" s="223">
        <f t="shared" ref="Y60:AK60" si="50">Y61*Y$11</f>
        <v>228.9921024650119</v>
      </c>
      <c r="Z60" s="223">
        <f t="shared" si="50"/>
        <v>266.67126875922764</v>
      </c>
      <c r="AA60" s="223">
        <f t="shared" si="50"/>
        <v>305.75621714522083</v>
      </c>
      <c r="AB60" s="223">
        <f t="shared" si="50"/>
        <v>334.31311202144741</v>
      </c>
      <c r="AC60" s="223">
        <f t="shared" si="50"/>
        <v>356.00194463420888</v>
      </c>
      <c r="AD60" s="223">
        <f t="shared" si="50"/>
        <v>371.07429123343326</v>
      </c>
      <c r="AE60" s="223">
        <f t="shared" si="50"/>
        <v>382.57085183667147</v>
      </c>
      <c r="AF60" s="223">
        <f t="shared" si="50"/>
        <v>322.6056715078364</v>
      </c>
      <c r="AG60" s="223">
        <f t="shared" si="50"/>
        <v>275.93359442019602</v>
      </c>
      <c r="AH60" s="223">
        <f t="shared" si="50"/>
        <v>253.68546163872941</v>
      </c>
      <c r="AI60" s="223">
        <f t="shared" si="50"/>
        <v>234.73872548048945</v>
      </c>
      <c r="AJ60" s="223">
        <f t="shared" si="50"/>
        <v>213.54014879401925</v>
      </c>
      <c r="AK60" s="223">
        <f t="shared" si="50"/>
        <v>198.53105641803751</v>
      </c>
    </row>
    <row r="61" spans="2:37">
      <c r="C61" s="268" t="s">
        <v>199</v>
      </c>
      <c r="M61" s="273">
        <f>M60/M$11</f>
        <v>0.27471637994167003</v>
      </c>
      <c r="N61" s="372"/>
      <c r="O61" s="372"/>
      <c r="P61" s="372"/>
      <c r="Q61" s="372"/>
      <c r="R61" s="273">
        <f>R60/R$11</f>
        <v>0.24494835974620877</v>
      </c>
      <c r="S61" s="273">
        <f t="shared" ref="S61:V61" si="51">S60/S$11</f>
        <v>0.84699539569477789</v>
      </c>
      <c r="T61" s="273" t="e">
        <f t="shared" si="51"/>
        <v>#DIV/0!</v>
      </c>
      <c r="U61" s="273" t="e">
        <f t="shared" si="51"/>
        <v>#DIV/0!</v>
      </c>
      <c r="V61" s="273" t="e">
        <f t="shared" si="51"/>
        <v>#DIV/0!</v>
      </c>
      <c r="W61" s="273">
        <f>AVERAGE(R61,M61)</f>
        <v>0.25983236984393943</v>
      </c>
      <c r="X61" s="273">
        <f>W61</f>
        <v>0.25983236984393943</v>
      </c>
      <c r="Y61" s="273">
        <f t="shared" ref="Y61:AK61" si="52">X61</f>
        <v>0.25983236984393943</v>
      </c>
      <c r="Z61" s="273">
        <f t="shared" si="52"/>
        <v>0.25983236984393943</v>
      </c>
      <c r="AA61" s="273">
        <f t="shared" si="52"/>
        <v>0.25983236984393943</v>
      </c>
      <c r="AB61" s="273">
        <f t="shared" si="52"/>
        <v>0.25983236984393943</v>
      </c>
      <c r="AC61" s="273">
        <f t="shared" si="52"/>
        <v>0.25983236984393943</v>
      </c>
      <c r="AD61" s="273">
        <f t="shared" si="52"/>
        <v>0.25983236984393943</v>
      </c>
      <c r="AE61" s="273">
        <f t="shared" si="52"/>
        <v>0.25983236984393943</v>
      </c>
      <c r="AF61" s="273">
        <f t="shared" si="52"/>
        <v>0.25983236984393943</v>
      </c>
      <c r="AG61" s="273">
        <f t="shared" si="52"/>
        <v>0.25983236984393943</v>
      </c>
      <c r="AH61" s="273">
        <f t="shared" si="52"/>
        <v>0.25983236984393943</v>
      </c>
      <c r="AI61" s="273">
        <f t="shared" si="52"/>
        <v>0.25983236984393943</v>
      </c>
      <c r="AJ61" s="273">
        <f t="shared" si="52"/>
        <v>0.25983236984393943</v>
      </c>
      <c r="AK61" s="273">
        <f t="shared" si="52"/>
        <v>0.25983236984393943</v>
      </c>
    </row>
    <row r="62" spans="2:37">
      <c r="C62" s="70" t="s">
        <v>108</v>
      </c>
      <c r="M62" s="223">
        <v>9.99</v>
      </c>
      <c r="N62" s="223"/>
      <c r="O62" s="223"/>
      <c r="P62" s="223"/>
      <c r="Q62" s="223"/>
      <c r="R62" s="223">
        <v>21.87</v>
      </c>
      <c r="S62" s="223">
        <v>21.87</v>
      </c>
      <c r="T62" s="223">
        <v>21.87</v>
      </c>
      <c r="U62" s="223">
        <v>21.87</v>
      </c>
      <c r="V62" s="223">
        <v>21.87</v>
      </c>
      <c r="W62" s="223">
        <f>W63/365*W$12</f>
        <v>24.56006588991804</v>
      </c>
      <c r="X62" s="223">
        <f>X63/365*X$12</f>
        <v>28.034291876003756</v>
      </c>
      <c r="Y62" s="223">
        <f t="shared" ref="Y62:AK62" si="53">Y63/365*Y$12</f>
        <v>33.186968945469829</v>
      </c>
      <c r="Z62" s="223">
        <f t="shared" si="53"/>
        <v>38.647669590761232</v>
      </c>
      <c r="AA62" s="223">
        <f t="shared" si="53"/>
        <v>44.312104976778251</v>
      </c>
      <c r="AB62" s="223">
        <f t="shared" si="53"/>
        <v>48.450748944122886</v>
      </c>
      <c r="AC62" s="223">
        <f t="shared" si="53"/>
        <v>51.594030335205673</v>
      </c>
      <c r="AD62" s="223">
        <f t="shared" si="53"/>
        <v>53.778409154996027</v>
      </c>
      <c r="AE62" s="223">
        <f t="shared" si="53"/>
        <v>55.444562684363518</v>
      </c>
      <c r="AF62" s="223">
        <f t="shared" si="53"/>
        <v>46.754033378067433</v>
      </c>
      <c r="AG62" s="223">
        <f t="shared" si="53"/>
        <v>39.990023806319201</v>
      </c>
      <c r="AH62" s="223">
        <f t="shared" si="53"/>
        <v>36.765685133652397</v>
      </c>
      <c r="AI62" s="223">
        <f t="shared" si="53"/>
        <v>34.019805525871611</v>
      </c>
      <c r="AJ62" s="223">
        <f t="shared" si="53"/>
        <v>30.947575092555521</v>
      </c>
      <c r="AK62" s="223">
        <f t="shared" si="53"/>
        <v>28.772363470759508</v>
      </c>
    </row>
    <row r="63" spans="2:37">
      <c r="C63" s="268" t="s">
        <v>198</v>
      </c>
      <c r="M63" s="138">
        <f>M62/M$12*365</f>
        <v>134.06191404095736</v>
      </c>
      <c r="N63" s="223"/>
      <c r="O63" s="223"/>
      <c r="P63" s="223"/>
      <c r="Q63" s="223"/>
      <c r="R63" s="138">
        <f>R62/R$12*365</f>
        <v>212.69217446910551</v>
      </c>
      <c r="S63" s="138">
        <f t="shared" ref="S63:V63" si="54">S62/S$12*365</f>
        <v>676.08622003895994</v>
      </c>
      <c r="T63" s="138" t="e">
        <f t="shared" si="54"/>
        <v>#DIV/0!</v>
      </c>
      <c r="U63" s="138" t="e">
        <f t="shared" si="54"/>
        <v>#DIV/0!</v>
      </c>
      <c r="V63" s="138" t="e">
        <f t="shared" si="54"/>
        <v>#DIV/0!</v>
      </c>
      <c r="W63" s="138">
        <f>AVERAGE(R63,M63)</f>
        <v>173.37704425503142</v>
      </c>
      <c r="X63" s="138">
        <f>W63</f>
        <v>173.37704425503142</v>
      </c>
      <c r="Y63" s="138">
        <f t="shared" ref="Y63:AK63" si="55">X63</f>
        <v>173.37704425503142</v>
      </c>
      <c r="Z63" s="138">
        <f t="shared" si="55"/>
        <v>173.37704425503142</v>
      </c>
      <c r="AA63" s="138">
        <f t="shared" si="55"/>
        <v>173.37704425503142</v>
      </c>
      <c r="AB63" s="138">
        <f t="shared" si="55"/>
        <v>173.37704425503142</v>
      </c>
      <c r="AC63" s="138">
        <f t="shared" si="55"/>
        <v>173.37704425503142</v>
      </c>
      <c r="AD63" s="138">
        <f t="shared" si="55"/>
        <v>173.37704425503142</v>
      </c>
      <c r="AE63" s="138">
        <f t="shared" si="55"/>
        <v>173.37704425503142</v>
      </c>
      <c r="AF63" s="138">
        <f t="shared" si="55"/>
        <v>173.37704425503142</v>
      </c>
      <c r="AG63" s="138">
        <f t="shared" si="55"/>
        <v>173.37704425503142</v>
      </c>
      <c r="AH63" s="138">
        <f t="shared" si="55"/>
        <v>173.37704425503142</v>
      </c>
      <c r="AI63" s="138">
        <f t="shared" si="55"/>
        <v>173.37704425503142</v>
      </c>
      <c r="AJ63" s="138">
        <f t="shared" si="55"/>
        <v>173.37704425503142</v>
      </c>
      <c r="AK63" s="138">
        <f t="shared" si="55"/>
        <v>173.37704425503142</v>
      </c>
    </row>
    <row r="64" spans="2:37">
      <c r="C64" s="70" t="s">
        <v>109</v>
      </c>
      <c r="M64" s="223">
        <v>99.373999999999995</v>
      </c>
      <c r="N64" s="223"/>
      <c r="O64" s="223"/>
      <c r="P64" s="223"/>
      <c r="Q64" s="223"/>
      <c r="R64" s="223">
        <v>127.849</v>
      </c>
      <c r="S64" s="223">
        <v>127.849</v>
      </c>
      <c r="T64" s="223">
        <v>127.849</v>
      </c>
      <c r="U64" s="223">
        <v>127.849</v>
      </c>
      <c r="V64" s="223">
        <v>127.849</v>
      </c>
      <c r="W64" s="223">
        <f>W65*W$11</f>
        <v>183.17169110372512</v>
      </c>
      <c r="X64" s="223">
        <f>X65*X$11</f>
        <v>209.08285323171719</v>
      </c>
      <c r="Y64" s="223">
        <f t="shared" ref="Y64:AK64" si="56">Y65*Y$11</f>
        <v>247.51208940542489</v>
      </c>
      <c r="Z64" s="223">
        <f t="shared" si="56"/>
        <v>288.2385995171033</v>
      </c>
      <c r="AA64" s="223">
        <f t="shared" si="56"/>
        <v>330.48458588599334</v>
      </c>
      <c r="AB64" s="223">
        <f t="shared" si="56"/>
        <v>361.35105089356222</v>
      </c>
      <c r="AC64" s="223">
        <f t="shared" si="56"/>
        <v>384.79399158436325</v>
      </c>
      <c r="AD64" s="223">
        <f t="shared" si="56"/>
        <v>401.08533071291146</v>
      </c>
      <c r="AE64" s="223">
        <f t="shared" si="56"/>
        <v>413.51168823901162</v>
      </c>
      <c r="AF64" s="223">
        <f t="shared" si="56"/>
        <v>348.69675831350986</v>
      </c>
      <c r="AG64" s="223">
        <f t="shared" si="56"/>
        <v>298.25002590439561</v>
      </c>
      <c r="AH64" s="223">
        <f t="shared" si="56"/>
        <v>274.20255103153835</v>
      </c>
      <c r="AI64" s="223">
        <f t="shared" si="56"/>
        <v>253.72347684750264</v>
      </c>
      <c r="AJ64" s="223">
        <f t="shared" si="56"/>
        <v>230.81044206766322</v>
      </c>
      <c r="AK64" s="223">
        <f t="shared" si="56"/>
        <v>214.58747291690011</v>
      </c>
    </row>
    <row r="65" spans="3:38">
      <c r="C65" s="268" t="s">
        <v>199</v>
      </c>
      <c r="M65" s="273">
        <f>M64/M$11</f>
        <v>0.31918980381072293</v>
      </c>
      <c r="N65" s="372"/>
      <c r="O65" s="372"/>
      <c r="P65" s="372"/>
      <c r="Q65" s="372"/>
      <c r="R65" s="273">
        <f>R64/R$11</f>
        <v>0.24250339052171355</v>
      </c>
      <c r="S65" s="273">
        <f t="shared" ref="S65:V65" si="57">S64/S$11</f>
        <v>0.83854105177547777</v>
      </c>
      <c r="T65" s="273" t="e">
        <f t="shared" si="57"/>
        <v>#DIV/0!</v>
      </c>
      <c r="U65" s="273" t="e">
        <f t="shared" si="57"/>
        <v>#DIV/0!</v>
      </c>
      <c r="V65" s="273" t="e">
        <f t="shared" si="57"/>
        <v>#DIV/0!</v>
      </c>
      <c r="W65" s="273">
        <f>AVERAGE(R65,M65)</f>
        <v>0.28084659716621824</v>
      </c>
      <c r="X65" s="273">
        <f>W65</f>
        <v>0.28084659716621824</v>
      </c>
      <c r="Y65" s="273">
        <f t="shared" ref="Y65:AK65" si="58">X65</f>
        <v>0.28084659716621824</v>
      </c>
      <c r="Z65" s="273">
        <f t="shared" si="58"/>
        <v>0.28084659716621824</v>
      </c>
      <c r="AA65" s="273">
        <f t="shared" si="58"/>
        <v>0.28084659716621824</v>
      </c>
      <c r="AB65" s="273">
        <f t="shared" si="58"/>
        <v>0.28084659716621824</v>
      </c>
      <c r="AC65" s="273">
        <f t="shared" si="58"/>
        <v>0.28084659716621824</v>
      </c>
      <c r="AD65" s="273">
        <f t="shared" si="58"/>
        <v>0.28084659716621824</v>
      </c>
      <c r="AE65" s="273">
        <f t="shared" si="58"/>
        <v>0.28084659716621824</v>
      </c>
      <c r="AF65" s="273">
        <f t="shared" si="58"/>
        <v>0.28084659716621824</v>
      </c>
      <c r="AG65" s="273">
        <f t="shared" si="58"/>
        <v>0.28084659716621824</v>
      </c>
      <c r="AH65" s="273">
        <f t="shared" si="58"/>
        <v>0.28084659716621824</v>
      </c>
      <c r="AI65" s="273">
        <f t="shared" si="58"/>
        <v>0.28084659716621824</v>
      </c>
      <c r="AJ65" s="273">
        <f t="shared" si="58"/>
        <v>0.28084659716621824</v>
      </c>
      <c r="AK65" s="273">
        <f t="shared" si="58"/>
        <v>0.28084659716621824</v>
      </c>
    </row>
    <row r="66" spans="3:38">
      <c r="C66" s="268"/>
      <c r="M66" s="273"/>
      <c r="N66" s="372"/>
      <c r="O66" s="372"/>
      <c r="P66" s="372"/>
      <c r="Q66" s="372"/>
      <c r="R66" s="273"/>
      <c r="S66" s="273"/>
      <c r="T66" s="273"/>
      <c r="U66" s="273"/>
      <c r="V66" s="273"/>
      <c r="W66" s="273"/>
      <c r="X66" s="273"/>
      <c r="Y66" s="273"/>
      <c r="Z66" s="273"/>
      <c r="AA66" s="273"/>
      <c r="AB66" s="273"/>
      <c r="AC66" s="273"/>
      <c r="AD66" s="273"/>
      <c r="AE66" s="273"/>
      <c r="AF66" s="273"/>
      <c r="AG66" s="273"/>
      <c r="AH66" s="273"/>
      <c r="AI66" s="273"/>
      <c r="AJ66" s="273"/>
      <c r="AK66" s="273"/>
    </row>
    <row r="67" spans="3:38">
      <c r="C67" s="250" t="s">
        <v>327</v>
      </c>
      <c r="M67" s="223">
        <f>M58+M60-M62-M64</f>
        <v>25.047000000000011</v>
      </c>
      <c r="N67" s="372"/>
      <c r="O67" s="372"/>
      <c r="P67" s="372"/>
      <c r="Q67" s="372"/>
      <c r="R67" s="223">
        <f>R58+R60-R62-R64</f>
        <v>50.587000000000003</v>
      </c>
      <c r="S67" s="273"/>
      <c r="T67" s="273"/>
      <c r="U67" s="273"/>
      <c r="V67" s="273"/>
      <c r="W67" s="223">
        <f>W58+W60-W62-W64</f>
        <v>56.958398839113727</v>
      </c>
      <c r="X67" s="223">
        <f t="shared" ref="X67:AK67" si="59">X58+X60-X62-X64</f>
        <v>65.015639005310447</v>
      </c>
      <c r="Y67" s="223">
        <f t="shared" si="59"/>
        <v>76.965453673042305</v>
      </c>
      <c r="Z67" s="223">
        <f t="shared" si="59"/>
        <v>89.629620238784071</v>
      </c>
      <c r="AA67" s="223">
        <f t="shared" si="59"/>
        <v>102.76627758169411</v>
      </c>
      <c r="AB67" s="223">
        <f t="shared" si="59"/>
        <v>112.36440059983607</v>
      </c>
      <c r="AC67" s="223">
        <f t="shared" si="59"/>
        <v>119.65413165916345</v>
      </c>
      <c r="AD67" s="223">
        <f t="shared" si="59"/>
        <v>124.72002686445279</v>
      </c>
      <c r="AE67" s="223">
        <f t="shared" si="59"/>
        <v>128.58408153263963</v>
      </c>
      <c r="AF67" s="223">
        <f t="shared" si="59"/>
        <v>108.42946808128823</v>
      </c>
      <c r="AG67" s="223">
        <f t="shared" si="59"/>
        <v>92.742736756297234</v>
      </c>
      <c r="AH67" s="223">
        <f t="shared" si="59"/>
        <v>85.265021959712556</v>
      </c>
      <c r="AI67" s="223">
        <f t="shared" si="59"/>
        <v>78.896923984520583</v>
      </c>
      <c r="AJ67" s="223">
        <f t="shared" si="59"/>
        <v>71.771970528336539</v>
      </c>
      <c r="AK67" s="223">
        <f t="shared" si="59"/>
        <v>66.727335401172951</v>
      </c>
    </row>
    <row r="68" spans="3:38">
      <c r="C68" s="250" t="s">
        <v>328</v>
      </c>
      <c r="M68" s="223"/>
      <c r="N68" s="372"/>
      <c r="O68" s="372"/>
      <c r="P68" s="372"/>
      <c r="Q68" s="372"/>
      <c r="R68" s="223">
        <f>R67-M67</f>
        <v>25.539999999999992</v>
      </c>
      <c r="S68" s="223"/>
      <c r="T68" s="223"/>
      <c r="U68" s="223"/>
      <c r="V68" s="223"/>
      <c r="W68" s="223">
        <f>W67-R67</f>
        <v>6.3713988391137235</v>
      </c>
      <c r="X68" s="223">
        <f>X67-W67</f>
        <v>8.0572401661967206</v>
      </c>
      <c r="Y68" s="223">
        <f t="shared" ref="Y68:AK68" si="60">Y67-X67</f>
        <v>11.949814667731857</v>
      </c>
      <c r="Z68" s="223">
        <f t="shared" si="60"/>
        <v>12.664166565741766</v>
      </c>
      <c r="AA68" s="223">
        <f t="shared" si="60"/>
        <v>13.136657342910041</v>
      </c>
      <c r="AB68" s="223">
        <f t="shared" si="60"/>
        <v>9.5981230181419619</v>
      </c>
      <c r="AC68" s="223">
        <f t="shared" si="60"/>
        <v>7.2897310593273801</v>
      </c>
      <c r="AD68" s="223">
        <f t="shared" si="60"/>
        <v>5.0658952052893369</v>
      </c>
      <c r="AE68" s="223">
        <f t="shared" si="60"/>
        <v>3.8640546681868386</v>
      </c>
      <c r="AF68" s="223">
        <f t="shared" si="60"/>
        <v>-20.154613451351395</v>
      </c>
      <c r="AG68" s="223">
        <f t="shared" si="60"/>
        <v>-15.686731324991001</v>
      </c>
      <c r="AH68" s="223">
        <f t="shared" si="60"/>
        <v>-7.477714796584678</v>
      </c>
      <c r="AI68" s="223">
        <f t="shared" si="60"/>
        <v>-6.3680979751919722</v>
      </c>
      <c r="AJ68" s="223">
        <f t="shared" si="60"/>
        <v>-7.1249534561840449</v>
      </c>
      <c r="AK68" s="223">
        <f t="shared" si="60"/>
        <v>-5.0446351271635876</v>
      </c>
      <c r="AL68" s="223"/>
    </row>
    <row r="69" spans="3:38"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23"/>
      <c r="AB69" s="223"/>
      <c r="AC69" s="223"/>
      <c r="AD69" s="223"/>
      <c r="AE69" s="223"/>
      <c r="AF69" s="223"/>
      <c r="AG69" s="223"/>
      <c r="AH69" s="223"/>
      <c r="AI69" s="223"/>
      <c r="AJ69" s="223"/>
      <c r="AK69" s="223"/>
    </row>
    <row r="70" spans="3:38">
      <c r="C70" s="250" t="s">
        <v>326</v>
      </c>
      <c r="M70" s="223">
        <f>40.386+2.102</f>
        <v>42.488</v>
      </c>
      <c r="N70" s="223"/>
      <c r="O70" s="223"/>
      <c r="P70" s="223"/>
      <c r="Q70" s="223"/>
      <c r="R70" s="223">
        <f>18.585+3.018+6.404</f>
        <v>28.007000000000001</v>
      </c>
      <c r="S70" s="223"/>
      <c r="T70" s="223"/>
      <c r="U70" s="223"/>
      <c r="V70" s="223"/>
      <c r="W70" s="223">
        <f>W71*W$11</f>
        <v>32.610630314191688</v>
      </c>
      <c r="X70" s="223">
        <f>X71*X$11</f>
        <v>37.223675725715154</v>
      </c>
      <c r="Y70" s="223">
        <f t="shared" ref="Y70" si="61">Y71*Y$11</f>
        <v>44.065353097181308</v>
      </c>
      <c r="Z70" s="223">
        <f t="shared" ref="Z70" si="62">Z71*Z$11</f>
        <v>51.316021348570963</v>
      </c>
      <c r="AA70" s="223">
        <f t="shared" ref="AA70" si="63">AA71*AA$11</f>
        <v>58.837206720791599</v>
      </c>
      <c r="AB70" s="223">
        <f t="shared" ref="AB70" si="64">AB71*AB$11</f>
        <v>64.332460236236656</v>
      </c>
      <c r="AC70" s="223">
        <f t="shared" ref="AC70" si="65">AC71*AC$11</f>
        <v>68.506080448719857</v>
      </c>
      <c r="AD70" s="223">
        <f t="shared" ref="AD70" si="66">AD71*AD$11</f>
        <v>71.406478618562417</v>
      </c>
      <c r="AE70" s="223">
        <f t="shared" ref="AE70" si="67">AE71*AE$11</f>
        <v>73.618781999034852</v>
      </c>
      <c r="AF70" s="223">
        <f t="shared" ref="AF70" si="68">AF71*AF$11</f>
        <v>62.079576863652498</v>
      </c>
      <c r="AG70" s="223">
        <f t="shared" ref="AG70" si="69">AG71*AG$11</f>
        <v>53.098386968861377</v>
      </c>
      <c r="AH70" s="223">
        <f t="shared" ref="AH70" si="70">AH71*AH$11</f>
        <v>48.817139641049735</v>
      </c>
      <c r="AI70" s="223">
        <f t="shared" ref="AI70" si="71">AI71*AI$11</f>
        <v>45.171185872929975</v>
      </c>
      <c r="AJ70" s="223">
        <f t="shared" ref="AJ70" si="72">AJ71*AJ$11</f>
        <v>41.091906470751852</v>
      </c>
      <c r="AK70" s="223">
        <f t="shared" ref="AK70" si="73">AK71*AK$11</f>
        <v>38.203680422358325</v>
      </c>
    </row>
    <row r="71" spans="3:38">
      <c r="C71" s="268" t="s">
        <v>199</v>
      </c>
      <c r="M71" s="273">
        <f>M70/M$11</f>
        <v>0.13647167653822928</v>
      </c>
      <c r="N71" s="372"/>
      <c r="O71" s="372"/>
      <c r="P71" s="372"/>
      <c r="Q71" s="372"/>
      <c r="R71" s="273">
        <f>R70/R$11</f>
        <v>5.3123547766049259E-2</v>
      </c>
      <c r="S71" s="223"/>
      <c r="T71" s="223"/>
      <c r="U71" s="223"/>
      <c r="V71" s="223"/>
      <c r="W71" s="273">
        <v>0.05</v>
      </c>
      <c r="X71" s="273">
        <v>0.05</v>
      </c>
      <c r="Y71" s="273">
        <v>0.05</v>
      </c>
      <c r="Z71" s="273">
        <v>0.05</v>
      </c>
      <c r="AA71" s="273">
        <v>0.05</v>
      </c>
      <c r="AB71" s="273">
        <v>0.05</v>
      </c>
      <c r="AC71" s="273">
        <v>0.05</v>
      </c>
      <c r="AD71" s="273">
        <v>0.05</v>
      </c>
      <c r="AE71" s="273">
        <v>0.05</v>
      </c>
      <c r="AF71" s="273">
        <v>0.05</v>
      </c>
      <c r="AG71" s="273">
        <v>0.05</v>
      </c>
      <c r="AH71" s="273">
        <v>0.05</v>
      </c>
      <c r="AI71" s="273">
        <v>0.05</v>
      </c>
      <c r="AJ71" s="273">
        <v>0.05</v>
      </c>
      <c r="AK71" s="273">
        <v>0.05</v>
      </c>
    </row>
    <row r="72" spans="3:38">
      <c r="M72" s="223"/>
      <c r="N72" s="223"/>
      <c r="O72" s="223"/>
      <c r="P72" s="223"/>
      <c r="Q72" s="223"/>
      <c r="R72" s="223"/>
      <c r="S72" s="223"/>
      <c r="T72" s="223"/>
      <c r="U72" s="223"/>
      <c r="V72" s="223"/>
      <c r="W72" s="223"/>
      <c r="X72" s="223"/>
      <c r="Y72" s="223"/>
      <c r="Z72" s="223"/>
      <c r="AA72" s="223"/>
      <c r="AB72" s="223"/>
      <c r="AC72" s="223"/>
      <c r="AD72" s="223"/>
      <c r="AE72" s="223"/>
      <c r="AF72" s="223"/>
      <c r="AG72" s="223"/>
      <c r="AH72" s="223"/>
      <c r="AI72" s="223"/>
      <c r="AJ72" s="223"/>
      <c r="AK72" s="223"/>
    </row>
  </sheetData>
  <phoneticPr fontId="43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784F-48C7-4916-8FBD-4A992438F0F3}">
  <dimension ref="A3:BP177"/>
  <sheetViews>
    <sheetView showGridLines="0" topLeftCell="A16" zoomScale="109" zoomScaleNormal="82" workbookViewId="0">
      <pane xSplit="3" topLeftCell="D1" activePane="topRight" state="frozen"/>
      <selection pane="topRight" activeCell="AH10" sqref="AH10"/>
    </sheetView>
  </sheetViews>
  <sheetFormatPr defaultColWidth="8.77734375" defaultRowHeight="11.4"/>
  <cols>
    <col min="1" max="2" width="2.6640625" style="276" customWidth="1"/>
    <col min="3" max="3" width="33.44140625" style="276" customWidth="1"/>
    <col min="4" max="14" width="8" style="276" customWidth="1"/>
    <col min="15" max="15" width="11.6640625" style="276" customWidth="1"/>
    <col min="16" max="28" width="8" style="276" customWidth="1"/>
    <col min="29" max="29" width="8.6640625" style="276" customWidth="1"/>
    <col min="30" max="33" width="6.6640625" style="276" customWidth="1"/>
    <col min="34" max="34" width="8.6640625" style="276" bestFit="1" customWidth="1"/>
    <col min="35" max="16384" width="8.77734375" style="276"/>
  </cols>
  <sheetData>
    <row r="3" spans="3:68" s="278" customFormat="1" ht="12">
      <c r="C3" s="277" t="s">
        <v>204</v>
      </c>
      <c r="D3" s="277"/>
      <c r="E3" s="277"/>
      <c r="F3" s="277"/>
      <c r="G3" s="277"/>
      <c r="H3" s="277"/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277"/>
      <c r="AA3" s="277"/>
      <c r="AB3" s="277"/>
      <c r="AC3" s="277"/>
      <c r="AD3" s="277"/>
      <c r="AE3" s="277"/>
      <c r="AF3" s="277"/>
      <c r="AG3" s="277"/>
      <c r="AH3" s="277"/>
      <c r="AI3" s="277"/>
      <c r="AJ3" s="277"/>
      <c r="AK3" s="277"/>
      <c r="AL3" s="277"/>
      <c r="AM3" s="277"/>
      <c r="AN3" s="277"/>
      <c r="AO3" s="277"/>
      <c r="AP3" s="277"/>
      <c r="AQ3" s="277"/>
      <c r="AR3" s="277"/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277"/>
      <c r="BJ3" s="277"/>
      <c r="BK3" s="277"/>
      <c r="BL3" s="277"/>
      <c r="BM3" s="277"/>
      <c r="BN3" s="277"/>
      <c r="BO3" s="277"/>
      <c r="BP3" s="277"/>
    </row>
    <row r="5" spans="3:68" s="278" customFormat="1" ht="12">
      <c r="C5" s="279" t="s">
        <v>295</v>
      </c>
      <c r="D5" s="279"/>
      <c r="E5" s="279"/>
      <c r="F5" s="279"/>
      <c r="G5" s="279"/>
      <c r="H5" s="279"/>
      <c r="I5" s="279"/>
      <c r="J5" s="279"/>
      <c r="K5" s="279"/>
      <c r="L5" s="279"/>
      <c r="M5" s="279"/>
      <c r="N5" s="276"/>
      <c r="O5" s="279" t="s">
        <v>298</v>
      </c>
      <c r="P5" s="279"/>
      <c r="Q5" s="279"/>
      <c r="R5" s="279"/>
      <c r="S5" s="279"/>
      <c r="T5" s="279"/>
      <c r="U5" s="279"/>
      <c r="V5" s="279"/>
      <c r="W5" s="279"/>
      <c r="X5" s="279"/>
      <c r="Y5" s="279"/>
      <c r="Z5" s="279"/>
      <c r="AA5" s="279"/>
      <c r="AB5" s="279"/>
      <c r="AC5" s="279"/>
      <c r="AD5" s="279"/>
      <c r="AE5" s="279"/>
      <c r="AF5" s="279"/>
      <c r="AG5" s="279"/>
      <c r="AH5" s="279"/>
      <c r="AK5" s="279" t="s">
        <v>205</v>
      </c>
      <c r="AL5" s="279"/>
      <c r="AM5" s="279"/>
      <c r="AN5" s="279"/>
      <c r="AO5" s="279"/>
      <c r="AP5" s="279"/>
      <c r="AQ5" s="279"/>
      <c r="AR5" s="279"/>
      <c r="AS5" s="279"/>
      <c r="AT5" s="279"/>
      <c r="AU5" s="279"/>
      <c r="AV5" s="279"/>
      <c r="AW5" s="279"/>
      <c r="AX5" s="279"/>
      <c r="AY5" s="279"/>
      <c r="AZ5" s="279"/>
      <c r="BA5" s="279"/>
      <c r="BB5" s="279"/>
      <c r="BC5" s="279"/>
      <c r="BD5" s="276"/>
      <c r="BE5" s="276"/>
      <c r="BF5" s="276"/>
    </row>
    <row r="6" spans="3:68" ht="12">
      <c r="E6" s="280" t="s">
        <v>412</v>
      </c>
      <c r="I6" s="280" t="s">
        <v>413</v>
      </c>
      <c r="L6" s="280" t="s">
        <v>379</v>
      </c>
    </row>
    <row r="7" spans="3:68" ht="12">
      <c r="C7" s="278" t="s">
        <v>206</v>
      </c>
      <c r="D7" s="281" t="s">
        <v>207</v>
      </c>
      <c r="E7" s="370">
        <v>56180</v>
      </c>
      <c r="I7" s="370">
        <v>6700</v>
      </c>
      <c r="L7" s="370"/>
      <c r="O7" s="276" t="s">
        <v>319</v>
      </c>
      <c r="AH7" s="374">
        <v>144.08000000000001</v>
      </c>
      <c r="AK7" s="276" t="s">
        <v>208</v>
      </c>
      <c r="AM7" s="284">
        <v>44196</v>
      </c>
    </row>
    <row r="8" spans="3:68">
      <c r="C8" s="285" t="s">
        <v>301</v>
      </c>
      <c r="D8" s="286"/>
      <c r="E8" s="369">
        <f>E7/D36</f>
        <v>11.45361875637105</v>
      </c>
      <c r="I8" s="369">
        <f>I7/U36</f>
        <v>12.708528940355269</v>
      </c>
      <c r="L8" s="369"/>
      <c r="O8" s="276" t="s">
        <v>320</v>
      </c>
      <c r="AH8" s="374">
        <v>220</v>
      </c>
    </row>
    <row r="9" spans="3:68" ht="12">
      <c r="C9" s="285" t="s">
        <v>209</v>
      </c>
      <c r="D9" s="281" t="s">
        <v>207</v>
      </c>
      <c r="E9" s="287">
        <f>-D85-D82</f>
        <v>-2094.8380000000002</v>
      </c>
      <c r="I9" s="287">
        <f>-U85-U82</f>
        <v>-5.4539999999999997</v>
      </c>
      <c r="L9" s="287">
        <f>E9-AL85+I9+M18</f>
        <v>-7838.7856000000011</v>
      </c>
      <c r="O9" s="285" t="s">
        <v>210</v>
      </c>
      <c r="R9" s="286" t="s">
        <v>211</v>
      </c>
      <c r="AH9" s="366">
        <f>AH8/AH7-1</f>
        <v>0.52692948362021097</v>
      </c>
      <c r="AK9" s="441" t="s">
        <v>388</v>
      </c>
    </row>
    <row r="10" spans="3:68" ht="12">
      <c r="C10" s="285" t="s">
        <v>212</v>
      </c>
      <c r="D10" s="281" t="s">
        <v>207</v>
      </c>
      <c r="E10" s="287">
        <f>D68+D69</f>
        <v>2132.7690000000002</v>
      </c>
      <c r="I10" s="287">
        <f>U68</f>
        <v>486.75200000000001</v>
      </c>
      <c r="L10" s="287">
        <f>E10+I10-G19</f>
        <v>1900.8458000000001</v>
      </c>
      <c r="O10" s="276" t="s">
        <v>213</v>
      </c>
      <c r="R10" s="286" t="s">
        <v>211</v>
      </c>
      <c r="AH10" s="288">
        <v>1</v>
      </c>
      <c r="AK10" s="441" t="s">
        <v>389</v>
      </c>
    </row>
    <row r="11" spans="3:68" ht="12">
      <c r="C11" s="285" t="s">
        <v>214</v>
      </c>
      <c r="D11" s="281" t="s">
        <v>207</v>
      </c>
      <c r="E11" s="287">
        <f>-D93</f>
        <v>0</v>
      </c>
      <c r="I11" s="287">
        <f>-U93</f>
        <v>0</v>
      </c>
      <c r="L11" s="287"/>
      <c r="O11" s="276" t="s">
        <v>361</v>
      </c>
      <c r="AH11" s="291">
        <v>4500</v>
      </c>
      <c r="AK11" s="441" t="s">
        <v>390</v>
      </c>
    </row>
    <row r="12" spans="3:68" ht="12">
      <c r="C12" s="278" t="s">
        <v>216</v>
      </c>
      <c r="D12" s="281" t="s">
        <v>207</v>
      </c>
      <c r="E12" s="282">
        <f>SUM(E9:E11,E7)</f>
        <v>56217.930999999997</v>
      </c>
      <c r="F12" s="282"/>
      <c r="G12" s="276" t="s">
        <v>217</v>
      </c>
      <c r="I12" s="282">
        <f>SUM(I9:I11,I7)</f>
        <v>7181.2979999999998</v>
      </c>
      <c r="L12" s="282"/>
      <c r="O12" s="289" t="s">
        <v>215</v>
      </c>
      <c r="P12" s="290"/>
      <c r="Q12" s="290"/>
      <c r="R12" s="281" t="s">
        <v>207</v>
      </c>
      <c r="S12" s="290"/>
      <c r="T12" s="290"/>
      <c r="AH12" s="291">
        <f>I12-V94-AH11</f>
        <v>1978.0266956748674</v>
      </c>
    </row>
    <row r="13" spans="3:68" ht="12">
      <c r="C13" s="285" t="s">
        <v>219</v>
      </c>
      <c r="D13" s="286" t="s">
        <v>220</v>
      </c>
      <c r="E13" s="292">
        <f ca="1">E12/E56</f>
        <v>14.784733372711342</v>
      </c>
      <c r="G13" s="293">
        <f ca="1">1/E13</f>
        <v>6.7637337433878397E-2</v>
      </c>
      <c r="I13" s="373" t="str">
        <f>IF(I12/V56&lt;0, " NM")</f>
        <v xml:space="preserve"> NM</v>
      </c>
      <c r="L13" s="373"/>
      <c r="O13" s="276" t="s">
        <v>218</v>
      </c>
      <c r="R13" s="281" t="s">
        <v>207</v>
      </c>
      <c r="AH13" s="291">
        <f>(1-AH10)*I12</f>
        <v>0</v>
      </c>
      <c r="AK13" s="279" t="s">
        <v>387</v>
      </c>
      <c r="AL13" s="279"/>
      <c r="AM13" s="279"/>
      <c r="AN13" s="279"/>
      <c r="AO13" s="279"/>
      <c r="AP13" s="279"/>
      <c r="AQ13" s="279"/>
      <c r="AR13" s="279"/>
      <c r="AS13" s="279"/>
      <c r="AT13" s="279"/>
      <c r="AU13" s="279"/>
      <c r="AV13" s="279"/>
      <c r="AW13" s="279"/>
      <c r="AX13" s="279"/>
      <c r="AY13" s="279"/>
      <c r="AZ13" s="279"/>
      <c r="BA13" s="279"/>
      <c r="BB13" s="279"/>
      <c r="BC13" s="279"/>
    </row>
    <row r="14" spans="3:68" ht="12">
      <c r="D14" s="286"/>
      <c r="O14" s="279" t="s">
        <v>321</v>
      </c>
      <c r="P14" s="279"/>
      <c r="Q14" s="279"/>
      <c r="R14" s="279"/>
      <c r="S14" s="279"/>
      <c r="T14" s="279"/>
      <c r="U14" s="279"/>
      <c r="V14" s="279"/>
      <c r="W14" s="279"/>
      <c r="X14" s="279"/>
      <c r="Y14" s="279"/>
      <c r="Z14" s="279"/>
      <c r="AA14" s="279"/>
      <c r="AB14" s="279"/>
      <c r="AC14" s="279"/>
      <c r="AD14" s="279"/>
      <c r="AE14" s="279"/>
      <c r="AF14" s="279"/>
      <c r="AG14" s="279"/>
      <c r="AH14" s="279"/>
      <c r="AK14" s="278" t="s">
        <v>388</v>
      </c>
      <c r="AL14" s="278"/>
      <c r="AM14" s="434"/>
      <c r="AN14" s="434"/>
      <c r="AO14" s="434">
        <f>BB34</f>
        <v>2021</v>
      </c>
      <c r="AP14" s="434">
        <f>BC34</f>
        <v>2022</v>
      </c>
      <c r="AQ14" s="434">
        <f>BD34</f>
        <v>2023</v>
      </c>
      <c r="AR14" s="434">
        <f>BE34</f>
        <v>2024</v>
      </c>
      <c r="AS14" s="434">
        <f>BF34</f>
        <v>2025</v>
      </c>
      <c r="AT14" s="434">
        <f t="shared" ref="AT14:BC14" si="0">BG34</f>
        <v>2026</v>
      </c>
      <c r="AU14" s="434">
        <f t="shared" si="0"/>
        <v>2027</v>
      </c>
      <c r="AV14" s="434">
        <f t="shared" si="0"/>
        <v>2028</v>
      </c>
      <c r="AW14" s="434">
        <f t="shared" si="0"/>
        <v>2029</v>
      </c>
      <c r="AX14" s="434">
        <f t="shared" si="0"/>
        <v>2030</v>
      </c>
      <c r="AY14" s="434">
        <f t="shared" si="0"/>
        <v>2031</v>
      </c>
      <c r="AZ14" s="434">
        <f t="shared" si="0"/>
        <v>2032</v>
      </c>
      <c r="BA14" s="434">
        <f t="shared" si="0"/>
        <v>2033</v>
      </c>
      <c r="BB14" s="434">
        <f t="shared" si="0"/>
        <v>2034</v>
      </c>
      <c r="BC14" s="434">
        <f t="shared" si="0"/>
        <v>2035</v>
      </c>
    </row>
    <row r="15" spans="3:68" s="278" customFormat="1" ht="12">
      <c r="C15" s="279" t="s">
        <v>308</v>
      </c>
      <c r="D15" s="294"/>
      <c r="E15" s="279"/>
      <c r="F15" s="279"/>
      <c r="G15" s="279"/>
      <c r="H15" s="279"/>
      <c r="I15" s="279"/>
      <c r="J15" s="279"/>
      <c r="K15" s="279"/>
      <c r="L15" s="279"/>
      <c r="M15" s="279"/>
      <c r="O15" s="440" t="s">
        <v>393</v>
      </c>
      <c r="P15" s="442" t="s">
        <v>389</v>
      </c>
      <c r="Q15" s="276"/>
      <c r="T15" s="295">
        <f>V34</f>
        <v>2021</v>
      </c>
      <c r="U15" s="295">
        <f>T15+1</f>
        <v>2022</v>
      </c>
      <c r="V15" s="295">
        <f t="shared" ref="V15:X15" si="1">U15+1</f>
        <v>2023</v>
      </c>
      <c r="W15" s="295">
        <f t="shared" si="1"/>
        <v>2024</v>
      </c>
      <c r="X15" s="295">
        <f t="shared" si="1"/>
        <v>2025</v>
      </c>
      <c r="Y15" s="295">
        <f t="shared" ref="Y15" si="2">X15+1</f>
        <v>2026</v>
      </c>
      <c r="Z15" s="295">
        <f t="shared" ref="Z15" si="3">Y15+1</f>
        <v>2027</v>
      </c>
      <c r="AA15" s="295">
        <f t="shared" ref="AA15" si="4">Z15+1</f>
        <v>2028</v>
      </c>
      <c r="AB15" s="295">
        <f t="shared" ref="AB15" si="5">AA15+1</f>
        <v>2029</v>
      </c>
      <c r="AC15" s="295">
        <f t="shared" ref="AC15" si="6">AB15+1</f>
        <v>2030</v>
      </c>
      <c r="AD15" s="295">
        <f t="shared" ref="AD15" si="7">AC15+1</f>
        <v>2031</v>
      </c>
      <c r="AE15" s="295">
        <f t="shared" ref="AE15" si="8">AD15+1</f>
        <v>2032</v>
      </c>
      <c r="AF15" s="295">
        <f t="shared" ref="AF15" si="9">AE15+1</f>
        <v>2033</v>
      </c>
      <c r="AG15" s="295">
        <f t="shared" ref="AG15" si="10">AF15+1</f>
        <v>2034</v>
      </c>
      <c r="AH15" s="295">
        <f t="shared" ref="AH15" si="11">AG15+1</f>
        <v>2035</v>
      </c>
      <c r="AK15" s="276" t="s">
        <v>322</v>
      </c>
      <c r="AL15" s="276"/>
      <c r="AM15" s="303" t="s">
        <v>231</v>
      </c>
      <c r="AN15" s="276"/>
      <c r="AO15" s="435">
        <f>AO20-3%</f>
        <v>2.0000000000000004E-2</v>
      </c>
      <c r="AP15" s="435">
        <f t="shared" ref="AP15:AS15" si="12">AP20-3%</f>
        <v>2.0000000000000004E-2</v>
      </c>
      <c r="AQ15" s="435">
        <f t="shared" si="12"/>
        <v>2.0000000000000004E-2</v>
      </c>
      <c r="AR15" s="435">
        <f t="shared" si="12"/>
        <v>2.0000000000000004E-2</v>
      </c>
      <c r="AS15" s="435">
        <f t="shared" si="12"/>
        <v>2.0000000000000004E-2</v>
      </c>
      <c r="AT15" s="435">
        <f t="shared" ref="AT15:BC15" si="13">AT20-3%</f>
        <v>2.0000000000000004E-2</v>
      </c>
      <c r="AU15" s="435">
        <f t="shared" si="13"/>
        <v>2.0000000000000004E-2</v>
      </c>
      <c r="AV15" s="435">
        <f t="shared" si="13"/>
        <v>2.0000000000000004E-2</v>
      </c>
      <c r="AW15" s="435">
        <f t="shared" si="13"/>
        <v>2.0000000000000004E-2</v>
      </c>
      <c r="AX15" s="435">
        <f t="shared" si="13"/>
        <v>2.0000000000000004E-2</v>
      </c>
      <c r="AY15" s="435">
        <f t="shared" si="13"/>
        <v>2.0000000000000004E-2</v>
      </c>
      <c r="AZ15" s="435">
        <f t="shared" si="13"/>
        <v>2.0000000000000004E-2</v>
      </c>
      <c r="BA15" s="435">
        <f t="shared" si="13"/>
        <v>2.0000000000000004E-2</v>
      </c>
      <c r="BB15" s="435">
        <f t="shared" si="13"/>
        <v>2.0000000000000004E-2</v>
      </c>
      <c r="BC15" s="435">
        <f t="shared" si="13"/>
        <v>2.0000000000000004E-2</v>
      </c>
      <c r="BD15" s="276"/>
      <c r="BE15" s="276"/>
      <c r="BF15" s="276"/>
    </row>
    <row r="16" spans="3:68" ht="12">
      <c r="C16" s="296" t="s">
        <v>221</v>
      </c>
      <c r="D16" s="286"/>
      <c r="G16" s="296"/>
      <c r="H16" s="296"/>
      <c r="I16" s="296" t="s">
        <v>222</v>
      </c>
      <c r="J16" s="285"/>
      <c r="K16" s="285"/>
      <c r="O16" s="276" t="s">
        <v>363</v>
      </c>
      <c r="R16" s="281" t="s">
        <v>207</v>
      </c>
      <c r="T16" s="287">
        <f ca="1">E36</f>
        <v>2504.75103352203</v>
      </c>
      <c r="U16" s="287">
        <f>F36</f>
        <v>6691.37</v>
      </c>
      <c r="V16" s="287">
        <f>G36</f>
        <v>7106.3060000000005</v>
      </c>
      <c r="W16" s="287">
        <f>H36</f>
        <v>7085.11</v>
      </c>
      <c r="X16" s="287">
        <f>I36</f>
        <v>7116.3399999999992</v>
      </c>
      <c r="Y16" s="287">
        <f t="shared" ref="Y16:AH16" si="14">J36</f>
        <v>7854.4589999999989</v>
      </c>
      <c r="Z16" s="287">
        <f t="shared" si="14"/>
        <v>7848</v>
      </c>
      <c r="AA16" s="287">
        <f t="shared" si="14"/>
        <v>0</v>
      </c>
      <c r="AB16" s="287">
        <f t="shared" si="14"/>
        <v>0</v>
      </c>
      <c r="AC16" s="287">
        <f t="shared" si="14"/>
        <v>0</v>
      </c>
      <c r="AD16" s="287">
        <f t="shared" si="14"/>
        <v>2020.6918960438559</v>
      </c>
      <c r="AE16" s="287">
        <f t="shared" si="14"/>
        <v>1720.5779736827976</v>
      </c>
      <c r="AF16" s="287">
        <f t="shared" si="14"/>
        <v>1547.4954215511214</v>
      </c>
      <c r="AG16" s="287">
        <f t="shared" si="14"/>
        <v>1200.6112015171661</v>
      </c>
      <c r="AH16" s="287">
        <f t="shared" si="14"/>
        <v>1054.8641557415517</v>
      </c>
      <c r="AK16" s="276" t="s">
        <v>323</v>
      </c>
      <c r="AM16" s="303" t="s">
        <v>234</v>
      </c>
      <c r="AO16" s="435">
        <f>AO21-3%</f>
        <v>7.0000000000000007E-2</v>
      </c>
      <c r="AP16" s="435">
        <f t="shared" ref="AP16:AS16" si="15">AP21-3%</f>
        <v>7.0000000000000007E-2</v>
      </c>
      <c r="AQ16" s="435">
        <f t="shared" si="15"/>
        <v>2.0000000000000004E-2</v>
      </c>
      <c r="AR16" s="435">
        <f t="shared" si="15"/>
        <v>2.0000000000000004E-2</v>
      </c>
      <c r="AS16" s="435">
        <f t="shared" si="15"/>
        <v>2.0000000000000004E-2</v>
      </c>
      <c r="AT16" s="435">
        <f t="shared" ref="AT16:BC16" si="16">AT21-3%</f>
        <v>2.0000000000000004E-2</v>
      </c>
      <c r="AU16" s="435">
        <f t="shared" si="16"/>
        <v>2.0000000000000004E-2</v>
      </c>
      <c r="AV16" s="435">
        <f t="shared" si="16"/>
        <v>2.0000000000000004E-2</v>
      </c>
      <c r="AW16" s="435">
        <f t="shared" si="16"/>
        <v>2.0000000000000004E-2</v>
      </c>
      <c r="AX16" s="435">
        <f t="shared" si="16"/>
        <v>2.0000000000000004E-2</v>
      </c>
      <c r="AY16" s="435">
        <f t="shared" si="16"/>
        <v>2.0000000000000004E-2</v>
      </c>
      <c r="AZ16" s="435">
        <f t="shared" si="16"/>
        <v>2.0000000000000004E-2</v>
      </c>
      <c r="BA16" s="435">
        <f t="shared" si="16"/>
        <v>2.0000000000000004E-2</v>
      </c>
      <c r="BB16" s="435">
        <f t="shared" si="16"/>
        <v>2.0000000000000004E-2</v>
      </c>
      <c r="BC16" s="435">
        <f t="shared" si="16"/>
        <v>2.0000000000000004E-2</v>
      </c>
    </row>
    <row r="17" spans="3:68">
      <c r="C17" s="297" t="s">
        <v>223</v>
      </c>
      <c r="D17" s="281" t="s">
        <v>207</v>
      </c>
      <c r="F17" s="288">
        <f>1-F18-F19</f>
        <v>0.8</v>
      </c>
      <c r="G17" s="298">
        <f>F17*$G$20</f>
        <v>5749.4016000000001</v>
      </c>
      <c r="H17" s="285"/>
      <c r="I17" s="297" t="s">
        <v>224</v>
      </c>
      <c r="J17" s="285"/>
      <c r="K17" s="285"/>
      <c r="M17" s="287">
        <f>I12</f>
        <v>7181.2979999999998</v>
      </c>
      <c r="O17" s="276" t="s">
        <v>364</v>
      </c>
      <c r="R17" s="281" t="s">
        <v>207</v>
      </c>
      <c r="T17" s="287">
        <f ca="1">T16-E39</f>
        <v>1366.825863812426</v>
      </c>
      <c r="U17" s="287">
        <f>U16-F39</f>
        <v>5414.81682184903</v>
      </c>
      <c r="V17" s="287">
        <f>V16-G39</f>
        <v>5747.5881992145496</v>
      </c>
      <c r="W17" s="287">
        <f>W16-H39</f>
        <v>5585.4845765245054</v>
      </c>
      <c r="X17" s="287">
        <f>X16-I39</f>
        <v>5625.6636686282618</v>
      </c>
      <c r="Y17" s="287">
        <f t="shared" ref="Y17:AH17" si="17">Y16-J39</f>
        <v>6387.337970717439</v>
      </c>
      <c r="Z17" s="287">
        <f t="shared" si="17"/>
        <v>6284.819317456404</v>
      </c>
      <c r="AA17" s="287">
        <f t="shared" si="17"/>
        <v>-1505.6747079611696</v>
      </c>
      <c r="AB17" s="287">
        <f t="shared" si="17"/>
        <v>-1479.4106655679077</v>
      </c>
      <c r="AC17" s="287">
        <f t="shared" si="17"/>
        <v>-1407.9677760001491</v>
      </c>
      <c r="AD17" s="287">
        <f t="shared" si="17"/>
        <v>697.91451227201355</v>
      </c>
      <c r="AE17" s="287">
        <f t="shared" si="17"/>
        <v>594.25998574041773</v>
      </c>
      <c r="AF17" s="287">
        <f t="shared" si="17"/>
        <v>534.48005333693141</v>
      </c>
      <c r="AG17" s="287">
        <f t="shared" si="17"/>
        <v>414.67181749759629</v>
      </c>
      <c r="AH17" s="287">
        <f t="shared" si="17"/>
        <v>364.33312976062746</v>
      </c>
      <c r="AM17" s="303"/>
      <c r="AO17" s="435"/>
      <c r="AP17" s="435"/>
      <c r="AQ17" s="435"/>
      <c r="AR17" s="435"/>
      <c r="AS17" s="435"/>
      <c r="AT17" s="435"/>
      <c r="AU17" s="435"/>
      <c r="AV17" s="435"/>
      <c r="AW17" s="435"/>
      <c r="AX17" s="435"/>
      <c r="AY17" s="435"/>
      <c r="AZ17" s="435"/>
      <c r="BA17" s="435"/>
      <c r="BB17" s="435"/>
      <c r="BC17" s="435"/>
    </row>
    <row r="18" spans="3:68" ht="12">
      <c r="C18" s="297" t="s">
        <v>225</v>
      </c>
      <c r="D18" s="281" t="s">
        <v>207</v>
      </c>
      <c r="F18" s="288">
        <v>0.1</v>
      </c>
      <c r="G18" s="298">
        <f>F18*$G$20</f>
        <v>718.67520000000002</v>
      </c>
      <c r="H18" s="285"/>
      <c r="I18" s="297" t="s">
        <v>226</v>
      </c>
      <c r="J18" s="285"/>
      <c r="K18" s="285"/>
      <c r="L18" s="288">
        <v>1</v>
      </c>
      <c r="M18" s="287">
        <f>U85</f>
        <v>5.4539999999999997</v>
      </c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X18" s="278"/>
      <c r="AY18" s="278"/>
      <c r="AZ18" s="278"/>
      <c r="BA18" s="278"/>
      <c r="BB18" s="278"/>
      <c r="BC18" s="278"/>
    </row>
    <row r="19" spans="3:68" ht="12">
      <c r="C19" s="297" t="s">
        <v>227</v>
      </c>
      <c r="D19" s="281" t="s">
        <v>207</v>
      </c>
      <c r="F19" s="288">
        <v>0.1</v>
      </c>
      <c r="G19" s="299">
        <f>F19*$G$20</f>
        <v>718.67520000000002</v>
      </c>
      <c r="H19" s="285"/>
      <c r="I19" s="297" t="s">
        <v>228</v>
      </c>
      <c r="J19" s="285"/>
      <c r="K19" s="285"/>
      <c r="L19" s="288">
        <v>0</v>
      </c>
      <c r="M19" s="300">
        <f>M17*L19</f>
        <v>0</v>
      </c>
      <c r="O19" s="276" t="s">
        <v>322</v>
      </c>
      <c r="R19" s="281" t="s">
        <v>207</v>
      </c>
      <c r="T19" s="287">
        <f ca="1">T16*T20</f>
        <v>125.2375516761015</v>
      </c>
      <c r="U19" s="287">
        <f t="shared" ref="U19:X19" si="18">U16*U20</f>
        <v>334.56850000000003</v>
      </c>
      <c r="V19" s="287">
        <f t="shared" si="18"/>
        <v>355.31530000000004</v>
      </c>
      <c r="W19" s="287">
        <f t="shared" si="18"/>
        <v>354.25549999999998</v>
      </c>
      <c r="X19" s="287">
        <f t="shared" si="18"/>
        <v>355.81700000000001</v>
      </c>
      <c r="Y19" s="287">
        <f t="shared" ref="Y19:AH19" si="19">Y16*Y20</f>
        <v>392.72294999999997</v>
      </c>
      <c r="Z19" s="287">
        <f t="shared" si="19"/>
        <v>392.40000000000003</v>
      </c>
      <c r="AA19" s="287">
        <f t="shared" si="19"/>
        <v>0</v>
      </c>
      <c r="AB19" s="287">
        <f t="shared" si="19"/>
        <v>0</v>
      </c>
      <c r="AC19" s="287">
        <f t="shared" si="19"/>
        <v>0</v>
      </c>
      <c r="AD19" s="287">
        <f t="shared" si="19"/>
        <v>101.0345948021928</v>
      </c>
      <c r="AE19" s="287">
        <f t="shared" si="19"/>
        <v>86.028898684139889</v>
      </c>
      <c r="AF19" s="287">
        <f t="shared" si="19"/>
        <v>77.374771077556076</v>
      </c>
      <c r="AG19" s="287">
        <f t="shared" si="19"/>
        <v>60.030560075858311</v>
      </c>
      <c r="AH19" s="287">
        <f t="shared" si="19"/>
        <v>52.743207787077587</v>
      </c>
      <c r="AK19" s="278" t="s">
        <v>389</v>
      </c>
      <c r="AL19" s="278"/>
      <c r="AM19" s="434"/>
      <c r="AN19" s="434"/>
      <c r="AW19" s="278"/>
    </row>
    <row r="20" spans="3:68" ht="12">
      <c r="C20" s="301" t="s">
        <v>229</v>
      </c>
      <c r="D20" s="281" t="s">
        <v>207</v>
      </c>
      <c r="G20" s="302">
        <f>M20</f>
        <v>7186.7519999999995</v>
      </c>
      <c r="H20" s="301"/>
      <c r="I20" s="301" t="s">
        <v>230</v>
      </c>
      <c r="J20" s="285"/>
      <c r="K20" s="285"/>
      <c r="M20" s="282">
        <f>SUM(M17:M19)</f>
        <v>7186.7519999999995</v>
      </c>
      <c r="O20" s="303" t="s">
        <v>231</v>
      </c>
      <c r="P20" s="304"/>
      <c r="R20" s="286" t="s">
        <v>211</v>
      </c>
      <c r="T20" s="288">
        <f>IF($P$15="Base",AO20,IF($P$15="Bear",AO15,AO25))</f>
        <v>0.05</v>
      </c>
      <c r="U20" s="288">
        <f>IF($P$15="Base",AP20,IF($P$15="Bear",AP15,AP25))</f>
        <v>0.05</v>
      </c>
      <c r="V20" s="288">
        <f>IF($P$15="Base",AQ20,IF($P$15="Bear",AQ15,AQ25))</f>
        <v>0.05</v>
      </c>
      <c r="W20" s="288">
        <f>IF($P$15="Base",AR20,IF($P$15="Bear",AR15,AR25))</f>
        <v>0.05</v>
      </c>
      <c r="X20" s="288">
        <f>IF($P$15="Base",AS20,IF($P$15="Bear",AS15,AS25))</f>
        <v>0.05</v>
      </c>
      <c r="Y20" s="288">
        <f t="shared" ref="Y20:AH20" si="20">IF($P$15="Base",AT20,IF($P$15="Bear",AT15,AT25))</f>
        <v>0.05</v>
      </c>
      <c r="Z20" s="288">
        <f t="shared" si="20"/>
        <v>0.05</v>
      </c>
      <c r="AA20" s="288">
        <f t="shared" si="20"/>
        <v>0.05</v>
      </c>
      <c r="AB20" s="288">
        <f t="shared" si="20"/>
        <v>0.05</v>
      </c>
      <c r="AC20" s="288">
        <f t="shared" si="20"/>
        <v>0.05</v>
      </c>
      <c r="AD20" s="288">
        <f t="shared" si="20"/>
        <v>0.05</v>
      </c>
      <c r="AE20" s="288">
        <f t="shared" si="20"/>
        <v>0.05</v>
      </c>
      <c r="AF20" s="288">
        <f t="shared" si="20"/>
        <v>0.05</v>
      </c>
      <c r="AG20" s="288">
        <f t="shared" si="20"/>
        <v>0.05</v>
      </c>
      <c r="AH20" s="288">
        <f t="shared" si="20"/>
        <v>0.05</v>
      </c>
      <c r="AK20" s="276" t="s">
        <v>322</v>
      </c>
      <c r="AM20" s="303" t="s">
        <v>231</v>
      </c>
      <c r="AO20" s="435">
        <v>0.05</v>
      </c>
      <c r="AP20" s="435">
        <v>0.05</v>
      </c>
      <c r="AQ20" s="435">
        <v>0.05</v>
      </c>
      <c r="AR20" s="435">
        <v>0.05</v>
      </c>
      <c r="AS20" s="435">
        <v>0.05</v>
      </c>
      <c r="AT20" s="435">
        <v>0.05</v>
      </c>
      <c r="AU20" s="435">
        <v>0.05</v>
      </c>
      <c r="AV20" s="435">
        <v>0.05</v>
      </c>
      <c r="AW20" s="435">
        <v>0.05</v>
      </c>
      <c r="AX20" s="435">
        <v>0.05</v>
      </c>
      <c r="AY20" s="435">
        <v>0.05</v>
      </c>
      <c r="AZ20" s="435">
        <v>0.05</v>
      </c>
      <c r="BA20" s="435">
        <v>0.05</v>
      </c>
      <c r="BB20" s="435">
        <v>0.05</v>
      </c>
      <c r="BC20" s="435">
        <v>0.05</v>
      </c>
    </row>
    <row r="21" spans="3:68">
      <c r="D21" s="286"/>
      <c r="O21" s="276" t="s">
        <v>323</v>
      </c>
      <c r="R21" s="281" t="s">
        <v>207</v>
      </c>
      <c r="T21" s="287">
        <f ca="1">T22*T17</f>
        <v>136.6825863812426</v>
      </c>
      <c r="U21" s="287">
        <f t="shared" ref="U21:X21" si="21">U22*U17</f>
        <v>541.48168218490298</v>
      </c>
      <c r="V21" s="287">
        <f t="shared" si="21"/>
        <v>287.37940996072751</v>
      </c>
      <c r="W21" s="287">
        <f t="shared" si="21"/>
        <v>279.27422882622528</v>
      </c>
      <c r="X21" s="287">
        <f t="shared" si="21"/>
        <v>281.28318343141308</v>
      </c>
      <c r="Y21" s="287">
        <f t="shared" ref="Y21:AH21" si="22">Y22*Y17</f>
        <v>319.366898535872</v>
      </c>
      <c r="Z21" s="287">
        <f t="shared" si="22"/>
        <v>314.2409658728202</v>
      </c>
      <c r="AA21" s="287">
        <f t="shared" si="22"/>
        <v>-75.283735398058482</v>
      </c>
      <c r="AB21" s="287">
        <f t="shared" si="22"/>
        <v>-73.970533278395393</v>
      </c>
      <c r="AC21" s="287">
        <f t="shared" si="22"/>
        <v>-70.398388800007453</v>
      </c>
      <c r="AD21" s="287">
        <f t="shared" si="22"/>
        <v>34.895725613600682</v>
      </c>
      <c r="AE21" s="287">
        <f t="shared" si="22"/>
        <v>29.712999287020889</v>
      </c>
      <c r="AF21" s="287">
        <f t="shared" si="22"/>
        <v>26.724002666846573</v>
      </c>
      <c r="AG21" s="287">
        <f t="shared" si="22"/>
        <v>20.733590874879816</v>
      </c>
      <c r="AH21" s="287">
        <f t="shared" si="22"/>
        <v>18.216656488031372</v>
      </c>
      <c r="AK21" s="276" t="s">
        <v>323</v>
      </c>
      <c r="AM21" s="303" t="s">
        <v>234</v>
      </c>
      <c r="AO21" s="435">
        <v>0.1</v>
      </c>
      <c r="AP21" s="435">
        <v>0.1</v>
      </c>
      <c r="AQ21" s="435">
        <v>0.05</v>
      </c>
      <c r="AR21" s="435">
        <v>0.05</v>
      </c>
      <c r="AS21" s="435">
        <v>0.05</v>
      </c>
      <c r="AT21" s="435">
        <v>0.05</v>
      </c>
      <c r="AU21" s="435">
        <v>0.05</v>
      </c>
      <c r="AV21" s="435">
        <v>0.05</v>
      </c>
      <c r="AW21" s="435">
        <v>0.05</v>
      </c>
      <c r="AX21" s="435">
        <v>0.05</v>
      </c>
      <c r="AY21" s="435">
        <v>0.05</v>
      </c>
      <c r="AZ21" s="435">
        <v>0.05</v>
      </c>
      <c r="BA21" s="435">
        <v>0.05</v>
      </c>
      <c r="BB21" s="435">
        <v>0.05</v>
      </c>
      <c r="BC21" s="435">
        <v>0.05</v>
      </c>
    </row>
    <row r="22" spans="3:68" ht="12">
      <c r="C22" s="305" t="s">
        <v>232</v>
      </c>
      <c r="D22" s="294"/>
      <c r="E22" s="279"/>
      <c r="F22" s="306"/>
      <c r="G22" s="306"/>
      <c r="I22" s="305" t="s">
        <v>233</v>
      </c>
      <c r="J22" s="306"/>
      <c r="K22" s="306"/>
      <c r="L22" s="306"/>
      <c r="M22" s="306"/>
      <c r="O22" s="303" t="s">
        <v>234</v>
      </c>
      <c r="P22" s="304"/>
      <c r="R22" s="286" t="s">
        <v>211</v>
      </c>
      <c r="T22" s="288">
        <f>IF($P$15="Base",AO21,IF($P$15="Bear",AO16,AO26))</f>
        <v>0.1</v>
      </c>
      <c r="U22" s="288">
        <f>IF($P$15="Base",AP21,IF($P$15="Bear",AP16,AP26))</f>
        <v>0.1</v>
      </c>
      <c r="V22" s="288">
        <f>IF($P$15="Base",AQ21,IF($P$15="Bear",AQ16,AQ26))</f>
        <v>0.05</v>
      </c>
      <c r="W22" s="288">
        <f>IF($P$15="Base",AR21,IF($P$15="Bear",AR16,AR26))</f>
        <v>0.05</v>
      </c>
      <c r="X22" s="288">
        <f>IF($P$15="Base",AS21,IF($P$15="Bear",AS16,AS26))</f>
        <v>0.05</v>
      </c>
      <c r="Y22" s="288">
        <f t="shared" ref="Y22:AH22" si="23">IF($P$15="Base",AT21,IF($P$15="Bear",AT16,AT26))</f>
        <v>0.05</v>
      </c>
      <c r="Z22" s="288">
        <f t="shared" si="23"/>
        <v>0.05</v>
      </c>
      <c r="AA22" s="288">
        <f t="shared" si="23"/>
        <v>0.05</v>
      </c>
      <c r="AB22" s="288">
        <f t="shared" si="23"/>
        <v>0.05</v>
      </c>
      <c r="AC22" s="288">
        <f t="shared" si="23"/>
        <v>0.05</v>
      </c>
      <c r="AD22" s="288">
        <f t="shared" si="23"/>
        <v>0.05</v>
      </c>
      <c r="AE22" s="288">
        <f t="shared" si="23"/>
        <v>0.05</v>
      </c>
      <c r="AF22" s="288">
        <f t="shared" si="23"/>
        <v>0.05</v>
      </c>
      <c r="AG22" s="288">
        <f t="shared" si="23"/>
        <v>0.05</v>
      </c>
      <c r="AH22" s="288">
        <f t="shared" si="23"/>
        <v>0.05</v>
      </c>
      <c r="AM22" s="303"/>
      <c r="AO22" s="435"/>
      <c r="AP22" s="435"/>
      <c r="AQ22" s="435"/>
      <c r="AR22" s="435"/>
      <c r="AS22" s="435"/>
      <c r="AT22" s="435"/>
      <c r="AU22" s="435"/>
      <c r="AV22" s="435"/>
      <c r="AW22" s="435"/>
      <c r="AX22" s="435"/>
      <c r="AY22" s="435"/>
      <c r="AZ22" s="435"/>
      <c r="BA22" s="435"/>
      <c r="BB22" s="435"/>
      <c r="BC22" s="435"/>
    </row>
    <row r="23" spans="3:68" ht="12">
      <c r="C23" s="276" t="s">
        <v>315</v>
      </c>
      <c r="D23" s="286"/>
      <c r="G23" s="307">
        <f>E12/E58</f>
        <v>994.71713570373242</v>
      </c>
      <c r="I23" s="278" t="s">
        <v>235</v>
      </c>
      <c r="K23" s="419" t="s">
        <v>236</v>
      </c>
      <c r="L23" s="308" t="s">
        <v>237</v>
      </c>
    </row>
    <row r="24" spans="3:68" ht="12">
      <c r="C24" s="285" t="s">
        <v>316</v>
      </c>
      <c r="D24" s="286"/>
      <c r="G24" s="288">
        <v>0.1</v>
      </c>
      <c r="I24" s="285" t="s">
        <v>238</v>
      </c>
      <c r="K24" s="309">
        <v>5.0000000000000001E-3</v>
      </c>
      <c r="L24" s="309">
        <v>0.02</v>
      </c>
      <c r="M24" s="310">
        <f>SUM(K24:L24)</f>
        <v>2.5000000000000001E-2</v>
      </c>
      <c r="O24" s="276" t="s">
        <v>324</v>
      </c>
      <c r="R24" s="281" t="s">
        <v>207</v>
      </c>
      <c r="T24" s="287">
        <f ca="1">T21+T19</f>
        <v>261.9201380573441</v>
      </c>
      <c r="U24" s="287">
        <f t="shared" ref="U24:X24" si="24">U21+U19</f>
        <v>876.05018218490295</v>
      </c>
      <c r="V24" s="287">
        <f t="shared" si="24"/>
        <v>642.69470996072755</v>
      </c>
      <c r="W24" s="287">
        <f t="shared" si="24"/>
        <v>633.52972882622521</v>
      </c>
      <c r="X24" s="287">
        <f t="shared" si="24"/>
        <v>637.10018343141314</v>
      </c>
      <c r="Y24" s="287">
        <f t="shared" ref="Y24:AH24" si="25">Y21+Y19</f>
        <v>712.08984853587197</v>
      </c>
      <c r="Z24" s="287">
        <f t="shared" si="25"/>
        <v>706.64096587282029</v>
      </c>
      <c r="AA24" s="287">
        <f t="shared" si="25"/>
        <v>-75.283735398058482</v>
      </c>
      <c r="AB24" s="287">
        <f t="shared" si="25"/>
        <v>-73.970533278395393</v>
      </c>
      <c r="AC24" s="287">
        <f t="shared" si="25"/>
        <v>-70.398388800007453</v>
      </c>
      <c r="AD24" s="287">
        <f t="shared" si="25"/>
        <v>135.93032041579349</v>
      </c>
      <c r="AE24" s="287">
        <f t="shared" si="25"/>
        <v>115.74189797116078</v>
      </c>
      <c r="AF24" s="287">
        <f t="shared" si="25"/>
        <v>104.09877374440265</v>
      </c>
      <c r="AG24" s="287">
        <f t="shared" si="25"/>
        <v>80.764150950738127</v>
      </c>
      <c r="AH24" s="287">
        <f t="shared" si="25"/>
        <v>70.959864275108956</v>
      </c>
      <c r="AK24" s="436" t="s">
        <v>390</v>
      </c>
      <c r="AL24" s="436"/>
      <c r="AM24" s="437"/>
      <c r="AN24" s="437"/>
    </row>
    <row r="25" spans="3:68" ht="12">
      <c r="C25" s="276" t="s">
        <v>239</v>
      </c>
      <c r="D25" s="286"/>
      <c r="G25" s="307">
        <f>G23*(1+G24)</f>
        <v>1094.1888492741057</v>
      </c>
      <c r="I25" s="285" t="s">
        <v>240</v>
      </c>
      <c r="K25" s="311"/>
      <c r="L25" s="311"/>
      <c r="M25" s="312">
        <v>0.7</v>
      </c>
      <c r="O25" s="303" t="s">
        <v>241</v>
      </c>
      <c r="P25" s="313"/>
      <c r="Q25" s="278"/>
      <c r="R25" s="286" t="s">
        <v>211</v>
      </c>
      <c r="T25" s="288">
        <v>0.5</v>
      </c>
      <c r="U25" s="288">
        <v>0.75</v>
      </c>
      <c r="V25" s="288">
        <v>1</v>
      </c>
      <c r="W25" s="288">
        <v>1</v>
      </c>
      <c r="X25" s="288">
        <v>1</v>
      </c>
      <c r="Y25" s="288">
        <v>1</v>
      </c>
      <c r="Z25" s="288">
        <v>1</v>
      </c>
      <c r="AA25" s="288">
        <v>1</v>
      </c>
      <c r="AB25" s="288">
        <v>1</v>
      </c>
      <c r="AC25" s="288">
        <v>1</v>
      </c>
      <c r="AD25" s="288">
        <v>1</v>
      </c>
      <c r="AE25" s="288">
        <v>1</v>
      </c>
      <c r="AF25" s="288">
        <v>1</v>
      </c>
      <c r="AG25" s="288">
        <v>1</v>
      </c>
      <c r="AH25" s="288">
        <v>1</v>
      </c>
      <c r="AK25" s="438" t="s">
        <v>391</v>
      </c>
      <c r="AL25" s="438"/>
      <c r="AM25" s="439" t="s">
        <v>231</v>
      </c>
      <c r="AN25" s="439"/>
      <c r="AO25" s="435">
        <f>AO20+3%</f>
        <v>0.08</v>
      </c>
      <c r="AP25" s="435">
        <f t="shared" ref="AP25:AS25" si="26">AP20+3%</f>
        <v>0.08</v>
      </c>
      <c r="AQ25" s="435">
        <f t="shared" si="26"/>
        <v>0.08</v>
      </c>
      <c r="AR25" s="435">
        <f t="shared" si="26"/>
        <v>0.08</v>
      </c>
      <c r="AS25" s="435">
        <f t="shared" si="26"/>
        <v>0.08</v>
      </c>
      <c r="AT25" s="435">
        <f t="shared" ref="AT25:BC25" si="27">AT20+3%</f>
        <v>0.08</v>
      </c>
      <c r="AU25" s="435">
        <f t="shared" si="27"/>
        <v>0.08</v>
      </c>
      <c r="AV25" s="435">
        <f t="shared" si="27"/>
        <v>0.08</v>
      </c>
      <c r="AW25" s="435">
        <f t="shared" si="27"/>
        <v>0.08</v>
      </c>
      <c r="AX25" s="435">
        <f t="shared" si="27"/>
        <v>0.08</v>
      </c>
      <c r="AY25" s="435">
        <f t="shared" si="27"/>
        <v>0.08</v>
      </c>
      <c r="AZ25" s="435">
        <f t="shared" si="27"/>
        <v>0.08</v>
      </c>
      <c r="BA25" s="435">
        <f t="shared" si="27"/>
        <v>0.08</v>
      </c>
      <c r="BB25" s="435">
        <f t="shared" si="27"/>
        <v>0.08</v>
      </c>
      <c r="BC25" s="435">
        <f t="shared" si="27"/>
        <v>0.08</v>
      </c>
    </row>
    <row r="26" spans="3:68" ht="12">
      <c r="C26" s="276" t="s">
        <v>317</v>
      </c>
      <c r="D26" s="281"/>
      <c r="G26" s="287">
        <f>G18/G25</f>
        <v>0.6568109339414081</v>
      </c>
      <c r="I26" s="278" t="s">
        <v>223</v>
      </c>
      <c r="K26" s="311"/>
      <c r="L26" s="311"/>
      <c r="M26" s="311"/>
      <c r="AK26" s="438" t="s">
        <v>392</v>
      </c>
      <c r="AL26" s="438"/>
      <c r="AM26" s="439" t="s">
        <v>234</v>
      </c>
      <c r="AN26" s="439"/>
      <c r="AO26" s="435">
        <f>AO21+3%</f>
        <v>0.13</v>
      </c>
      <c r="AP26" s="435">
        <f t="shared" ref="AP26:AS26" si="28">AP21+3%</f>
        <v>0.13</v>
      </c>
      <c r="AQ26" s="435">
        <f t="shared" si="28"/>
        <v>0.08</v>
      </c>
      <c r="AR26" s="435">
        <f t="shared" si="28"/>
        <v>0.08</v>
      </c>
      <c r="AS26" s="435">
        <f t="shared" si="28"/>
        <v>0.08</v>
      </c>
      <c r="AT26" s="435">
        <f t="shared" ref="AT26:BC26" si="29">AT21+3%</f>
        <v>0.08</v>
      </c>
      <c r="AU26" s="435">
        <f t="shared" si="29"/>
        <v>0.08</v>
      </c>
      <c r="AV26" s="435">
        <f t="shared" si="29"/>
        <v>0.08</v>
      </c>
      <c r="AW26" s="435">
        <f t="shared" si="29"/>
        <v>0.08</v>
      </c>
      <c r="AX26" s="435">
        <f t="shared" si="29"/>
        <v>0.08</v>
      </c>
      <c r="AY26" s="435">
        <f t="shared" si="29"/>
        <v>0.08</v>
      </c>
      <c r="AZ26" s="435">
        <f t="shared" si="29"/>
        <v>0.08</v>
      </c>
      <c r="BA26" s="435">
        <f t="shared" si="29"/>
        <v>0.08</v>
      </c>
      <c r="BB26" s="435">
        <f t="shared" si="29"/>
        <v>0.08</v>
      </c>
      <c r="BC26" s="435">
        <f t="shared" si="29"/>
        <v>0.08</v>
      </c>
    </row>
    <row r="27" spans="3:68">
      <c r="C27" s="285" t="s">
        <v>242</v>
      </c>
      <c r="D27" s="286" t="s">
        <v>211</v>
      </c>
      <c r="G27" s="314">
        <f>G26/E58</f>
        <v>1.1621578369881506E-2</v>
      </c>
      <c r="I27" s="285" t="s">
        <v>243</v>
      </c>
      <c r="K27" s="309">
        <v>5.0000000000000001E-3</v>
      </c>
      <c r="L27" s="309">
        <v>3.5000000000000003E-2</v>
      </c>
      <c r="M27" s="310">
        <f>SUM(K27:L27)</f>
        <v>0.04</v>
      </c>
      <c r="T27" s="308" t="s">
        <v>236</v>
      </c>
      <c r="U27" s="308" t="s">
        <v>237</v>
      </c>
    </row>
    <row r="28" spans="3:68" ht="12">
      <c r="C28" s="278" t="s">
        <v>318</v>
      </c>
      <c r="D28" s="281"/>
      <c r="G28" s="287">
        <f>G26+E58</f>
        <v>57.173310933941409</v>
      </c>
      <c r="I28" s="285" t="s">
        <v>240</v>
      </c>
      <c r="M28" s="312">
        <v>0.7</v>
      </c>
      <c r="O28" s="276" t="s">
        <v>325</v>
      </c>
      <c r="R28" s="286" t="s">
        <v>211</v>
      </c>
      <c r="T28" s="288">
        <v>5.0000000000000001E-3</v>
      </c>
      <c r="U28" s="288">
        <v>1.4999999999999999E-2</v>
      </c>
      <c r="V28" s="310">
        <f>SUM(T28:U28)</f>
        <v>0.02</v>
      </c>
    </row>
    <row r="29" spans="3:68">
      <c r="D29" s="286"/>
    </row>
    <row r="30" spans="3:68" s="278" customFormat="1" ht="12">
      <c r="C30" s="277" t="s">
        <v>244</v>
      </c>
      <c r="D30" s="277"/>
      <c r="E30" s="277"/>
      <c r="F30" s="277"/>
      <c r="G30" s="277"/>
      <c r="H30" s="277"/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277"/>
      <c r="AF30" s="277"/>
      <c r="AG30" s="277"/>
      <c r="AH30" s="277"/>
      <c r="AI30" s="277"/>
      <c r="AJ30" s="277"/>
      <c r="AK30" s="27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27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</row>
    <row r="32" spans="3:68" ht="12">
      <c r="C32" s="444" t="s">
        <v>245</v>
      </c>
    </row>
    <row r="33" spans="1:68" s="278" customFormat="1" ht="12">
      <c r="A33" s="276"/>
      <c r="B33" s="276"/>
      <c r="C33" s="276"/>
      <c r="D33" s="276"/>
      <c r="E33" s="315" t="s">
        <v>296</v>
      </c>
      <c r="F33" s="315"/>
      <c r="G33" s="315"/>
      <c r="H33" s="315"/>
      <c r="I33" s="315"/>
      <c r="J33" s="315"/>
      <c r="K33" s="315"/>
      <c r="L33" s="315"/>
      <c r="M33" s="315"/>
      <c r="N33" s="315"/>
      <c r="O33" s="315"/>
      <c r="P33" s="315"/>
      <c r="Q33" s="315"/>
      <c r="R33" s="315"/>
      <c r="S33" s="315"/>
      <c r="V33" s="315" t="s">
        <v>297</v>
      </c>
      <c r="W33" s="315"/>
      <c r="X33" s="315"/>
      <c r="Y33" s="315"/>
      <c r="Z33" s="315"/>
      <c r="AA33" s="315"/>
      <c r="AB33" s="315"/>
      <c r="AC33" s="315"/>
      <c r="AD33" s="315"/>
      <c r="AE33" s="315"/>
      <c r="AF33" s="315"/>
      <c r="AG33" s="315"/>
      <c r="AH33" s="315"/>
      <c r="AI33" s="315"/>
      <c r="AJ33" s="315"/>
      <c r="AL33" s="315" t="s">
        <v>246</v>
      </c>
      <c r="AM33" s="315"/>
      <c r="AN33" s="315"/>
      <c r="AO33" s="315"/>
      <c r="AP33" s="315"/>
      <c r="AQ33" s="315"/>
      <c r="AR33" s="315"/>
      <c r="AS33" s="315"/>
      <c r="AT33" s="315"/>
      <c r="AU33" s="315"/>
      <c r="AV33" s="315"/>
      <c r="AW33" s="315"/>
      <c r="AX33" s="315"/>
      <c r="AY33" s="315"/>
      <c r="AZ33" s="315"/>
      <c r="BB33" s="315" t="s">
        <v>247</v>
      </c>
      <c r="BC33" s="315"/>
      <c r="BD33" s="315"/>
      <c r="BE33" s="315"/>
      <c r="BF33" s="315"/>
      <c r="BG33" s="315"/>
      <c r="BH33" s="315"/>
      <c r="BI33" s="315"/>
      <c r="BJ33" s="315"/>
      <c r="BK33" s="315"/>
      <c r="BL33" s="315"/>
      <c r="BM33" s="315"/>
      <c r="BN33" s="315"/>
      <c r="BO33" s="315"/>
      <c r="BP33" s="315"/>
    </row>
    <row r="34" spans="1:68" ht="12">
      <c r="C34" s="278"/>
      <c r="D34" s="316">
        <v>2020</v>
      </c>
      <c r="E34" s="295">
        <f>D34+1</f>
        <v>2021</v>
      </c>
      <c r="F34" s="295">
        <f t="shared" ref="F34:H34" si="30">E34+1</f>
        <v>2022</v>
      </c>
      <c r="G34" s="295">
        <f t="shared" si="30"/>
        <v>2023</v>
      </c>
      <c r="H34" s="295">
        <f t="shared" si="30"/>
        <v>2024</v>
      </c>
      <c r="I34" s="295">
        <f t="shared" ref="I34:S34" si="31">H34+1</f>
        <v>2025</v>
      </c>
      <c r="J34" s="295">
        <f t="shared" si="31"/>
        <v>2026</v>
      </c>
      <c r="K34" s="295">
        <f t="shared" si="31"/>
        <v>2027</v>
      </c>
      <c r="L34" s="295">
        <f t="shared" si="31"/>
        <v>2028</v>
      </c>
      <c r="M34" s="295">
        <f t="shared" si="31"/>
        <v>2029</v>
      </c>
      <c r="N34" s="295">
        <f t="shared" si="31"/>
        <v>2030</v>
      </c>
      <c r="O34" s="295">
        <f t="shared" si="31"/>
        <v>2031</v>
      </c>
      <c r="P34" s="295">
        <f t="shared" si="31"/>
        <v>2032</v>
      </c>
      <c r="Q34" s="295">
        <f t="shared" si="31"/>
        <v>2033</v>
      </c>
      <c r="R34" s="295">
        <f t="shared" si="31"/>
        <v>2034</v>
      </c>
      <c r="S34" s="295">
        <f t="shared" si="31"/>
        <v>2035</v>
      </c>
      <c r="U34" s="316">
        <f>D34</f>
        <v>2020</v>
      </c>
      <c r="V34" s="295">
        <f>U34+1</f>
        <v>2021</v>
      </c>
      <c r="W34" s="295">
        <f t="shared" ref="W34:Z34" si="32">V34+1</f>
        <v>2022</v>
      </c>
      <c r="X34" s="295">
        <f t="shared" si="32"/>
        <v>2023</v>
      </c>
      <c r="Y34" s="295">
        <f t="shared" si="32"/>
        <v>2024</v>
      </c>
      <c r="Z34" s="295">
        <f t="shared" si="32"/>
        <v>2025</v>
      </c>
      <c r="AA34" s="295">
        <f>Z34+1</f>
        <v>2026</v>
      </c>
      <c r="AB34" s="295">
        <f t="shared" ref="AB34:AJ34" si="33">AA34+1</f>
        <v>2027</v>
      </c>
      <c r="AC34" s="295">
        <f t="shared" si="33"/>
        <v>2028</v>
      </c>
      <c r="AD34" s="295">
        <f t="shared" si="33"/>
        <v>2029</v>
      </c>
      <c r="AE34" s="295">
        <f t="shared" si="33"/>
        <v>2030</v>
      </c>
      <c r="AF34" s="295">
        <f t="shared" si="33"/>
        <v>2031</v>
      </c>
      <c r="AG34" s="295">
        <f t="shared" si="33"/>
        <v>2032</v>
      </c>
      <c r="AH34" s="295">
        <f t="shared" si="33"/>
        <v>2033</v>
      </c>
      <c r="AI34" s="295">
        <f t="shared" si="33"/>
        <v>2034</v>
      </c>
      <c r="AJ34" s="295">
        <f t="shared" si="33"/>
        <v>2035</v>
      </c>
      <c r="AL34" s="295">
        <f>V34</f>
        <v>2021</v>
      </c>
      <c r="AM34" s="295">
        <f t="shared" ref="AM34:AP34" si="34">AL34+1</f>
        <v>2022</v>
      </c>
      <c r="AN34" s="295">
        <f t="shared" si="34"/>
        <v>2023</v>
      </c>
      <c r="AO34" s="295">
        <f t="shared" si="34"/>
        <v>2024</v>
      </c>
      <c r="AP34" s="295">
        <f t="shared" si="34"/>
        <v>2025</v>
      </c>
      <c r="AQ34" s="295">
        <f t="shared" ref="AQ34" si="35">AP34+1</f>
        <v>2026</v>
      </c>
      <c r="AR34" s="295">
        <f t="shared" ref="AR34" si="36">AQ34+1</f>
        <v>2027</v>
      </c>
      <c r="AS34" s="295">
        <f t="shared" ref="AS34" si="37">AR34+1</f>
        <v>2028</v>
      </c>
      <c r="AT34" s="295">
        <f t="shared" ref="AT34" si="38">AS34+1</f>
        <v>2029</v>
      </c>
      <c r="AU34" s="295">
        <f t="shared" ref="AU34" si="39">AT34+1</f>
        <v>2030</v>
      </c>
      <c r="AV34" s="295">
        <f t="shared" ref="AV34" si="40">AU34+1</f>
        <v>2031</v>
      </c>
      <c r="AW34" s="295">
        <f t="shared" ref="AW34" si="41">AV34+1</f>
        <v>2032</v>
      </c>
      <c r="AX34" s="295">
        <f t="shared" ref="AX34" si="42">AW34+1</f>
        <v>2033</v>
      </c>
      <c r="AY34" s="295">
        <f t="shared" ref="AY34" si="43">AX34+1</f>
        <v>2034</v>
      </c>
      <c r="AZ34" s="295">
        <f t="shared" ref="AZ34" si="44">AY34+1</f>
        <v>2035</v>
      </c>
      <c r="BB34" s="295">
        <f>AL34</f>
        <v>2021</v>
      </c>
      <c r="BC34" s="295">
        <f t="shared" ref="BC34:BF34" si="45">BB34+1</f>
        <v>2022</v>
      </c>
      <c r="BD34" s="295">
        <f t="shared" si="45"/>
        <v>2023</v>
      </c>
      <c r="BE34" s="295">
        <f t="shared" si="45"/>
        <v>2024</v>
      </c>
      <c r="BF34" s="295">
        <f t="shared" si="45"/>
        <v>2025</v>
      </c>
      <c r="BG34" s="295">
        <f t="shared" ref="BG34" si="46">BF34+1</f>
        <v>2026</v>
      </c>
      <c r="BH34" s="295">
        <f t="shared" ref="BH34" si="47">BG34+1</f>
        <v>2027</v>
      </c>
      <c r="BI34" s="295">
        <f t="shared" ref="BI34" si="48">BH34+1</f>
        <v>2028</v>
      </c>
      <c r="BJ34" s="295">
        <f t="shared" ref="BJ34" si="49">BI34+1</f>
        <v>2029</v>
      </c>
      <c r="BK34" s="295">
        <f t="shared" ref="BK34" si="50">BJ34+1</f>
        <v>2030</v>
      </c>
      <c r="BL34" s="295">
        <f t="shared" ref="BL34" si="51">BK34+1</f>
        <v>2031</v>
      </c>
      <c r="BM34" s="295">
        <f t="shared" ref="BM34" si="52">BL34+1</f>
        <v>2032</v>
      </c>
      <c r="BN34" s="295">
        <f t="shared" ref="BN34" si="53">BM34+1</f>
        <v>2033</v>
      </c>
      <c r="BO34" s="295">
        <f t="shared" ref="BO34" si="54">BN34+1</f>
        <v>2034</v>
      </c>
      <c r="BP34" s="295">
        <f t="shared" ref="BP34" si="55">BO34+1</f>
        <v>2035</v>
      </c>
    </row>
    <row r="35" spans="1:68">
      <c r="E35" s="317"/>
      <c r="F35" s="317"/>
      <c r="G35" s="317"/>
      <c r="H35" s="317"/>
      <c r="I35" s="317"/>
      <c r="V35" s="317"/>
      <c r="W35" s="317"/>
      <c r="X35" s="317"/>
      <c r="Y35" s="317"/>
      <c r="Z35" s="317"/>
      <c r="AL35" s="317"/>
      <c r="AM35" s="317"/>
      <c r="AN35" s="317"/>
      <c r="AO35" s="317"/>
      <c r="AP35" s="317"/>
      <c r="BB35" s="317"/>
      <c r="BC35" s="317"/>
      <c r="BD35" s="317"/>
      <c r="BE35" s="317"/>
      <c r="BF35" s="317"/>
      <c r="BG35" s="317"/>
      <c r="BH35" s="317"/>
      <c r="BI35" s="317"/>
      <c r="BJ35" s="317"/>
      <c r="BK35" s="317"/>
      <c r="BL35" s="317"/>
      <c r="BM35" s="317"/>
      <c r="BN35" s="317"/>
      <c r="BO35" s="317"/>
      <c r="BP35" s="317"/>
    </row>
    <row r="36" spans="1:68" s="287" customFormat="1" ht="12">
      <c r="A36" s="276"/>
      <c r="B36" s="276"/>
      <c r="C36" s="318" t="s">
        <v>248</v>
      </c>
      <c r="D36" s="363">
        <f>'Cintas Cash Flow'!V19</f>
        <v>4905</v>
      </c>
      <c r="E36" s="363">
        <f ca="1">'Cintas Cash Flow'!W19</f>
        <v>4905</v>
      </c>
      <c r="F36" s="363">
        <f>'Cintas Cash Flow'!X19</f>
        <v>6691.37</v>
      </c>
      <c r="G36" s="363">
        <f>'Cintas Cash Flow'!Y19</f>
        <v>7106.3060000000005</v>
      </c>
      <c r="H36" s="363">
        <f>'Cintas Cash Flow'!Z19</f>
        <v>7085.11</v>
      </c>
      <c r="I36" s="363">
        <f>'Cintas Cash Flow'!AA19</f>
        <v>7116.3399999999992</v>
      </c>
      <c r="J36" s="363">
        <f>'Cintas Cash Flow'!AB19</f>
        <v>7854.4589999999989</v>
      </c>
      <c r="K36" s="363">
        <f>'Cintas Cash Flow'!AC19</f>
        <v>7848</v>
      </c>
      <c r="L36" s="363">
        <f>'Cintas Cash Flow'!AD19</f>
        <v>0</v>
      </c>
      <c r="M36" s="363">
        <f>'Cintas Cash Flow'!AE19</f>
        <v>0</v>
      </c>
      <c r="N36" s="363">
        <f>'Cintas Cash Flow'!AF19</f>
        <v>0</v>
      </c>
      <c r="O36" s="363">
        <f>'Cintas PNL'!BP23</f>
        <v>2020.6918960438559</v>
      </c>
      <c r="P36" s="363">
        <f>'Cintas PNL'!BQ23</f>
        <v>1720.5779736827976</v>
      </c>
      <c r="Q36" s="363">
        <f>'Cintas PNL'!BR23</f>
        <v>1547.4954215511214</v>
      </c>
      <c r="R36" s="363">
        <f>'Cintas PNL'!BS23</f>
        <v>1200.6112015171661</v>
      </c>
      <c r="S36" s="363">
        <f>'Cintas PNL'!BT23</f>
        <v>1054.8641557415517</v>
      </c>
      <c r="T36" s="363"/>
      <c r="U36" s="319">
        <f>'Vestis Corporation PNL'!R11</f>
        <v>527.20500000000004</v>
      </c>
      <c r="V36" s="320">
        <f>'Vestis Corporation PNL'!W11</f>
        <v>652.21260628383368</v>
      </c>
      <c r="W36" s="320">
        <f>'Vestis Corporation PNL'!X11</f>
        <v>744.47351451430302</v>
      </c>
      <c r="X36" s="320">
        <f>'Vestis Corporation PNL'!Y11</f>
        <v>881.30706194362608</v>
      </c>
      <c r="Y36" s="320">
        <f>'Vestis Corporation PNL'!Z11</f>
        <v>1026.3204269714192</v>
      </c>
      <c r="Z36" s="320">
        <f>'Vestis Corporation PNL'!AA11</f>
        <v>1176.7441344158319</v>
      </c>
      <c r="AA36" s="320">
        <f>'Vestis Corporation PNL'!AB11</f>
        <v>1286.6492047247332</v>
      </c>
      <c r="AB36" s="320">
        <f>'Vestis Corporation PNL'!AC11</f>
        <v>1370.1216089743971</v>
      </c>
      <c r="AC36" s="320">
        <f>'Vestis Corporation PNL'!AD11</f>
        <v>1428.1295723712483</v>
      </c>
      <c r="AD36" s="320">
        <f>'Vestis Corporation PNL'!AE11</f>
        <v>1472.3756399806971</v>
      </c>
      <c r="AE36" s="320">
        <f>'Vestis Corporation PNL'!AF11</f>
        <v>1241.5915372730499</v>
      </c>
      <c r="AF36" s="320">
        <f>'Vestis Corporation PNL'!AG11</f>
        <v>1061.9677393772274</v>
      </c>
      <c r="AG36" s="320">
        <f>'Vestis Corporation PNL'!AH11</f>
        <v>976.34279282099465</v>
      </c>
      <c r="AH36" s="320">
        <f>'Vestis Corporation PNL'!AI11</f>
        <v>903.42371745859941</v>
      </c>
      <c r="AI36" s="320">
        <f>'Vestis Corporation PNL'!AJ11</f>
        <v>821.83812941503697</v>
      </c>
      <c r="AJ36" s="320">
        <f>'Vestis Corporation PNL'!AK11</f>
        <v>764.07360844716641</v>
      </c>
      <c r="AK36" s="363"/>
      <c r="AL36" s="320"/>
      <c r="AM36" s="320"/>
      <c r="AN36" s="320"/>
      <c r="AO36" s="320"/>
      <c r="AP36" s="320"/>
      <c r="AQ36" s="320"/>
      <c r="AR36" s="320"/>
      <c r="AS36" s="320"/>
      <c r="AT36" s="320"/>
      <c r="AU36" s="320"/>
      <c r="AV36" s="320"/>
      <c r="AW36" s="320"/>
      <c r="AX36" s="320"/>
      <c r="AY36" s="320"/>
      <c r="AZ36" s="320"/>
      <c r="BA36" s="363"/>
      <c r="BB36" s="320">
        <f ca="1">AL36+V36+E36</f>
        <v>3156.9636398058637</v>
      </c>
      <c r="BC36" s="320">
        <f>AM36+W36+F36</f>
        <v>7435.843514514303</v>
      </c>
      <c r="BD36" s="320">
        <f>AN36+X36+G36</f>
        <v>7987.6130619436262</v>
      </c>
      <c r="BE36" s="320">
        <f>AO36+Y36+H36</f>
        <v>8111.4304269714194</v>
      </c>
      <c r="BF36" s="320">
        <f>AP36+Z36+I36</f>
        <v>8293.0841344158307</v>
      </c>
      <c r="BG36" s="320">
        <f t="shared" ref="BG36:BP36" si="56">AQ36+AA36+J36</f>
        <v>9141.1082047247328</v>
      </c>
      <c r="BH36" s="320">
        <f t="shared" si="56"/>
        <v>9218.1216089743975</v>
      </c>
      <c r="BI36" s="320">
        <f t="shared" si="56"/>
        <v>1428.1295723712483</v>
      </c>
      <c r="BJ36" s="320">
        <f t="shared" si="56"/>
        <v>1472.3756399806971</v>
      </c>
      <c r="BK36" s="320">
        <f t="shared" si="56"/>
        <v>1241.5915372730499</v>
      </c>
      <c r="BL36" s="320">
        <f t="shared" si="56"/>
        <v>3082.6596354210833</v>
      </c>
      <c r="BM36" s="320">
        <f t="shared" si="56"/>
        <v>2696.920766503792</v>
      </c>
      <c r="BN36" s="320">
        <f t="shared" si="56"/>
        <v>2450.9191390097208</v>
      </c>
      <c r="BO36" s="320">
        <f t="shared" si="56"/>
        <v>2022.4493309322031</v>
      </c>
      <c r="BP36" s="320">
        <f t="shared" si="56"/>
        <v>1818.9377641887181</v>
      </c>
    </row>
    <row r="37" spans="1:68">
      <c r="C37" s="303" t="s">
        <v>249</v>
      </c>
      <c r="D37" s="364"/>
      <c r="E37" s="365">
        <f ca="1">E36/D36-1</f>
        <v>-0.48934739377736391</v>
      </c>
      <c r="F37" s="365">
        <f t="shared" ref="F37:H37" ca="1" si="57">F36/E36-1</f>
        <v>9.9791596815212769E-2</v>
      </c>
      <c r="G37" s="365">
        <f t="shared" si="57"/>
        <v>6.2010619648891208E-2</v>
      </c>
      <c r="H37" s="365">
        <f t="shared" si="57"/>
        <v>-2.9827029683214823E-3</v>
      </c>
      <c r="I37" s="365">
        <f>I36/H36-1</f>
        <v>4.407835587591391E-3</v>
      </c>
      <c r="J37" s="365">
        <f t="shared" ref="J37:S37" si="58">J36/I36-1</f>
        <v>0.1037217165003359</v>
      </c>
      <c r="K37" s="365">
        <f t="shared" si="58"/>
        <v>-8.2233544028931238E-4</v>
      </c>
      <c r="L37" s="365">
        <f t="shared" si="58"/>
        <v>-1</v>
      </c>
      <c r="M37" s="365" t="e">
        <f t="shared" si="58"/>
        <v>#DIV/0!</v>
      </c>
      <c r="N37" s="365" t="e">
        <f t="shared" si="58"/>
        <v>#DIV/0!</v>
      </c>
      <c r="O37" s="365" t="e">
        <f t="shared" si="58"/>
        <v>#DIV/0!</v>
      </c>
      <c r="P37" s="365">
        <f t="shared" si="58"/>
        <v>-0.14852037707907195</v>
      </c>
      <c r="Q37" s="365">
        <f t="shared" si="58"/>
        <v>-0.10059558751714293</v>
      </c>
      <c r="R37" s="365">
        <f t="shared" si="58"/>
        <v>-0.22415847905143282</v>
      </c>
      <c r="S37" s="365">
        <f t="shared" si="58"/>
        <v>-0.12139404129450027</v>
      </c>
      <c r="V37" s="365">
        <f>V36/U36-1</f>
        <v>0.2371138480929309</v>
      </c>
      <c r="W37" s="365">
        <f t="shared" ref="W37" si="59">W36/V36-1</f>
        <v>0.14145833328207513</v>
      </c>
      <c r="X37" s="365">
        <f t="shared" ref="X37" si="60">X36/W36-1</f>
        <v>0.18379908050670379</v>
      </c>
      <c r="Y37" s="365">
        <f t="shared" ref="Y37" si="61">Y36/X36-1</f>
        <v>0.164543518700488</v>
      </c>
      <c r="Z37" s="365">
        <f t="shared" ref="Z37" si="62">Z36/Y36-1</f>
        <v>0.14656602703338928</v>
      </c>
      <c r="AA37" s="365">
        <f t="shared" ref="AA37" si="63">AA36/Z36-1</f>
        <v>9.3397593490840869E-2</v>
      </c>
      <c r="AB37" s="365">
        <f t="shared" ref="AB37" si="64">AB36/AA36-1</f>
        <v>6.4875806041882367E-2</v>
      </c>
      <c r="AC37" s="365">
        <f t="shared" ref="AC37" si="65">AC36/AB36-1</f>
        <v>4.2337820976543039E-2</v>
      </c>
      <c r="AD37" s="365">
        <f t="shared" ref="AD37" si="66">AD36/AC36-1</f>
        <v>3.0981829986184817E-2</v>
      </c>
      <c r="AE37" s="365">
        <f t="shared" ref="AE37" si="67">AE36/AD36-1</f>
        <v>-0.15674267927352614</v>
      </c>
      <c r="AF37" s="365">
        <f t="shared" ref="AF37" si="68">AF36/AE36-1</f>
        <v>-0.14467221505901717</v>
      </c>
      <c r="AG37" s="365">
        <f t="shared" ref="AG37" si="69">AG36/AF36-1</f>
        <v>-8.06285759739237E-2</v>
      </c>
      <c r="AH37" s="365">
        <f t="shared" ref="AH37" si="70">AH36/AG36-1</f>
        <v>-7.4685936024279531E-2</v>
      </c>
      <c r="AI37" s="365">
        <f t="shared" ref="AI37" si="71">AI36/AH36-1</f>
        <v>-9.0307113336662193E-2</v>
      </c>
      <c r="AJ37" s="365">
        <f t="shared" ref="AJ37" si="72">AJ36/AI36-1</f>
        <v>-7.0286980976394742E-2</v>
      </c>
    </row>
    <row r="38" spans="1:68">
      <c r="C38" s="303"/>
    </row>
    <row r="39" spans="1:68" ht="12">
      <c r="C39" s="278" t="s">
        <v>250</v>
      </c>
      <c r="E39" s="287">
        <f>'Cintas PNL'!BF39</f>
        <v>1137.925169709604</v>
      </c>
      <c r="F39" s="287">
        <f>'Cintas PNL'!BG39</f>
        <v>1276.5531781509696</v>
      </c>
      <c r="G39" s="287">
        <f>'Cintas PNL'!BH39</f>
        <v>1358.7178007854511</v>
      </c>
      <c r="H39" s="287">
        <f>'Cintas PNL'!BI39</f>
        <v>1499.6254234754945</v>
      </c>
      <c r="I39" s="287">
        <f>'Cintas PNL'!BJ39</f>
        <v>1490.676331371737</v>
      </c>
      <c r="J39" s="287">
        <f>'Cintas PNL'!BK39</f>
        <v>1467.1210292825597</v>
      </c>
      <c r="K39" s="287">
        <f>'Cintas PNL'!BL39</f>
        <v>1563.1806825435965</v>
      </c>
      <c r="L39" s="287">
        <f>'Cintas PNL'!BM39</f>
        <v>1505.6747079611696</v>
      </c>
      <c r="M39" s="287">
        <f>'Cintas PNL'!BN39</f>
        <v>1479.4106655679077</v>
      </c>
      <c r="N39" s="287">
        <f>'Cintas PNL'!BO39</f>
        <v>1407.9677760001491</v>
      </c>
      <c r="O39" s="287">
        <f>'Cintas PNL'!BP39</f>
        <v>1322.7773837718423</v>
      </c>
      <c r="P39" s="287">
        <f>'Cintas PNL'!BQ39</f>
        <v>1126.3179879423799</v>
      </c>
      <c r="Q39" s="287">
        <f>'Cintas PNL'!BR39</f>
        <v>1013.0153682141899</v>
      </c>
      <c r="R39" s="287">
        <f>'Cintas PNL'!BS39</f>
        <v>785.93938401956984</v>
      </c>
      <c r="S39" s="287">
        <f>'Cintas PNL'!BT39</f>
        <v>690.53102598092426</v>
      </c>
      <c r="U39" s="287"/>
      <c r="V39" s="287">
        <f>'Vestis Corporation PNL'!W28</f>
        <v>-19.681473948031314</v>
      </c>
      <c r="W39" s="287">
        <f>'Vestis Corporation PNL'!X28</f>
        <v>14.132973983237914</v>
      </c>
      <c r="X39" s="287">
        <f>'Vestis Corporation PNL'!Y28</f>
        <v>60.055939058839243</v>
      </c>
      <c r="Y39" s="287">
        <f>'Vestis Corporation PNL'!Z28</f>
        <v>120.391995516446</v>
      </c>
      <c r="Z39" s="287">
        <f>'Vestis Corporation PNL'!AA28</f>
        <v>195.88649055142611</v>
      </c>
      <c r="AA39" s="287">
        <f>'Vestis Corporation PNL'!AB28</f>
        <v>277.43390439139392</v>
      </c>
      <c r="AB39" s="287">
        <f>'Vestis Corporation PNL'!AC28</f>
        <v>362.78826971681502</v>
      </c>
      <c r="AC39" s="287">
        <f>'Vestis Corporation PNL'!AD28</f>
        <v>448.35524174801753</v>
      </c>
      <c r="AD39" s="287">
        <f>'Vestis Corporation PNL'!AE28</f>
        <v>534.62856569275164</v>
      </c>
      <c r="AE39" s="287">
        <f>'Vestis Corporation PNL'!AF28</f>
        <v>511.86648955086167</v>
      </c>
      <c r="AF39" s="287">
        <f>'Vestis Corporation PNL'!AG28</f>
        <v>468.78095012741403</v>
      </c>
      <c r="AG39" s="287">
        <f>'Vestis Corporation PNL'!AH28</f>
        <v>459.45427824157451</v>
      </c>
      <c r="AH39" s="287">
        <f>'Vestis Corporation PNL'!AI28</f>
        <v>451.48363038343064</v>
      </c>
      <c r="AI39" s="287">
        <f>'Vestis Corporation PNL'!AJ28</f>
        <v>434.67651009777052</v>
      </c>
      <c r="AJ39" s="287">
        <f>'Vestis Corporation PNL'!AK28</f>
        <v>426.40504166094928</v>
      </c>
      <c r="AL39" s="321">
        <f ca="1">T24*T25</f>
        <v>130.96006902867205</v>
      </c>
      <c r="AM39" s="321">
        <f>U24*U25</f>
        <v>657.03763663867721</v>
      </c>
      <c r="AN39" s="321">
        <f>V24*V25</f>
        <v>642.69470996072755</v>
      </c>
      <c r="AO39" s="321">
        <f>W24*W25</f>
        <v>633.52972882622521</v>
      </c>
      <c r="AP39" s="321">
        <f>X24*X25</f>
        <v>637.10018343141314</v>
      </c>
      <c r="AQ39" s="321">
        <f t="shared" ref="AQ39" si="73">Y24*Y25</f>
        <v>712.08984853587197</v>
      </c>
      <c r="AR39" s="321">
        <f t="shared" ref="AR39" si="74">Z24*Z25</f>
        <v>706.64096587282029</v>
      </c>
      <c r="AS39" s="321">
        <f t="shared" ref="AS39" si="75">AA24*AA25</f>
        <v>-75.283735398058482</v>
      </c>
      <c r="AT39" s="321">
        <f t="shared" ref="AT39" si="76">AB24*AB25</f>
        <v>-73.970533278395393</v>
      </c>
      <c r="AU39" s="321">
        <f t="shared" ref="AU39" si="77">AC24*AC25</f>
        <v>-70.398388800007453</v>
      </c>
      <c r="AV39" s="321">
        <f t="shared" ref="AV39" si="78">AD24*AD25</f>
        <v>135.93032041579349</v>
      </c>
      <c r="AW39" s="321">
        <f t="shared" ref="AW39" si="79">AE24*AE25</f>
        <v>115.74189797116078</v>
      </c>
      <c r="AX39" s="321">
        <f t="shared" ref="AX39" si="80">AF24*AF25</f>
        <v>104.09877374440265</v>
      </c>
      <c r="AY39" s="321">
        <f t="shared" ref="AY39" si="81">AG24*AG25</f>
        <v>80.764150950738127</v>
      </c>
      <c r="AZ39" s="321">
        <f t="shared" ref="AZ39" si="82">AH24*AH25</f>
        <v>70.959864275108956</v>
      </c>
      <c r="BB39" s="287">
        <f ca="1">AL39+V39+E39</f>
        <v>1249.2037647902448</v>
      </c>
      <c r="BC39" s="287">
        <f>AM39+W39+F39</f>
        <v>1947.7237887728847</v>
      </c>
      <c r="BD39" s="287">
        <f>AN39+X39+G39</f>
        <v>2061.4684498050178</v>
      </c>
      <c r="BE39" s="287">
        <f>AO39+Y39+H39</f>
        <v>2253.5471478181657</v>
      </c>
      <c r="BF39" s="287">
        <f>AP39+Z39+I39</f>
        <v>2323.6630053545759</v>
      </c>
      <c r="BG39" s="287">
        <f t="shared" ref="BG39:BP39" si="83">AQ39+AA39+J39</f>
        <v>2456.6447822098253</v>
      </c>
      <c r="BH39" s="287">
        <f t="shared" si="83"/>
        <v>2632.609918133232</v>
      </c>
      <c r="BI39" s="287">
        <f t="shared" si="83"/>
        <v>1878.7462143111286</v>
      </c>
      <c r="BJ39" s="287">
        <f t="shared" si="83"/>
        <v>1940.068697982264</v>
      </c>
      <c r="BK39" s="287">
        <f t="shared" si="83"/>
        <v>1849.4358767510034</v>
      </c>
      <c r="BL39" s="287">
        <f t="shared" si="83"/>
        <v>1927.4886543150499</v>
      </c>
      <c r="BM39" s="287">
        <f t="shared" si="83"/>
        <v>1701.5141641551152</v>
      </c>
      <c r="BN39" s="287">
        <f t="shared" si="83"/>
        <v>1568.5977723420233</v>
      </c>
      <c r="BO39" s="287">
        <f t="shared" si="83"/>
        <v>1301.3800450680785</v>
      </c>
      <c r="BP39" s="287">
        <f t="shared" si="83"/>
        <v>1187.8959319169826</v>
      </c>
    </row>
    <row r="40" spans="1:68">
      <c r="C40" s="303" t="s">
        <v>251</v>
      </c>
      <c r="E40" s="366">
        <f ca="1">E39/E$36</f>
        <v>0.45430669734449503</v>
      </c>
      <c r="F40" s="366">
        <f t="shared" ref="F40:H40" si="84">F39/F$36</f>
        <v>0.19077605604696343</v>
      </c>
      <c r="G40" s="366">
        <f t="shared" si="84"/>
        <v>0.1911988874086552</v>
      </c>
      <c r="H40" s="366">
        <f t="shared" si="84"/>
        <v>0.21165873549958922</v>
      </c>
      <c r="I40" s="366">
        <f>I39/I$36</f>
        <v>0.20947233147541253</v>
      </c>
      <c r="J40" s="366">
        <f t="shared" ref="J40:S40" si="85">J39/J$36</f>
        <v>0.18678829812244993</v>
      </c>
      <c r="K40" s="366">
        <f t="shared" si="85"/>
        <v>0.19918204415693125</v>
      </c>
      <c r="L40" s="366" t="e">
        <f t="shared" si="85"/>
        <v>#DIV/0!</v>
      </c>
      <c r="M40" s="366" t="e">
        <f t="shared" si="85"/>
        <v>#DIV/0!</v>
      </c>
      <c r="N40" s="366" t="e">
        <f t="shared" si="85"/>
        <v>#DIV/0!</v>
      </c>
      <c r="O40" s="366">
        <f t="shared" si="85"/>
        <v>0.65461606807133632</v>
      </c>
      <c r="P40" s="366">
        <f t="shared" si="85"/>
        <v>0.65461606807133621</v>
      </c>
      <c r="Q40" s="366">
        <f t="shared" si="85"/>
        <v>0.65461606807133621</v>
      </c>
      <c r="R40" s="366">
        <f t="shared" si="85"/>
        <v>0.6546160680713361</v>
      </c>
      <c r="S40" s="366">
        <f t="shared" si="85"/>
        <v>0.65461606807133621</v>
      </c>
      <c r="V40" s="366">
        <f>V39/V$36</f>
        <v>-3.0176469694709052E-2</v>
      </c>
      <c r="W40" s="366">
        <f>W39/W$36</f>
        <v>1.8983850610801531E-2</v>
      </c>
      <c r="X40" s="366">
        <f>X39/X$36</f>
        <v>6.814417091631203E-2</v>
      </c>
      <c r="Y40" s="366">
        <f>Y39/Y$36</f>
        <v>0.11730449122182253</v>
      </c>
      <c r="Z40" s="366">
        <f>Z39/Z$36</f>
        <v>0.16646481152733303</v>
      </c>
      <c r="AA40" s="366">
        <f t="shared" ref="AA40:AH40" si="86">AA39/AA$36</f>
        <v>0.21562513183284357</v>
      </c>
      <c r="AB40" s="366">
        <f t="shared" si="86"/>
        <v>0.26478545213835419</v>
      </c>
      <c r="AC40" s="366">
        <f t="shared" si="86"/>
        <v>0.31394577244386457</v>
      </c>
      <c r="AD40" s="366">
        <f t="shared" si="86"/>
        <v>0.36310609274937516</v>
      </c>
      <c r="AE40" s="366">
        <f t="shared" si="86"/>
        <v>0.41226641305488571</v>
      </c>
      <c r="AF40" s="366">
        <f t="shared" si="86"/>
        <v>0.44142673336039612</v>
      </c>
      <c r="AG40" s="366">
        <f t="shared" si="86"/>
        <v>0.47058705366590659</v>
      </c>
      <c r="AH40" s="366">
        <f t="shared" si="86"/>
        <v>0.49974737397141722</v>
      </c>
      <c r="AI40" s="366">
        <f>AI39/AI$36</f>
        <v>0.52890769427692774</v>
      </c>
      <c r="AJ40" s="366">
        <f t="shared" ref="AJ40" si="87">AJ39/AJ$36</f>
        <v>0.55806801458243804</v>
      </c>
      <c r="BB40" s="322">
        <f ca="1">BB39/BB36</f>
        <v>0.39569786266751683</v>
      </c>
      <c r="BC40" s="322">
        <f t="shared" ref="BC40:BF40" si="88">BC39/BC36</f>
        <v>0.26193716758173424</v>
      </c>
      <c r="BD40" s="322">
        <f t="shared" si="88"/>
        <v>0.25808316374596652</v>
      </c>
      <c r="BE40" s="322">
        <f t="shared" si="88"/>
        <v>0.27782364258773246</v>
      </c>
      <c r="BF40" s="322">
        <f t="shared" si="88"/>
        <v>0.28019286524677905</v>
      </c>
      <c r="BG40" s="322">
        <f t="shared" ref="BG40:BP40" si="89">BG39/BG36</f>
        <v>0.26874693168384856</v>
      </c>
      <c r="BH40" s="322">
        <f t="shared" si="89"/>
        <v>0.28559071249073426</v>
      </c>
      <c r="BI40" s="322">
        <f t="shared" si="89"/>
        <v>1.3155292423443639</v>
      </c>
      <c r="BJ40" s="322">
        <f t="shared" si="89"/>
        <v>1.3176452022852663</v>
      </c>
      <c r="BK40" s="322">
        <f t="shared" si="89"/>
        <v>1.4895686876321523</v>
      </c>
      <c r="BL40" s="322">
        <f t="shared" si="89"/>
        <v>0.6252680744145015</v>
      </c>
      <c r="BM40" s="322">
        <f t="shared" si="89"/>
        <v>0.63090995675075301</v>
      </c>
      <c r="BN40" s="322">
        <f t="shared" si="89"/>
        <v>0.64000388563443422</v>
      </c>
      <c r="BO40" s="322">
        <f t="shared" si="89"/>
        <v>0.64346731716054228</v>
      </c>
      <c r="BP40" s="322">
        <f t="shared" si="89"/>
        <v>0.65307123492859442</v>
      </c>
    </row>
    <row r="42" spans="1:68">
      <c r="C42" s="285" t="s">
        <v>252</v>
      </c>
      <c r="E42" s="287">
        <f>'Cintas PNL'!BF38*-1</f>
        <v>-291.58660479003669</v>
      </c>
      <c r="F42" s="287">
        <f>'Cintas PNL'!BG38*-1</f>
        <v>-320.68449769196076</v>
      </c>
      <c r="G42" s="287">
        <f>'Cintas PNL'!BH38*-1</f>
        <v>-285.19363075114148</v>
      </c>
      <c r="H42" s="287">
        <f>'Cintas PNL'!BI38*-1</f>
        <v>-288.73944302840545</v>
      </c>
      <c r="I42" s="287">
        <f>'Cintas PNL'!BJ38*-1</f>
        <v>-287.01637550154248</v>
      </c>
      <c r="J42" s="287">
        <f>'Cintas PNL'!BK38*-1</f>
        <v>-282.48101307094817</v>
      </c>
      <c r="K42" s="287">
        <f>'Cintas PNL'!BL38*-1</f>
        <v>-277.98766321376263</v>
      </c>
      <c r="L42" s="287">
        <f>'Cintas PNL'!BM38*-1</f>
        <v>-267.76110932046174</v>
      </c>
      <c r="M42" s="287">
        <f>'Cintas PNL'!BN38*-1</f>
        <v>-263.09045297664755</v>
      </c>
      <c r="N42" s="287">
        <f>'Cintas PNL'!BO38*-1</f>
        <v>-250.3854329198083</v>
      </c>
      <c r="O42" s="287">
        <f>'Cintas PNL'!BP38*-1</f>
        <v>-235.23563077072086</v>
      </c>
      <c r="P42" s="287">
        <f>'Cintas PNL'!BQ38*-1</f>
        <v>-200.29834618622004</v>
      </c>
      <c r="Q42" s="287">
        <f>'Cintas PNL'!BR38*-1</f>
        <v>-180.14921637290516</v>
      </c>
      <c r="R42" s="287">
        <f>'Cintas PNL'!BS38*-1</f>
        <v>-139.76724202844727</v>
      </c>
      <c r="S42" s="287">
        <f>'Cintas PNL'!BT38*-1</f>
        <v>-122.80033167802753</v>
      </c>
      <c r="U42" s="287"/>
      <c r="V42" s="287">
        <f>'Vestis Corporation PNL'!W26*-1</f>
        <v>-17.569416158685865</v>
      </c>
      <c r="W42" s="287">
        <f>'Vestis Corporation PNL'!X26*-1</f>
        <v>-20.054756485232726</v>
      </c>
      <c r="X42" s="287">
        <f>'Vestis Corporation PNL'!Y26*-1</f>
        <v>-23.740802287004353</v>
      </c>
      <c r="Y42" s="287">
        <f>'Vestis Corporation PNL'!Z26*-1</f>
        <v>-27.647197432080642</v>
      </c>
      <c r="Z42" s="287">
        <f>'Vestis Corporation PNL'!AA26*-1</f>
        <v>-31.699337318308423</v>
      </c>
      <c r="AA42" s="287">
        <f>'Vestis Corporation PNL'!AB26*-1</f>
        <v>-34.659979139092833</v>
      </c>
      <c r="AB42" s="287">
        <f>'Vestis Corporation PNL'!AC26*-1</f>
        <v>-36.908573223136308</v>
      </c>
      <c r="AC42" s="287">
        <f>'Vestis Corporation PNL'!AD26*-1</f>
        <v>-38.471201788757085</v>
      </c>
      <c r="AD42" s="287">
        <f>'Vestis Corporation PNL'!AE26*-1</f>
        <v>-39.663110021940568</v>
      </c>
      <c r="AE42" s="287">
        <f>'Vestis Corporation PNL'!AF26*-1</f>
        <v>-33.446207888780954</v>
      </c>
      <c r="AF42" s="287">
        <f>'Vestis Corporation PNL'!AG26*-1</f>
        <v>-28.607470908186638</v>
      </c>
      <c r="AG42" s="287">
        <f>'Vestis Corporation PNL'!AH26*-1</f>
        <v>-26.300891266644101</v>
      </c>
      <c r="AH42" s="287">
        <f>'Vestis Corporation PNL'!AI26*-1</f>
        <v>-24.336584584121987</v>
      </c>
      <c r="AI42" s="287">
        <f>'Vestis Corporation PNL'!AJ26*-1</f>
        <v>-22.138817881856415</v>
      </c>
      <c r="AJ42" s="287">
        <f>'Vestis Corporation PNL'!AK26*-1</f>
        <v>-20.582747210554505</v>
      </c>
      <c r="AL42" s="321">
        <f>-AL103</f>
        <v>0</v>
      </c>
      <c r="AM42" s="321">
        <f>-AM103</f>
        <v>-225</v>
      </c>
      <c r="AN42" s="321">
        <f t="shared" ref="AN42:AP42" si="90">-AN103</f>
        <v>-225</v>
      </c>
      <c r="AO42" s="321">
        <f t="shared" si="90"/>
        <v>-225</v>
      </c>
      <c r="AP42" s="321">
        <f t="shared" si="90"/>
        <v>-225</v>
      </c>
      <c r="AQ42" s="321">
        <f t="shared" ref="AQ42" si="91">-AQ103</f>
        <v>-225</v>
      </c>
      <c r="AR42" s="321">
        <f t="shared" ref="AR42:AZ42" si="92">-AR103</f>
        <v>-225</v>
      </c>
      <c r="AS42" s="321">
        <f t="shared" si="92"/>
        <v>-225</v>
      </c>
      <c r="AT42" s="321">
        <f t="shared" si="92"/>
        <v>-225</v>
      </c>
      <c r="AU42" s="321">
        <f t="shared" si="92"/>
        <v>-225</v>
      </c>
      <c r="AV42" s="321">
        <f t="shared" si="92"/>
        <v>-225</v>
      </c>
      <c r="AW42" s="321">
        <f t="shared" si="92"/>
        <v>-225</v>
      </c>
      <c r="AX42" s="321">
        <f t="shared" si="92"/>
        <v>-225</v>
      </c>
      <c r="AY42" s="321">
        <f t="shared" si="92"/>
        <v>-225</v>
      </c>
      <c r="AZ42" s="321">
        <f t="shared" si="92"/>
        <v>-225</v>
      </c>
      <c r="BB42" s="287">
        <f>AL42+V42+E42</f>
        <v>-309.15602094872253</v>
      </c>
      <c r="BC42" s="287">
        <f>AM42+W42+F42</f>
        <v>-565.73925417719352</v>
      </c>
      <c r="BD42" s="287">
        <f>AN42+X42+G42</f>
        <v>-533.93443303814581</v>
      </c>
      <c r="BE42" s="287">
        <f>AO42+Y42+H42</f>
        <v>-541.38664046048609</v>
      </c>
      <c r="BF42" s="287">
        <f>AP42+Z42+I42</f>
        <v>-543.71571281985098</v>
      </c>
      <c r="BG42" s="287">
        <f t="shared" ref="BG42:BP42" si="93">AQ42+AA42+J42</f>
        <v>-542.14099221004108</v>
      </c>
      <c r="BH42" s="287">
        <f t="shared" si="93"/>
        <v>-539.89623643689902</v>
      </c>
      <c r="BI42" s="287">
        <f t="shared" si="93"/>
        <v>-531.23231110921881</v>
      </c>
      <c r="BJ42" s="287">
        <f t="shared" si="93"/>
        <v>-527.75356299858811</v>
      </c>
      <c r="BK42" s="287">
        <f t="shared" si="93"/>
        <v>-508.83164080858927</v>
      </c>
      <c r="BL42" s="287">
        <f t="shared" si="93"/>
        <v>-488.84310167890749</v>
      </c>
      <c r="BM42" s="287">
        <f t="shared" si="93"/>
        <v>-451.59923745286414</v>
      </c>
      <c r="BN42" s="287">
        <f t="shared" si="93"/>
        <v>-429.48580095702715</v>
      </c>
      <c r="BO42" s="287">
        <f t="shared" si="93"/>
        <v>-386.90605991030372</v>
      </c>
      <c r="BP42" s="287">
        <f t="shared" si="93"/>
        <v>-368.38307888858208</v>
      </c>
    </row>
    <row r="43" spans="1:68">
      <c r="C43" s="323" t="s">
        <v>253</v>
      </c>
      <c r="E43" s="366">
        <f ca="1">E42/E$36</f>
        <v>-0.11641340831388945</v>
      </c>
      <c r="F43" s="366">
        <f t="shared" ref="F43" si="94">F42/F$36</f>
        <v>-4.7925088239323302E-2</v>
      </c>
      <c r="G43" s="366">
        <f t="shared" ref="G43" si="95">G42/G$36</f>
        <v>-4.0132472588591241E-2</v>
      </c>
      <c r="H43" s="366">
        <f t="shared" ref="H43" si="96">H42/H$36</f>
        <v>-4.0752993676655053E-2</v>
      </c>
      <c r="I43" s="366">
        <f t="shared" ref="I43:S43" si="97">I42/I$36</f>
        <v>-4.0332021165591092E-2</v>
      </c>
      <c r="J43" s="366">
        <f t="shared" si="97"/>
        <v>-3.5964413726132911E-2</v>
      </c>
      <c r="K43" s="366">
        <f t="shared" si="97"/>
        <v>-3.5421465750989124E-2</v>
      </c>
      <c r="L43" s="366" t="e">
        <f t="shared" si="97"/>
        <v>#DIV/0!</v>
      </c>
      <c r="M43" s="366" t="e">
        <f t="shared" si="97"/>
        <v>#DIV/0!</v>
      </c>
      <c r="N43" s="366" t="e">
        <f t="shared" si="97"/>
        <v>#DIV/0!</v>
      </c>
      <c r="O43" s="366">
        <f t="shared" si="97"/>
        <v>-0.11641340831388945</v>
      </c>
      <c r="P43" s="366">
        <f t="shared" si="97"/>
        <v>-0.11641340831388944</v>
      </c>
      <c r="Q43" s="366">
        <f t="shared" si="97"/>
        <v>-0.11641340831388944</v>
      </c>
      <c r="R43" s="366">
        <f t="shared" si="97"/>
        <v>-0.11641340831388945</v>
      </c>
      <c r="S43" s="366">
        <f t="shared" si="97"/>
        <v>-0.11641340831388945</v>
      </c>
      <c r="V43" s="366">
        <f>V42/V$36</f>
        <v>-2.693817321132843E-2</v>
      </c>
      <c r="W43" s="366">
        <f>W42/W$36</f>
        <v>-2.6938173211328433E-2</v>
      </c>
      <c r="X43" s="366">
        <f>X42/X$36</f>
        <v>-2.693817321132843E-2</v>
      </c>
      <c r="Y43" s="366">
        <f>Y42/Y$36</f>
        <v>-2.693817321132843E-2</v>
      </c>
      <c r="Z43" s="366">
        <f>Z42/Z$36</f>
        <v>-2.693817321132843E-2</v>
      </c>
      <c r="AA43" s="366">
        <f t="shared" ref="AA43:AH43" si="98">AA42/AA$36</f>
        <v>-2.6938173211328426E-2</v>
      </c>
      <c r="AB43" s="366">
        <f t="shared" si="98"/>
        <v>-2.693817321132843E-2</v>
      </c>
      <c r="AC43" s="366">
        <f t="shared" si="98"/>
        <v>-2.693817321132843E-2</v>
      </c>
      <c r="AD43" s="366">
        <f t="shared" si="98"/>
        <v>-2.693817321132843E-2</v>
      </c>
      <c r="AE43" s="366">
        <f t="shared" si="98"/>
        <v>-2.693817321132843E-2</v>
      </c>
      <c r="AF43" s="366">
        <f t="shared" si="98"/>
        <v>-2.693817321132843E-2</v>
      </c>
      <c r="AG43" s="366">
        <f t="shared" si="98"/>
        <v>-2.693817321132843E-2</v>
      </c>
      <c r="AH43" s="366">
        <f t="shared" si="98"/>
        <v>-2.693817321132843E-2</v>
      </c>
      <c r="AI43" s="366">
        <f>AI42/AI$36</f>
        <v>-2.693817321132843E-2</v>
      </c>
      <c r="AJ43" s="366">
        <f t="shared" ref="AJ43" si="99">AJ42/AJ$36</f>
        <v>-2.693817321132843E-2</v>
      </c>
    </row>
    <row r="44" spans="1:68">
      <c r="C44" s="323"/>
    </row>
    <row r="45" spans="1:68">
      <c r="C45" s="276" t="s">
        <v>254</v>
      </c>
      <c r="E45" s="287">
        <f>E42+E39</f>
        <v>846.33856491956726</v>
      </c>
      <c r="F45" s="287">
        <f t="shared" ref="F45:S45" si="100">F42+F39</f>
        <v>955.86868045900883</v>
      </c>
      <c r="G45" s="287">
        <f t="shared" si="100"/>
        <v>1073.5241700343097</v>
      </c>
      <c r="H45" s="287">
        <f t="shared" si="100"/>
        <v>1210.885980447089</v>
      </c>
      <c r="I45" s="287">
        <f t="shared" si="100"/>
        <v>1203.6599558701946</v>
      </c>
      <c r="J45" s="287">
        <f t="shared" si="100"/>
        <v>1184.6400162116115</v>
      </c>
      <c r="K45" s="287">
        <f t="shared" si="100"/>
        <v>1285.193019329834</v>
      </c>
      <c r="L45" s="287">
        <f t="shared" si="100"/>
        <v>1237.9135986407077</v>
      </c>
      <c r="M45" s="287">
        <f t="shared" si="100"/>
        <v>1216.3202125912601</v>
      </c>
      <c r="N45" s="287">
        <f t="shared" si="100"/>
        <v>1157.5823430803407</v>
      </c>
      <c r="O45" s="287">
        <f t="shared" si="100"/>
        <v>1087.5417530011214</v>
      </c>
      <c r="P45" s="287">
        <f t="shared" si="100"/>
        <v>926.0196417561599</v>
      </c>
      <c r="Q45" s="287">
        <f t="shared" si="100"/>
        <v>832.86615184128482</v>
      </c>
      <c r="R45" s="287">
        <f t="shared" si="100"/>
        <v>646.17214199112254</v>
      </c>
      <c r="S45" s="287">
        <f t="shared" si="100"/>
        <v>567.73069430289672</v>
      </c>
      <c r="U45" s="287"/>
      <c r="V45" s="287">
        <f>V42+V39</f>
        <v>-37.250890106717179</v>
      </c>
      <c r="W45" s="287">
        <f t="shared" ref="W45:Z45" si="101">W42+W39</f>
        <v>-5.9217825019948123</v>
      </c>
      <c r="X45" s="287">
        <f t="shared" si="101"/>
        <v>36.315136771834887</v>
      </c>
      <c r="Y45" s="287">
        <f t="shared" si="101"/>
        <v>92.744798084365357</v>
      </c>
      <c r="Z45" s="287">
        <f t="shared" si="101"/>
        <v>164.18715323311767</v>
      </c>
      <c r="AA45" s="287">
        <f t="shared" ref="AA45:AI45" si="102">AA42+AA39</f>
        <v>242.7739252523011</v>
      </c>
      <c r="AB45" s="287">
        <f t="shared" si="102"/>
        <v>325.87969649367869</v>
      </c>
      <c r="AC45" s="287">
        <f t="shared" si="102"/>
        <v>409.88403995926046</v>
      </c>
      <c r="AD45" s="287">
        <f t="shared" si="102"/>
        <v>494.96545567081108</v>
      </c>
      <c r="AE45" s="287">
        <f t="shared" si="102"/>
        <v>478.4202816620807</v>
      </c>
      <c r="AF45" s="287">
        <f t="shared" si="102"/>
        <v>440.17347921922737</v>
      </c>
      <c r="AG45" s="287">
        <f t="shared" si="102"/>
        <v>433.15338697493041</v>
      </c>
      <c r="AH45" s="287">
        <f t="shared" si="102"/>
        <v>427.14704579930867</v>
      </c>
      <c r="AI45" s="287">
        <f t="shared" si="102"/>
        <v>412.53769221591409</v>
      </c>
      <c r="AJ45" s="287">
        <f t="shared" ref="AJ45" si="103">AJ42+AJ39</f>
        <v>405.82229445039479</v>
      </c>
      <c r="BB45" s="287">
        <f t="shared" ref="BB45:BF45" ca="1" si="104">BB42+BB39</f>
        <v>940.04774384152233</v>
      </c>
      <c r="BC45" s="287">
        <f t="shared" si="104"/>
        <v>1381.9845345956912</v>
      </c>
      <c r="BD45" s="287">
        <f t="shared" si="104"/>
        <v>1527.5340167668719</v>
      </c>
      <c r="BE45" s="287">
        <f t="shared" si="104"/>
        <v>1712.1605073576798</v>
      </c>
      <c r="BF45" s="287">
        <f t="shared" si="104"/>
        <v>1779.947292534725</v>
      </c>
      <c r="BG45" s="287">
        <f t="shared" ref="BG45:BP45" si="105">BG42+BG39</f>
        <v>1914.5037899997842</v>
      </c>
      <c r="BH45" s="287">
        <f t="shared" si="105"/>
        <v>2092.713681696333</v>
      </c>
      <c r="BI45" s="287">
        <f t="shared" si="105"/>
        <v>1347.5139032019097</v>
      </c>
      <c r="BJ45" s="287">
        <f t="shared" si="105"/>
        <v>1412.3151349836758</v>
      </c>
      <c r="BK45" s="287">
        <f t="shared" si="105"/>
        <v>1340.6042359424141</v>
      </c>
      <c r="BL45" s="287">
        <f t="shared" si="105"/>
        <v>1438.6455526361424</v>
      </c>
      <c r="BM45" s="287">
        <f t="shared" si="105"/>
        <v>1249.914926702251</v>
      </c>
      <c r="BN45" s="287">
        <f t="shared" si="105"/>
        <v>1139.1119713849962</v>
      </c>
      <c r="BO45" s="287">
        <f t="shared" si="105"/>
        <v>914.47398515777479</v>
      </c>
      <c r="BP45" s="287">
        <f t="shared" si="105"/>
        <v>819.51285302840051</v>
      </c>
    </row>
    <row r="46" spans="1:68">
      <c r="E46" s="287"/>
      <c r="F46" s="287"/>
      <c r="G46" s="287"/>
      <c r="H46" s="287"/>
      <c r="I46" s="287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287"/>
      <c r="AI46" s="287"/>
      <c r="AJ46" s="287"/>
    </row>
    <row r="47" spans="1:68">
      <c r="C47" s="285" t="s">
        <v>255</v>
      </c>
      <c r="E47" s="324">
        <f>'Cintas PNL'!BF30</f>
        <v>-45.619610504474657</v>
      </c>
      <c r="F47" s="324">
        <f>'Cintas PNL'!BG30</f>
        <v>-45.619610504474657</v>
      </c>
      <c r="G47" s="324">
        <f>'Cintas PNL'!BH30</f>
        <v>-45.619610504474657</v>
      </c>
      <c r="H47" s="324">
        <f>'Cintas PNL'!BI30</f>
        <v>-45.619610504474657</v>
      </c>
      <c r="I47" s="324">
        <f>'Cintas PNL'!BJ30</f>
        <v>-45.619610504474657</v>
      </c>
      <c r="J47" s="324">
        <f>'Cintas PNL'!BK30</f>
        <v>-45.619610504474657</v>
      </c>
      <c r="K47" s="324">
        <f>'Cintas PNL'!BL30</f>
        <v>-45.619610504474657</v>
      </c>
      <c r="L47" s="324">
        <f>'Cintas PNL'!BM30</f>
        <v>-45.619610504474657</v>
      </c>
      <c r="M47" s="324">
        <f>'Cintas PNL'!BN30</f>
        <v>-45.619610504474657</v>
      </c>
      <c r="N47" s="324">
        <f>'Cintas PNL'!BO30</f>
        <v>-45.619610504474657</v>
      </c>
      <c r="O47" s="324">
        <f>'Cintas PNL'!BP30</f>
        <v>-45.619610504474657</v>
      </c>
      <c r="P47" s="324">
        <f>'Cintas PNL'!BQ30</f>
        <v>-45.619610504474657</v>
      </c>
      <c r="Q47" s="324">
        <f>'Cintas PNL'!BR30</f>
        <v>-45.619610504474657</v>
      </c>
      <c r="R47" s="324">
        <f>'Cintas PNL'!BS30</f>
        <v>-45.619610504474657</v>
      </c>
      <c r="S47" s="324">
        <f>'Cintas PNL'!BT30</f>
        <v>-45.619610504474657</v>
      </c>
      <c r="U47" s="287"/>
      <c r="V47" s="324">
        <f>'Vestis Corporation PNL'!W18+'Vestis Corporation PNL'!W19</f>
        <v>-0.56780556815090233</v>
      </c>
      <c r="W47" s="324">
        <f>'Vestis Corporation PNL'!X18+'Vestis Corporation PNL'!X19</f>
        <v>-0.56780556815090233</v>
      </c>
      <c r="X47" s="324">
        <f>'Vestis Corporation PNL'!Y18+'Vestis Corporation PNL'!Y19</f>
        <v>-0.56780556815090233</v>
      </c>
      <c r="Y47" s="324">
        <f>'Vestis Corporation PNL'!Z18+'Vestis Corporation PNL'!Z19</f>
        <v>-0.56780556815090233</v>
      </c>
      <c r="Z47" s="324">
        <f>'Vestis Corporation PNL'!AA18+'Vestis Corporation PNL'!AA19</f>
        <v>-0.56780556815090233</v>
      </c>
      <c r="AA47" s="324">
        <f>'Vestis Corporation PNL'!AB18+'Vestis Corporation PNL'!AB19</f>
        <v>-0.56780556815090233</v>
      </c>
      <c r="AB47" s="324">
        <f>'Vestis Corporation PNL'!AC18+'Vestis Corporation PNL'!AC19</f>
        <v>-0.56780556815090233</v>
      </c>
      <c r="AC47" s="324">
        <f>'Vestis Corporation PNL'!AD18+'Vestis Corporation PNL'!AD19</f>
        <v>-0.56780556815090233</v>
      </c>
      <c r="AD47" s="324">
        <f>'Vestis Corporation PNL'!AE18+'Vestis Corporation PNL'!AE19</f>
        <v>-0.56780556815090233</v>
      </c>
      <c r="AE47" s="324">
        <f>'Vestis Corporation PNL'!AF18+'Vestis Corporation PNL'!AF19</f>
        <v>-0.56780556815090233</v>
      </c>
      <c r="AF47" s="324">
        <f>'Vestis Corporation PNL'!AG18+'Vestis Corporation PNL'!AG19</f>
        <v>-0.56780556815090233</v>
      </c>
      <c r="AG47" s="324">
        <f>'Vestis Corporation PNL'!AH18+'Vestis Corporation PNL'!AH19</f>
        <v>-0.56780556815090233</v>
      </c>
      <c r="AH47" s="324">
        <f>'Vestis Corporation PNL'!AI18+'Vestis Corporation PNL'!AI19</f>
        <v>-0.56780556815090233</v>
      </c>
      <c r="AI47" s="324">
        <f>'Vestis Corporation PNL'!AJ18+'Vestis Corporation PNL'!AJ19</f>
        <v>-0.56780556815090233</v>
      </c>
      <c r="AJ47" s="324">
        <f>'Vestis Corporation PNL'!AK18+'Vestis Corporation PNL'!AK19</f>
        <v>-0.56780556815090233</v>
      </c>
      <c r="BB47" s="324">
        <f ca="1">(AVERAGE(D68:E68)+AVERAGE(U68:V68))*$V$28+BB133+BB141</f>
        <v>-96.801520329467948</v>
      </c>
      <c r="BC47" s="324">
        <f ca="1">(AVERAGE(E68:F68)+AVERAGE(V68:W68))*$V$28+BC133+BC141</f>
        <v>-205.49369330762059</v>
      </c>
      <c r="BD47" s="324">
        <f ca="1">(AVERAGE(F68:G68)+AVERAGE(W68:X68))*$V$28+BD133+BD141</f>
        <v>-161.09697456586665</v>
      </c>
      <c r="BE47" s="324">
        <f ca="1">(AVERAGE(G68:H68)+AVERAGE(X68:Y68))*$V$28+BE133+BE141</f>
        <v>-101.43641536722151</v>
      </c>
      <c r="BF47" s="324">
        <f ca="1">(AVERAGE(H68:I68)+AVERAGE(Y68:Z68))*$V$28+BF133+BF141</f>
        <v>-31.13092237488901</v>
      </c>
      <c r="BG47" s="324">
        <f t="shared" ref="BG47:BP47" ca="1" si="106">(AVERAGE(I68:J68)+AVERAGE(Z68:AA68))*$V$28+BG133+BG141</f>
        <v>43.64739870824647</v>
      </c>
      <c r="BH47" s="324">
        <f t="shared" ca="1" si="106"/>
        <v>117.21960509043764</v>
      </c>
      <c r="BI47" s="324">
        <f t="shared" ca="1" si="106"/>
        <v>173.89583090270202</v>
      </c>
      <c r="BJ47" s="324">
        <f t="shared" ca="1" si="106"/>
        <v>214.12930421910531</v>
      </c>
      <c r="BK47" s="324">
        <f t="shared" ca="1" si="106"/>
        <v>249.33678358768503</v>
      </c>
      <c r="BL47" s="324">
        <f t="shared" ca="1" si="106"/>
        <v>281.60210752643349</v>
      </c>
      <c r="BM47" s="324">
        <f t="shared" ca="1" si="106"/>
        <v>310.81388004506806</v>
      </c>
      <c r="BN47" s="324">
        <f t="shared" ca="1" si="106"/>
        <v>337.31011503003953</v>
      </c>
      <c r="BO47" s="324">
        <f t="shared" ca="1" si="106"/>
        <v>360.96937692251771</v>
      </c>
      <c r="BP47" s="324">
        <f t="shared" ca="1" si="106"/>
        <v>381.90662245650066</v>
      </c>
    </row>
    <row r="48" spans="1:68">
      <c r="E48" s="287"/>
      <c r="F48" s="287"/>
      <c r="G48" s="287"/>
      <c r="H48" s="287"/>
      <c r="I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</row>
    <row r="49" spans="1:68" ht="12">
      <c r="C49" s="278" t="s">
        <v>256</v>
      </c>
      <c r="E49" s="287">
        <f>E45+E47</f>
        <v>800.71895441509264</v>
      </c>
      <c r="F49" s="287">
        <f t="shared" ref="F49:S49" si="107">F45+F47</f>
        <v>910.24906995453421</v>
      </c>
      <c r="G49" s="287">
        <f t="shared" si="107"/>
        <v>1027.9045595298351</v>
      </c>
      <c r="H49" s="287">
        <f t="shared" si="107"/>
        <v>1165.2663699426143</v>
      </c>
      <c r="I49" s="287">
        <f t="shared" si="107"/>
        <v>1158.04034536572</v>
      </c>
      <c r="J49" s="287">
        <f t="shared" si="107"/>
        <v>1139.0204057071369</v>
      </c>
      <c r="K49" s="287">
        <f t="shared" si="107"/>
        <v>1239.5734088253594</v>
      </c>
      <c r="L49" s="287">
        <f t="shared" si="107"/>
        <v>1192.2939881362331</v>
      </c>
      <c r="M49" s="287">
        <f t="shared" si="107"/>
        <v>1170.7006020867855</v>
      </c>
      <c r="N49" s="287">
        <f t="shared" si="107"/>
        <v>1111.9627325758661</v>
      </c>
      <c r="O49" s="287">
        <f t="shared" si="107"/>
        <v>1041.9221424966468</v>
      </c>
      <c r="P49" s="287">
        <f t="shared" si="107"/>
        <v>880.40003125168528</v>
      </c>
      <c r="Q49" s="287">
        <f t="shared" si="107"/>
        <v>787.2465413368102</v>
      </c>
      <c r="R49" s="287">
        <f t="shared" si="107"/>
        <v>600.55253148664792</v>
      </c>
      <c r="S49" s="287">
        <f t="shared" si="107"/>
        <v>522.1110837984221</v>
      </c>
      <c r="U49" s="287"/>
      <c r="V49" s="287">
        <f>V45+V47</f>
        <v>-37.818695674868081</v>
      </c>
      <c r="W49" s="287">
        <f t="shared" ref="W49:Z49" si="108">W45+W47</f>
        <v>-6.4895880701457145</v>
      </c>
      <c r="X49" s="287">
        <f t="shared" si="108"/>
        <v>35.747331203683984</v>
      </c>
      <c r="Y49" s="287">
        <f t="shared" si="108"/>
        <v>92.176992516214455</v>
      </c>
      <c r="Z49" s="287">
        <f t="shared" si="108"/>
        <v>163.61934766496677</v>
      </c>
      <c r="AA49" s="287">
        <f t="shared" ref="AA49:AI49" si="109">AA45+AA47</f>
        <v>242.2061196841502</v>
      </c>
      <c r="AB49" s="287">
        <f t="shared" si="109"/>
        <v>325.31189092552779</v>
      </c>
      <c r="AC49" s="287">
        <f t="shared" si="109"/>
        <v>409.31623439110956</v>
      </c>
      <c r="AD49" s="287">
        <f t="shared" si="109"/>
        <v>494.39765010266018</v>
      </c>
      <c r="AE49" s="287">
        <f t="shared" si="109"/>
        <v>477.85247609392979</v>
      </c>
      <c r="AF49" s="287">
        <f t="shared" si="109"/>
        <v>439.60567365107647</v>
      </c>
      <c r="AG49" s="287">
        <f t="shared" si="109"/>
        <v>432.58558140677951</v>
      </c>
      <c r="AH49" s="287">
        <f t="shared" si="109"/>
        <v>426.57924023115777</v>
      </c>
      <c r="AI49" s="287">
        <f t="shared" si="109"/>
        <v>411.96988664776319</v>
      </c>
      <c r="AJ49" s="287">
        <f t="shared" ref="AJ49" si="110">AJ45+AJ47</f>
        <v>405.25448888224389</v>
      </c>
      <c r="BB49" s="287">
        <f t="shared" ref="BB49:BF49" ca="1" si="111">BB45+BB47</f>
        <v>843.24622351205437</v>
      </c>
      <c r="BC49" s="287">
        <f t="shared" ca="1" si="111"/>
        <v>733.61593190101735</v>
      </c>
      <c r="BD49" s="287">
        <f t="shared" ca="1" si="111"/>
        <v>900.78993240358079</v>
      </c>
      <c r="BE49" s="287">
        <f t="shared" ca="1" si="111"/>
        <v>1150.2424618117313</v>
      </c>
      <c r="BF49" s="287">
        <f t="shared" ca="1" si="111"/>
        <v>1283.7316119169805</v>
      </c>
      <c r="BG49" s="287">
        <f t="shared" ref="BG49:BP49" ca="1" si="112">BG45+BG47</f>
        <v>1415.3586197652965</v>
      </c>
      <c r="BH49" s="287">
        <f t="shared" ca="1" si="112"/>
        <v>1663.9267962631143</v>
      </c>
      <c r="BI49" s="287">
        <f t="shared" ca="1" si="112"/>
        <v>1751.4185562829716</v>
      </c>
      <c r="BJ49" s="287">
        <f t="shared" ca="1" si="112"/>
        <v>1852.4411321844584</v>
      </c>
      <c r="BK49" s="287">
        <f t="shared" ca="1" si="112"/>
        <v>1805.0240039958451</v>
      </c>
      <c r="BL49" s="287">
        <f t="shared" ca="1" si="112"/>
        <v>1720.2476601625758</v>
      </c>
      <c r="BM49" s="287">
        <f t="shared" ca="1" si="112"/>
        <v>1560.7288067473191</v>
      </c>
      <c r="BN49" s="287">
        <f t="shared" ca="1" si="112"/>
        <v>1476.4220864150357</v>
      </c>
      <c r="BO49" s="287">
        <f t="shared" ca="1" si="112"/>
        <v>1275.4433620802924</v>
      </c>
      <c r="BP49" s="287">
        <f t="shared" ca="1" si="112"/>
        <v>1201.4194754849011</v>
      </c>
    </row>
    <row r="50" spans="1:68">
      <c r="E50" s="287"/>
      <c r="F50" s="287"/>
      <c r="G50" s="287"/>
      <c r="H50" s="287"/>
      <c r="I50" s="287"/>
      <c r="U50" s="287"/>
      <c r="V50" s="287"/>
      <c r="W50" s="287"/>
      <c r="X50" s="287"/>
      <c r="Y50" s="287"/>
      <c r="Z50" s="287"/>
      <c r="AA50" s="287"/>
      <c r="AB50" s="287"/>
      <c r="AC50" s="287"/>
      <c r="AD50" s="287"/>
      <c r="AE50" s="287"/>
      <c r="AF50" s="287"/>
      <c r="AG50" s="287"/>
      <c r="AH50" s="287"/>
      <c r="AI50" s="287"/>
      <c r="AJ50" s="287"/>
    </row>
    <row r="51" spans="1:68" s="325" customFormat="1">
      <c r="A51" s="276"/>
      <c r="B51" s="276"/>
      <c r="C51" s="285" t="s">
        <v>257</v>
      </c>
      <c r="D51" s="276"/>
      <c r="E51" s="287">
        <f ca="1">'Cintas PNL'!BF34*-1</f>
        <v>-134.58377620633738</v>
      </c>
      <c r="F51" s="287">
        <f ca="1">'Cintas PNL'!BG34*-1</f>
        <v>-152.99345225601004</v>
      </c>
      <c r="G51" s="287">
        <f ca="1">'Cintas PNL'!BH34*-1</f>
        <v>-172.76883035982439</v>
      </c>
      <c r="H51" s="287">
        <f ca="1">'Cintas PNL'!BI34*-1</f>
        <v>-195.85642064347758</v>
      </c>
      <c r="I51" s="287">
        <f ca="1">'Cintas PNL'!BJ34*-1</f>
        <v>-194.64188004948272</v>
      </c>
      <c r="J51" s="287">
        <f ca="1">'Cintas PNL'!BK34*-1</f>
        <v>-191.44503390470945</v>
      </c>
      <c r="K51" s="287">
        <f ca="1">'Cintas PNL'!BL34*-1</f>
        <v>-208.34584884598107</v>
      </c>
      <c r="L51" s="287">
        <f ca="1">'Cintas PNL'!BM34*-1</f>
        <v>-200.39918673925138</v>
      </c>
      <c r="M51" s="287">
        <f ca="1">'Cintas PNL'!BN34*-1</f>
        <v>-196.76979915002067</v>
      </c>
      <c r="N51" s="287">
        <f ca="1">'Cintas PNL'!BO34*-1</f>
        <v>-186.89721621501431</v>
      </c>
      <c r="O51" s="287">
        <f ca="1">'Cintas PNL'!BP34*-1</f>
        <v>-175.12488704932443</v>
      </c>
      <c r="P51" s="287">
        <f ca="1">'Cintas PNL'!BQ34*-1</f>
        <v>-147.97646555598493</v>
      </c>
      <c r="Q51" s="287">
        <f ca="1">'Cintas PNL'!BR34*-1</f>
        <v>-132.31935094615181</v>
      </c>
      <c r="R51" s="287">
        <f ca="1">'Cintas PNL'!BS34*-1</f>
        <v>-100.94007023574082</v>
      </c>
      <c r="S51" s="287">
        <f ca="1">'Cintas PNL'!BT34*-1</f>
        <v>-87.755736103567159</v>
      </c>
      <c r="U51" s="287"/>
      <c r="V51" s="287">
        <f>'Vestis Corporation PNL'!W23</f>
        <v>0</v>
      </c>
      <c r="W51" s="287">
        <f>'Vestis Corporation PNL'!X23</f>
        <v>0</v>
      </c>
      <c r="X51" s="287">
        <f>'Vestis Corporation PNL'!Y23</f>
        <v>-3.1373304989440824</v>
      </c>
      <c r="Y51" s="287">
        <f>'Vestis Corporation PNL'!Z23</f>
        <v>-8.0898260145433536</v>
      </c>
      <c r="Z51" s="287">
        <f>'Vestis Corporation PNL'!AA23</f>
        <v>-14.359896315664926</v>
      </c>
      <c r="AA51" s="287">
        <f>'Vestis Corporation PNL'!AB23</f>
        <v>-21.256989563396402</v>
      </c>
      <c r="AB51" s="287">
        <f>'Vestis Corporation PNL'!AC23</f>
        <v>-28.550688476700849</v>
      </c>
      <c r="AC51" s="287">
        <f>'Vestis Corporation PNL'!AD23</f>
        <v>-35.923249726005615</v>
      </c>
      <c r="AD51" s="287">
        <f>'Vestis Corporation PNL'!AE23</f>
        <v>-43.390339195825369</v>
      </c>
      <c r="AE51" s="287">
        <f>'Vestis Corporation PNL'!AF23</f>
        <v>-41.938267746570524</v>
      </c>
      <c r="AF51" s="287">
        <f>'Vestis Corporation PNL'!AG23</f>
        <v>-38.581573533306099</v>
      </c>
      <c r="AG51" s="287">
        <f>'Vestis Corporation PNL'!AH23</f>
        <v>-37.965461819177243</v>
      </c>
      <c r="AH51" s="287">
        <f>'Vestis Corporation PNL'!AI23</f>
        <v>-37.438321002707013</v>
      </c>
      <c r="AI51" s="287">
        <f>'Vestis Corporation PNL'!AJ23</f>
        <v>-36.156144990576678</v>
      </c>
      <c r="AJ51" s="287">
        <f>'Vestis Corporation PNL'!AK23</f>
        <v>-35.566774497370922</v>
      </c>
      <c r="BB51" s="287">
        <f ca="1">-BB49*BB52</f>
        <v>-141.7317029979456</v>
      </c>
      <c r="BC51" s="287">
        <f t="shared" ref="BC51:BF51" ca="1" si="113">-BC49*BC52</f>
        <v>-123.30518948748036</v>
      </c>
      <c r="BD51" s="287">
        <f t="shared" ca="1" si="113"/>
        <v>-151.40357300531539</v>
      </c>
      <c r="BE51" s="287">
        <f t="shared" ca="1" si="113"/>
        <v>-193.33122215968706</v>
      </c>
      <c r="BF51" s="287">
        <f t="shared" ca="1" si="113"/>
        <v>-215.76790085285276</v>
      </c>
      <c r="BG51" s="287">
        <f t="shared" ref="BG51:BP51" ca="1" si="114">-BG49*BG52</f>
        <v>-237.89159315373988</v>
      </c>
      <c r="BH51" s="287">
        <f t="shared" ca="1" si="114"/>
        <v>-279.67060144790037</v>
      </c>
      <c r="BI51" s="287">
        <f t="shared" ca="1" si="114"/>
        <v>-294.37610003199774</v>
      </c>
      <c r="BJ51" s="287">
        <f t="shared" ca="1" si="114"/>
        <v>-311.35584014174071</v>
      </c>
      <c r="BK51" s="287">
        <f t="shared" ca="1" si="114"/>
        <v>-303.38603234176787</v>
      </c>
      <c r="BL51" s="287">
        <f t="shared" ca="1" si="114"/>
        <v>-289.13693729644996</v>
      </c>
      <c r="BM51" s="287">
        <f t="shared" ca="1" si="114"/>
        <v>-262.32522071305414</v>
      </c>
      <c r="BN51" s="287">
        <f t="shared" ca="1" si="114"/>
        <v>-248.1550593607748</v>
      </c>
      <c r="BO51" s="287">
        <f t="shared" ca="1" si="114"/>
        <v>-214.37482285087407</v>
      </c>
      <c r="BP51" s="287">
        <f t="shared" ca="1" si="114"/>
        <v>-201.93298650799048</v>
      </c>
    </row>
    <row r="52" spans="1:68">
      <c r="C52" s="323" t="s">
        <v>258</v>
      </c>
      <c r="E52" s="365">
        <f ca="1">E51/E49*-1</f>
        <v>0.16807866913135311</v>
      </c>
      <c r="F52" s="365">
        <f t="shared" ref="F52:S52" ca="1" si="115">F51/F49*-1</f>
        <v>0.16807866913135311</v>
      </c>
      <c r="G52" s="365">
        <f t="shared" ca="1" si="115"/>
        <v>0.16807866913135311</v>
      </c>
      <c r="H52" s="365">
        <f t="shared" ca="1" si="115"/>
        <v>0.16807866913135311</v>
      </c>
      <c r="I52" s="365">
        <f t="shared" ca="1" si="115"/>
        <v>0.16807866913135311</v>
      </c>
      <c r="J52" s="365">
        <f t="shared" ca="1" si="115"/>
        <v>0.16807866913135311</v>
      </c>
      <c r="K52" s="365">
        <f t="shared" ca="1" si="115"/>
        <v>0.16807866913135311</v>
      </c>
      <c r="L52" s="365">
        <f t="shared" ca="1" si="115"/>
        <v>0.16807866913135311</v>
      </c>
      <c r="M52" s="365">
        <f t="shared" ca="1" si="115"/>
        <v>0.16807866913135311</v>
      </c>
      <c r="N52" s="365">
        <f t="shared" ca="1" si="115"/>
        <v>0.16807866913135314</v>
      </c>
      <c r="O52" s="365">
        <f t="shared" ca="1" si="115"/>
        <v>0.16807866913135311</v>
      </c>
      <c r="P52" s="365">
        <f t="shared" ca="1" si="115"/>
        <v>0.16807866913135308</v>
      </c>
      <c r="Q52" s="365">
        <f t="shared" ca="1" si="115"/>
        <v>0.16807866913135311</v>
      </c>
      <c r="R52" s="365">
        <f t="shared" ca="1" si="115"/>
        <v>0.16807866913135311</v>
      </c>
      <c r="S52" s="365">
        <f t="shared" ca="1" si="115"/>
        <v>0.16807866913135311</v>
      </c>
      <c r="U52" s="364"/>
      <c r="V52" s="365">
        <f>V51/V49*-1</f>
        <v>0</v>
      </c>
      <c r="W52" s="365">
        <f t="shared" ref="W52" si="116">W51/W49*-1</f>
        <v>0</v>
      </c>
      <c r="X52" s="365">
        <f t="shared" ref="X52" si="117">X51/X49*-1</f>
        <v>8.7764048204548514E-2</v>
      </c>
      <c r="Y52" s="365">
        <f t="shared" ref="Y52" si="118">Y51/Y49*-1</f>
        <v>8.7764048204548514E-2</v>
      </c>
      <c r="Z52" s="365">
        <f t="shared" ref="Z52:AH52" si="119">Z51/Z49*-1</f>
        <v>8.7764048204548514E-2</v>
      </c>
      <c r="AA52" s="365">
        <f t="shared" si="119"/>
        <v>8.77640482045485E-2</v>
      </c>
      <c r="AB52" s="365">
        <f t="shared" si="119"/>
        <v>8.7764048204548514E-2</v>
      </c>
      <c r="AC52" s="365">
        <f t="shared" si="119"/>
        <v>8.77640482045485E-2</v>
      </c>
      <c r="AD52" s="365">
        <f t="shared" si="119"/>
        <v>8.77640482045485E-2</v>
      </c>
      <c r="AE52" s="365">
        <f t="shared" si="119"/>
        <v>8.7764048204548514E-2</v>
      </c>
      <c r="AF52" s="365">
        <f t="shared" si="119"/>
        <v>8.7764048204548514E-2</v>
      </c>
      <c r="AG52" s="365">
        <f t="shared" si="119"/>
        <v>8.7764048204548514E-2</v>
      </c>
      <c r="AH52" s="365">
        <f t="shared" si="119"/>
        <v>8.7764048204548514E-2</v>
      </c>
      <c r="AI52" s="365">
        <f t="shared" ref="AI52:AJ52" si="120">AI51/AI49*-1</f>
        <v>8.7764048204548514E-2</v>
      </c>
      <c r="AJ52" s="365">
        <f t="shared" si="120"/>
        <v>8.7764048204548514E-2</v>
      </c>
      <c r="BB52" s="366">
        <f ca="1">E52</f>
        <v>0.16807866913135311</v>
      </c>
      <c r="BC52" s="366">
        <f ca="1">F52</f>
        <v>0.16807866913135311</v>
      </c>
      <c r="BD52" s="366">
        <f ca="1">G52</f>
        <v>0.16807866913135311</v>
      </c>
      <c r="BE52" s="366">
        <f ca="1">H52</f>
        <v>0.16807866913135311</v>
      </c>
      <c r="BF52" s="366">
        <f ca="1">I52</f>
        <v>0.16807866913135311</v>
      </c>
      <c r="BG52" s="366">
        <f t="shared" ref="BG52:BP52" ca="1" si="121">J52</f>
        <v>0.16807866913135311</v>
      </c>
      <c r="BH52" s="366">
        <f t="shared" ca="1" si="121"/>
        <v>0.16807866913135311</v>
      </c>
      <c r="BI52" s="366">
        <f t="shared" ca="1" si="121"/>
        <v>0.16807866913135311</v>
      </c>
      <c r="BJ52" s="366">
        <f t="shared" ca="1" si="121"/>
        <v>0.16807866913135311</v>
      </c>
      <c r="BK52" s="366">
        <f t="shared" ca="1" si="121"/>
        <v>0.16807866913135314</v>
      </c>
      <c r="BL52" s="366">
        <f t="shared" ca="1" si="121"/>
        <v>0.16807866913135311</v>
      </c>
      <c r="BM52" s="366">
        <f t="shared" ca="1" si="121"/>
        <v>0.16807866913135308</v>
      </c>
      <c r="BN52" s="366">
        <f t="shared" ca="1" si="121"/>
        <v>0.16807866913135311</v>
      </c>
      <c r="BO52" s="366">
        <f t="shared" ca="1" si="121"/>
        <v>0.16807866913135311</v>
      </c>
      <c r="BP52" s="366">
        <f t="shared" ca="1" si="121"/>
        <v>0.16807866913135311</v>
      </c>
    </row>
    <row r="54" spans="1:68">
      <c r="C54" s="276" t="s">
        <v>259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1</v>
      </c>
      <c r="AB54" s="287">
        <v>2</v>
      </c>
      <c r="AC54" s="287">
        <v>3</v>
      </c>
      <c r="AD54" s="287">
        <v>4</v>
      </c>
      <c r="AE54" s="287">
        <v>5</v>
      </c>
      <c r="AF54" s="287">
        <v>6</v>
      </c>
      <c r="AG54" s="287">
        <v>7</v>
      </c>
      <c r="AH54" s="287">
        <v>8</v>
      </c>
      <c r="AI54" s="287">
        <v>9</v>
      </c>
      <c r="AJ54" s="287">
        <v>10</v>
      </c>
      <c r="BB54" s="326">
        <f>IF(I12-U94&lt;0,-(I12-U94),0)</f>
        <v>0</v>
      </c>
    </row>
    <row r="56" spans="1:68" s="278" customFormat="1" ht="12">
      <c r="C56" s="318" t="s">
        <v>365</v>
      </c>
      <c r="D56" s="318"/>
      <c r="E56" s="327">
        <f ca="1">E49+E51+BB54</f>
        <v>666.13517820875529</v>
      </c>
      <c r="F56" s="327">
        <f t="shared" ref="F56:S56" ca="1" si="122">F49+F51+F54</f>
        <v>757.25561769852413</v>
      </c>
      <c r="G56" s="327">
        <f t="shared" ca="1" si="122"/>
        <v>855.13572917001068</v>
      </c>
      <c r="H56" s="327">
        <f t="shared" ca="1" si="122"/>
        <v>969.40994929913677</v>
      </c>
      <c r="I56" s="327">
        <f t="shared" ca="1" si="122"/>
        <v>963.39846531623721</v>
      </c>
      <c r="J56" s="327">
        <f t="shared" ca="1" si="122"/>
        <v>947.57537180242741</v>
      </c>
      <c r="K56" s="327">
        <f t="shared" ca="1" si="122"/>
        <v>1031.2275599793784</v>
      </c>
      <c r="L56" s="327">
        <f t="shared" ca="1" si="122"/>
        <v>991.89480139698173</v>
      </c>
      <c r="M56" s="327">
        <f t="shared" ca="1" si="122"/>
        <v>973.93080293676485</v>
      </c>
      <c r="N56" s="327">
        <f t="shared" ca="1" si="122"/>
        <v>925.0655163608518</v>
      </c>
      <c r="O56" s="327">
        <f t="shared" ca="1" si="122"/>
        <v>866.7972554473223</v>
      </c>
      <c r="P56" s="327">
        <f t="shared" ca="1" si="122"/>
        <v>732.42356569570029</v>
      </c>
      <c r="Q56" s="327">
        <f t="shared" ca="1" si="122"/>
        <v>654.92719039065832</v>
      </c>
      <c r="R56" s="327">
        <f t="shared" ca="1" si="122"/>
        <v>499.61246125090713</v>
      </c>
      <c r="S56" s="327">
        <f t="shared" ca="1" si="122"/>
        <v>434.35534769485491</v>
      </c>
      <c r="T56" s="327"/>
      <c r="U56" s="327"/>
      <c r="V56" s="327">
        <f t="shared" ref="V56:Z56" si="123">V49+V51+V54</f>
        <v>-37.818695674868081</v>
      </c>
      <c r="W56" s="327">
        <f t="shared" si="123"/>
        <v>-6.4895880701457145</v>
      </c>
      <c r="X56" s="327">
        <f t="shared" si="123"/>
        <v>32.610000704739903</v>
      </c>
      <c r="Y56" s="327">
        <f t="shared" si="123"/>
        <v>84.087166501671106</v>
      </c>
      <c r="Z56" s="327">
        <f t="shared" si="123"/>
        <v>149.25945134930186</v>
      </c>
      <c r="AA56" s="327">
        <f t="shared" ref="AA56:AI56" si="124">AA49+AA51+AA54</f>
        <v>221.94913012075381</v>
      </c>
      <c r="AB56" s="327">
        <f t="shared" si="124"/>
        <v>298.76120244882696</v>
      </c>
      <c r="AC56" s="327">
        <f t="shared" si="124"/>
        <v>376.39298466510394</v>
      </c>
      <c r="AD56" s="327">
        <f t="shared" si="124"/>
        <v>455.00731090683479</v>
      </c>
      <c r="AE56" s="327">
        <f t="shared" si="124"/>
        <v>440.91420834735925</v>
      </c>
      <c r="AF56" s="327">
        <f t="shared" si="124"/>
        <v>407.02410011777039</v>
      </c>
      <c r="AG56" s="327">
        <f t="shared" si="124"/>
        <v>401.62011958760229</v>
      </c>
      <c r="AH56" s="327">
        <f t="shared" si="124"/>
        <v>397.14091922845074</v>
      </c>
      <c r="AI56" s="327">
        <f t="shared" si="124"/>
        <v>384.81374165718648</v>
      </c>
      <c r="AJ56" s="327">
        <f t="shared" ref="AJ56" si="125">AJ49+AJ51+AJ54</f>
        <v>379.68771438487295</v>
      </c>
      <c r="AK56" s="327"/>
      <c r="AL56" s="318"/>
      <c r="AM56" s="318"/>
      <c r="AN56" s="318"/>
      <c r="AO56" s="318"/>
      <c r="AP56" s="318"/>
      <c r="AQ56" s="318"/>
      <c r="AR56" s="318"/>
      <c r="AS56" s="318"/>
      <c r="AT56" s="318"/>
      <c r="AU56" s="318"/>
      <c r="AV56" s="318"/>
      <c r="AW56" s="318"/>
      <c r="AX56" s="318"/>
      <c r="AY56" s="318"/>
      <c r="AZ56" s="318"/>
      <c r="BA56" s="327"/>
      <c r="BB56" s="327">
        <f t="shared" ref="BB56:BF56" ca="1" si="126">BB49+BB51+BB54</f>
        <v>701.51452051410877</v>
      </c>
      <c r="BC56" s="327">
        <f t="shared" ca="1" si="126"/>
        <v>610.31074241353701</v>
      </c>
      <c r="BD56" s="327">
        <f t="shared" ca="1" si="126"/>
        <v>749.38635939826543</v>
      </c>
      <c r="BE56" s="327">
        <f t="shared" ca="1" si="126"/>
        <v>956.91123965204429</v>
      </c>
      <c r="BF56" s="327">
        <f t="shared" ca="1" si="126"/>
        <v>1067.9637110641277</v>
      </c>
      <c r="BG56" s="327">
        <f t="shared" ref="BG56:BP56" ca="1" si="127">BG49+BG51+BG54</f>
        <v>1177.4670266115565</v>
      </c>
      <c r="BH56" s="327">
        <f t="shared" ca="1" si="127"/>
        <v>1384.2561948152138</v>
      </c>
      <c r="BI56" s="327">
        <f t="shared" ca="1" si="127"/>
        <v>1457.0424562509738</v>
      </c>
      <c r="BJ56" s="327">
        <f t="shared" ca="1" si="127"/>
        <v>1541.0852920427178</v>
      </c>
      <c r="BK56" s="327">
        <f t="shared" ca="1" si="127"/>
        <v>1501.6379716540773</v>
      </c>
      <c r="BL56" s="327">
        <f t="shared" ca="1" si="127"/>
        <v>1431.1107228661258</v>
      </c>
      <c r="BM56" s="327">
        <f t="shared" ca="1" si="127"/>
        <v>1298.4035860342651</v>
      </c>
      <c r="BN56" s="327">
        <f t="shared" ca="1" si="127"/>
        <v>1228.2670270542608</v>
      </c>
      <c r="BO56" s="327">
        <f t="shared" ca="1" si="127"/>
        <v>1061.0685392294183</v>
      </c>
      <c r="BP56" s="327">
        <f t="shared" ca="1" si="127"/>
        <v>999.48648897691066</v>
      </c>
    </row>
    <row r="58" spans="1:68">
      <c r="C58" s="276" t="s">
        <v>302</v>
      </c>
      <c r="E58" s="328">
        <f>'Cintas PNL'!BF43</f>
        <v>56.516500000000001</v>
      </c>
      <c r="F58" s="328">
        <f>'Cintas PNL'!BG43</f>
        <v>56.516500000000001</v>
      </c>
      <c r="G58" s="328">
        <f>'Cintas PNL'!BH43</f>
        <v>56.516500000000001</v>
      </c>
      <c r="H58" s="328">
        <f>'Cintas PNL'!BI43</f>
        <v>56.516500000000001</v>
      </c>
      <c r="I58" s="328">
        <f>'Cintas PNL'!BJ43</f>
        <v>56.516500000000001</v>
      </c>
      <c r="J58" s="328">
        <f>'Cintas PNL'!BK43</f>
        <v>56.516500000000001</v>
      </c>
      <c r="K58" s="328">
        <f>'Cintas PNL'!BL43</f>
        <v>56.516500000000001</v>
      </c>
      <c r="L58" s="328">
        <f>'Cintas PNL'!BM43</f>
        <v>56.516500000000001</v>
      </c>
      <c r="M58" s="328">
        <f>'Cintas PNL'!BN43</f>
        <v>56.516500000000001</v>
      </c>
      <c r="N58" s="328">
        <f>'Cintas PNL'!BO43</f>
        <v>56.516500000000001</v>
      </c>
      <c r="O58" s="328">
        <f>'Cintas PNL'!BP43</f>
        <v>56.516500000000001</v>
      </c>
      <c r="P58" s="328">
        <f>'Cintas PNL'!BQ43</f>
        <v>56.516500000000001</v>
      </c>
      <c r="Q58" s="328">
        <f>'Cintas PNL'!BR43</f>
        <v>56.516500000000001</v>
      </c>
      <c r="R58" s="328">
        <f>'Cintas PNL'!BS43</f>
        <v>56.516500000000001</v>
      </c>
      <c r="S58" s="328">
        <f>'Cintas PNL'!BT43</f>
        <v>56.516500000000001</v>
      </c>
      <c r="U58" s="287"/>
      <c r="V58" s="328">
        <f>'Vestis Corporation PNL'!W35</f>
        <v>375.57925</v>
      </c>
      <c r="W58" s="328">
        <f>'Vestis Corporation PNL'!X35</f>
        <v>375.57925</v>
      </c>
      <c r="X58" s="328">
        <f>'Vestis Corporation PNL'!Y35</f>
        <v>375.57925</v>
      </c>
      <c r="Y58" s="328">
        <f>'Vestis Corporation PNL'!Z35</f>
        <v>375.57925</v>
      </c>
      <c r="Z58" s="328">
        <f>'Vestis Corporation PNL'!AA35</f>
        <v>375.57925</v>
      </c>
      <c r="AA58" s="328">
        <f>'Vestis Corporation PNL'!AB35</f>
        <v>375.57925</v>
      </c>
      <c r="AB58" s="328">
        <f>'Vestis Corporation PNL'!AC35</f>
        <v>375.57925</v>
      </c>
      <c r="AC58" s="328">
        <f>'Vestis Corporation PNL'!AD35</f>
        <v>375.57925</v>
      </c>
      <c r="AD58" s="328">
        <f>'Vestis Corporation PNL'!AE35</f>
        <v>375.57925</v>
      </c>
      <c r="AE58" s="328">
        <f>'Vestis Corporation PNL'!AF35</f>
        <v>375.57925</v>
      </c>
      <c r="AF58" s="328">
        <f>'Vestis Corporation PNL'!AG35</f>
        <v>375.57925</v>
      </c>
      <c r="AG58" s="328">
        <f>'Vestis Corporation PNL'!AH35</f>
        <v>375.57925</v>
      </c>
      <c r="AH58" s="328">
        <f>'Vestis Corporation PNL'!AI35</f>
        <v>375.57925</v>
      </c>
      <c r="AI58" s="328">
        <f>'Vestis Corporation PNL'!AJ35</f>
        <v>375.57925</v>
      </c>
      <c r="AJ58" s="328">
        <f>'Vestis Corporation PNL'!AK35</f>
        <v>375.57925</v>
      </c>
      <c r="AL58" s="328">
        <f>$G$26</f>
        <v>0.6568109339414081</v>
      </c>
      <c r="AM58" s="328">
        <f>$G$26</f>
        <v>0.6568109339414081</v>
      </c>
      <c r="AN58" s="328">
        <f>$G$26</f>
        <v>0.6568109339414081</v>
      </c>
      <c r="AO58" s="328">
        <f>$G$26</f>
        <v>0.6568109339414081</v>
      </c>
      <c r="AP58" s="328">
        <f>$G$26</f>
        <v>0.6568109339414081</v>
      </c>
      <c r="AQ58" s="328">
        <f t="shared" ref="AQ58:AZ58" si="128">$G$26</f>
        <v>0.6568109339414081</v>
      </c>
      <c r="AR58" s="328">
        <f t="shared" si="128"/>
        <v>0.6568109339414081</v>
      </c>
      <c r="AS58" s="328">
        <f t="shared" si="128"/>
        <v>0.6568109339414081</v>
      </c>
      <c r="AT58" s="328">
        <f t="shared" si="128"/>
        <v>0.6568109339414081</v>
      </c>
      <c r="AU58" s="328">
        <f t="shared" si="128"/>
        <v>0.6568109339414081</v>
      </c>
      <c r="AV58" s="328">
        <f t="shared" si="128"/>
        <v>0.6568109339414081</v>
      </c>
      <c r="AW58" s="328">
        <f t="shared" si="128"/>
        <v>0.6568109339414081</v>
      </c>
      <c r="AX58" s="328">
        <f t="shared" si="128"/>
        <v>0.6568109339414081</v>
      </c>
      <c r="AY58" s="328">
        <f t="shared" si="128"/>
        <v>0.6568109339414081</v>
      </c>
      <c r="AZ58" s="328">
        <f t="shared" si="128"/>
        <v>0.6568109339414081</v>
      </c>
      <c r="BB58" s="328">
        <f>E58+AL58</f>
        <v>57.173310933941409</v>
      </c>
      <c r="BC58" s="328">
        <f>F58+AM58</f>
        <v>57.173310933941409</v>
      </c>
      <c r="BD58" s="328">
        <f>G58+AN58</f>
        <v>57.173310933941409</v>
      </c>
      <c r="BE58" s="328">
        <f>H58+AO58</f>
        <v>57.173310933941409</v>
      </c>
      <c r="BF58" s="328">
        <f>I58+AP58</f>
        <v>57.173310933941409</v>
      </c>
      <c r="BG58" s="328">
        <f t="shared" ref="BG58:BP58" si="129">J58+AQ58</f>
        <v>57.173310933941409</v>
      </c>
      <c r="BH58" s="328">
        <f t="shared" si="129"/>
        <v>57.173310933941409</v>
      </c>
      <c r="BI58" s="328">
        <f t="shared" si="129"/>
        <v>57.173310933941409</v>
      </c>
      <c r="BJ58" s="328">
        <f t="shared" si="129"/>
        <v>57.173310933941409</v>
      </c>
      <c r="BK58" s="328">
        <f t="shared" si="129"/>
        <v>57.173310933941409</v>
      </c>
      <c r="BL58" s="328">
        <f t="shared" si="129"/>
        <v>57.173310933941409</v>
      </c>
      <c r="BM58" s="328">
        <f t="shared" si="129"/>
        <v>57.173310933941409</v>
      </c>
      <c r="BN58" s="328">
        <f t="shared" si="129"/>
        <v>57.173310933941409</v>
      </c>
      <c r="BO58" s="328">
        <f t="shared" si="129"/>
        <v>57.173310933941409</v>
      </c>
      <c r="BP58" s="328">
        <f t="shared" si="129"/>
        <v>57.173310933941409</v>
      </c>
    </row>
    <row r="60" spans="1:68" ht="12">
      <c r="C60" s="278" t="s">
        <v>260</v>
      </c>
      <c r="E60" s="283">
        <f ca="1">E56/E58</f>
        <v>11.786561061084024</v>
      </c>
      <c r="F60" s="283">
        <f ca="1">F56/F58</f>
        <v>13.398841359576833</v>
      </c>
      <c r="G60" s="283">
        <f ca="1">G56/G58</f>
        <v>15.130726941158965</v>
      </c>
      <c r="H60" s="283">
        <f ca="1">H56/H58</f>
        <v>17.152689025313613</v>
      </c>
      <c r="I60" s="283">
        <f ca="1">I56/I58</f>
        <v>17.046322141608862</v>
      </c>
      <c r="J60" s="283">
        <f t="shared" ref="J60:S60" ca="1" si="130">J56/J58</f>
        <v>16.766349151175806</v>
      </c>
      <c r="K60" s="283">
        <f t="shared" ca="1" si="130"/>
        <v>18.24648660089316</v>
      </c>
      <c r="L60" s="283">
        <f t="shared" ca="1" si="130"/>
        <v>17.55053482428993</v>
      </c>
      <c r="M60" s="283">
        <f t="shared" ca="1" si="130"/>
        <v>17.232680773522155</v>
      </c>
      <c r="N60" s="283">
        <f t="shared" ca="1" si="130"/>
        <v>16.368060944341064</v>
      </c>
      <c r="O60" s="283">
        <f t="shared" ca="1" si="130"/>
        <v>15.33706537820499</v>
      </c>
      <c r="P60" s="283">
        <f t="shared" ca="1" si="130"/>
        <v>12.95946432804049</v>
      </c>
      <c r="Q60" s="283">
        <f t="shared" ca="1" si="130"/>
        <v>11.588247509853908</v>
      </c>
      <c r="R60" s="283">
        <f t="shared" ca="1" si="130"/>
        <v>8.8401168021888683</v>
      </c>
      <c r="S60" s="283">
        <f t="shared" ca="1" si="130"/>
        <v>7.6854608423178172</v>
      </c>
      <c r="V60" s="283">
        <f>V56/V58</f>
        <v>-0.10069431597956512</v>
      </c>
      <c r="W60" s="283">
        <f>W56/W58</f>
        <v>-1.7278878080047591E-2</v>
      </c>
      <c r="X60" s="283">
        <f>X56/X58</f>
        <v>8.682588482920689E-2</v>
      </c>
      <c r="Y60" s="283">
        <f>Y56/Y58</f>
        <v>0.2238866138149834</v>
      </c>
      <c r="Z60" s="283">
        <f>Z56/Z58</f>
        <v>0.39741133555515074</v>
      </c>
      <c r="AA60" s="283">
        <f t="shared" ref="AA60:AH60" si="131">AA56/AA58</f>
        <v>0.59095152386814187</v>
      </c>
      <c r="AB60" s="283">
        <f t="shared" si="131"/>
        <v>0.79546780725726185</v>
      </c>
      <c r="AC60" s="283">
        <f t="shared" si="131"/>
        <v>1.00216661241297</v>
      </c>
      <c r="AD60" s="283">
        <f t="shared" si="131"/>
        <v>1.2114814940038214</v>
      </c>
      <c r="AE60" s="283">
        <f t="shared" si="131"/>
        <v>1.1739578487026618</v>
      </c>
      <c r="AF60" s="283">
        <f t="shared" si="131"/>
        <v>1.0837236085800011</v>
      </c>
      <c r="AG60" s="283">
        <f t="shared" si="131"/>
        <v>1.0693352190985053</v>
      </c>
      <c r="AH60" s="283">
        <f t="shared" si="131"/>
        <v>1.0574091066757567</v>
      </c>
      <c r="AI60" s="283">
        <f>AI56/AI58</f>
        <v>1.0245873318538936</v>
      </c>
      <c r="AJ60" s="283">
        <f t="shared" ref="AJ60" si="132">AJ56/AJ58</f>
        <v>1.0109390079054499</v>
      </c>
      <c r="BB60" s="283"/>
      <c r="BC60" s="283">
        <f ca="1">BC56/BC58</f>
        <v>10.126998876203045</v>
      </c>
      <c r="BD60" s="283">
        <f ca="1">BD56/BD58</f>
        <v>12.434706276767308</v>
      </c>
      <c r="BE60" s="283">
        <f ca="1">BE56/BE58</f>
        <v>15.878204945663711</v>
      </c>
      <c r="BF60" s="283">
        <f ca="1">BF56/BF58</f>
        <v>17.720919115731046</v>
      </c>
      <c r="BG60" s="283">
        <f t="shared" ref="BG60:BP60" ca="1" si="133">BG56/BG58</f>
        <v>19.537927856399612</v>
      </c>
      <c r="BH60" s="283">
        <f t="shared" ca="1" si="133"/>
        <v>22.969218719358786</v>
      </c>
      <c r="BI60" s="283">
        <f t="shared" ca="1" si="133"/>
        <v>24.176974599335598</v>
      </c>
      <c r="BJ60" s="283">
        <f t="shared" ca="1" si="133"/>
        <v>25.571512896744782</v>
      </c>
      <c r="BK60" s="283">
        <f t="shared" ca="1" si="133"/>
        <v>24.916956223425895</v>
      </c>
      <c r="BL60" s="283">
        <f t="shared" ca="1" si="133"/>
        <v>23.746684557564691</v>
      </c>
      <c r="BM60" s="283">
        <f t="shared" ca="1" si="133"/>
        <v>21.544650524465936</v>
      </c>
      <c r="BN60" s="283">
        <f t="shared" ca="1" si="133"/>
        <v>20.380861646750294</v>
      </c>
      <c r="BO60" s="283">
        <f t="shared" ca="1" si="133"/>
        <v>17.606506255906247</v>
      </c>
      <c r="BP60" s="283">
        <f t="shared" ca="1" si="133"/>
        <v>16.584663921564939</v>
      </c>
    </row>
    <row r="61" spans="1:68" ht="12.6" thickBot="1">
      <c r="C61" s="278"/>
      <c r="E61" s="283"/>
      <c r="F61" s="283"/>
      <c r="G61" s="283"/>
      <c r="H61" s="283"/>
      <c r="I61" s="283"/>
      <c r="V61" s="283"/>
      <c r="W61" s="283"/>
      <c r="X61" s="283"/>
      <c r="Y61" s="283"/>
      <c r="Z61" s="283"/>
      <c r="AA61" s="283"/>
      <c r="AB61" s="283"/>
      <c r="AC61" s="283"/>
      <c r="AD61" s="283"/>
      <c r="AE61" s="283"/>
      <c r="AF61" s="283"/>
      <c r="AG61" s="283"/>
      <c r="AH61" s="283"/>
      <c r="AI61" s="283"/>
      <c r="AJ61" s="283"/>
      <c r="BB61" s="283"/>
      <c r="BC61" s="283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</row>
    <row r="62" spans="1:68" ht="22.05" customHeight="1">
      <c r="C62" s="468" t="s">
        <v>396</v>
      </c>
      <c r="D62" s="469"/>
      <c r="E62" s="469"/>
      <c r="F62" s="469"/>
      <c r="G62" s="469"/>
      <c r="H62" s="469"/>
      <c r="I62" s="469"/>
      <c r="J62" s="469"/>
      <c r="K62" s="469"/>
      <c r="L62" s="469"/>
      <c r="M62" s="469"/>
      <c r="N62" s="469"/>
      <c r="O62" s="469"/>
      <c r="P62" s="469"/>
      <c r="Q62" s="469"/>
      <c r="R62" s="469"/>
      <c r="S62" s="469"/>
      <c r="T62" s="469"/>
      <c r="U62" s="469"/>
      <c r="V62" s="469"/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469"/>
      <c r="AI62" s="469"/>
      <c r="AJ62" s="469"/>
      <c r="AK62" s="469"/>
      <c r="AL62" s="469"/>
      <c r="AM62" s="469"/>
      <c r="AN62" s="469"/>
      <c r="AO62" s="469"/>
      <c r="AP62" s="469"/>
      <c r="AQ62" s="469"/>
      <c r="AR62" s="469"/>
      <c r="AS62" s="469"/>
      <c r="AT62" s="469"/>
      <c r="AU62" s="469"/>
      <c r="AV62" s="469"/>
      <c r="AW62" s="469"/>
      <c r="AX62" s="469"/>
      <c r="AY62" s="469"/>
      <c r="AZ62" s="469"/>
      <c r="BA62" s="469"/>
      <c r="BB62" s="469"/>
      <c r="BC62" s="469"/>
      <c r="BD62" s="469"/>
      <c r="BE62" s="469"/>
      <c r="BF62" s="469"/>
      <c r="BG62" s="469"/>
      <c r="BH62" s="469"/>
      <c r="BI62" s="469"/>
      <c r="BJ62" s="469"/>
      <c r="BK62" s="469"/>
      <c r="BL62" s="469"/>
      <c r="BM62" s="469"/>
      <c r="BN62" s="469"/>
      <c r="BO62" s="469"/>
      <c r="BP62" s="470"/>
    </row>
    <row r="63" spans="1:68" ht="13.8" thickBot="1">
      <c r="C63" s="471" t="s">
        <v>261</v>
      </c>
      <c r="D63" s="472"/>
      <c r="E63" s="472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2"/>
      <c r="U63" s="472"/>
      <c r="V63" s="472"/>
      <c r="W63" s="473"/>
      <c r="X63" s="473"/>
      <c r="Y63" s="473"/>
      <c r="Z63" s="473"/>
      <c r="AA63" s="473"/>
      <c r="AB63" s="473"/>
      <c r="AC63" s="473"/>
      <c r="AD63" s="473"/>
      <c r="AE63" s="473"/>
      <c r="AF63" s="473"/>
      <c r="AG63" s="473"/>
      <c r="AH63" s="473"/>
      <c r="AI63" s="473"/>
      <c r="AJ63" s="473"/>
      <c r="AK63" s="472"/>
      <c r="AL63" s="472"/>
      <c r="AM63" s="473"/>
      <c r="AN63" s="473"/>
      <c r="AO63" s="473"/>
      <c r="AP63" s="473"/>
      <c r="AQ63" s="473"/>
      <c r="AR63" s="473"/>
      <c r="AS63" s="473"/>
      <c r="AT63" s="473"/>
      <c r="AU63" s="473"/>
      <c r="AV63" s="473"/>
      <c r="AW63" s="473"/>
      <c r="AX63" s="473"/>
      <c r="AY63" s="473"/>
      <c r="AZ63" s="473"/>
      <c r="BA63" s="472"/>
      <c r="BB63" s="472"/>
      <c r="BC63" s="474">
        <f ca="1">BC60/F60-1</f>
        <v>-0.24418846343271583</v>
      </c>
      <c r="BD63" s="474">
        <f ca="1">BD60/G60-1</f>
        <v>-0.17818183322427672</v>
      </c>
      <c r="BE63" s="474">
        <f ca="1">BE60/H60-1</f>
        <v>-7.4302290315474306E-2</v>
      </c>
      <c r="BF63" s="475">
        <f ca="1">BF60/I60-1</f>
        <v>3.9574341521772638E-2</v>
      </c>
      <c r="BG63" s="475">
        <f t="shared" ref="BG63:BO63" ca="1" si="134">BG60/J60-1</f>
        <v>0.1653060353350353</v>
      </c>
      <c r="BH63" s="475">
        <f t="shared" ca="1" si="134"/>
        <v>0.2588296707068225</v>
      </c>
      <c r="BI63" s="475">
        <f t="shared" ca="1" si="134"/>
        <v>0.37756340996940319</v>
      </c>
      <c r="BJ63" s="475">
        <f t="shared" ca="1" si="134"/>
        <v>0.48389639620291458</v>
      </c>
      <c r="BK63" s="475">
        <f t="shared" ca="1" si="134"/>
        <v>0.52229126639710155</v>
      </c>
      <c r="BL63" s="475">
        <f t="shared" ca="1" si="134"/>
        <v>0.54831996682431439</v>
      </c>
      <c r="BM63" s="475">
        <f t="shared" ca="1" si="134"/>
        <v>0.66246458797294694</v>
      </c>
      <c r="BN63" s="475">
        <f t="shared" ca="1" si="134"/>
        <v>0.75875270436014652</v>
      </c>
      <c r="BO63" s="475">
        <f t="shared" ca="1" si="134"/>
        <v>0.99165991240599505</v>
      </c>
      <c r="BP63" s="475">
        <f ca="1">BP60/S60-1</f>
        <v>1.1579270601765579</v>
      </c>
    </row>
    <row r="65" spans="3:68" ht="12">
      <c r="C65" s="444" t="s">
        <v>262</v>
      </c>
      <c r="E65" s="287"/>
      <c r="F65" s="287"/>
      <c r="G65" s="287"/>
      <c r="H65" s="287"/>
      <c r="I65" s="287"/>
      <c r="U65" s="287"/>
      <c r="V65" s="287"/>
      <c r="W65" s="287"/>
      <c r="X65" s="287"/>
      <c r="Y65" s="287"/>
      <c r="Z65" s="287"/>
      <c r="AA65" s="287"/>
      <c r="AB65" s="287"/>
      <c r="AC65" s="287"/>
      <c r="AD65" s="287"/>
      <c r="AE65" s="287"/>
      <c r="AF65" s="287"/>
      <c r="AG65" s="287"/>
      <c r="AH65" s="287"/>
      <c r="AI65" s="287"/>
      <c r="AJ65" s="287"/>
      <c r="AL65" s="287"/>
      <c r="AM65" s="287"/>
      <c r="AN65" s="287"/>
      <c r="AO65" s="287"/>
      <c r="AP65" s="287"/>
      <c r="AQ65" s="287"/>
      <c r="AR65" s="287"/>
      <c r="AS65" s="287"/>
      <c r="AT65" s="287"/>
      <c r="AU65" s="287"/>
      <c r="AV65" s="287"/>
      <c r="AW65" s="287"/>
      <c r="AX65" s="287"/>
      <c r="AY65" s="287"/>
      <c r="AZ65" s="287"/>
      <c r="BB65" s="287"/>
      <c r="BC65" s="287"/>
      <c r="BD65" s="287"/>
      <c r="BE65" s="287"/>
      <c r="BF65" s="287"/>
      <c r="BG65" s="287"/>
      <c r="BH65" s="287"/>
      <c r="BI65" s="287"/>
      <c r="BJ65" s="287"/>
      <c r="BK65" s="287"/>
      <c r="BL65" s="287"/>
      <c r="BM65" s="287"/>
      <c r="BN65" s="287"/>
      <c r="BO65" s="287"/>
      <c r="BP65" s="287"/>
    </row>
    <row r="66" spans="3:68">
      <c r="E66" s="287"/>
      <c r="F66" s="287"/>
      <c r="G66" s="287"/>
      <c r="H66" s="287"/>
      <c r="I66" s="287"/>
      <c r="U66" s="287"/>
      <c r="V66" s="287"/>
      <c r="W66" s="287"/>
      <c r="X66" s="287"/>
      <c r="Y66" s="287"/>
      <c r="Z66" s="287"/>
      <c r="AA66" s="287"/>
      <c r="AB66" s="287"/>
      <c r="AC66" s="287"/>
      <c r="AD66" s="287"/>
      <c r="AE66" s="287"/>
      <c r="AF66" s="287"/>
      <c r="AG66" s="287"/>
      <c r="AH66" s="287"/>
      <c r="AI66" s="287"/>
      <c r="AJ66" s="287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7"/>
      <c r="AW66" s="287"/>
      <c r="AX66" s="287"/>
      <c r="AY66" s="287"/>
      <c r="AZ66" s="287"/>
      <c r="BB66" s="287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</row>
    <row r="67" spans="3:68" ht="12">
      <c r="C67" s="278" t="s">
        <v>263</v>
      </c>
      <c r="E67" s="287"/>
      <c r="F67" s="287"/>
      <c r="G67" s="287"/>
      <c r="H67" s="287"/>
      <c r="I67" s="287"/>
      <c r="U67" s="287"/>
      <c r="V67" s="287"/>
      <c r="W67" s="287"/>
      <c r="X67" s="287"/>
      <c r="Y67" s="287"/>
      <c r="Z67" s="287"/>
      <c r="AA67" s="287"/>
      <c r="AB67" s="287"/>
      <c r="AC67" s="287"/>
      <c r="AD67" s="287"/>
      <c r="AE67" s="287"/>
      <c r="AF67" s="287"/>
      <c r="AG67" s="287"/>
      <c r="AH67" s="287"/>
      <c r="AI67" s="287"/>
      <c r="AJ67" s="287"/>
      <c r="AL67" s="287"/>
      <c r="AM67" s="287"/>
      <c r="AN67" s="287"/>
      <c r="AO67" s="287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B67" s="287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</row>
    <row r="68" spans="3:68">
      <c r="C68" s="285" t="s">
        <v>264</v>
      </c>
      <c r="D68" s="329">
        <f>'Cintas BS'!M9</f>
        <v>1057.769</v>
      </c>
      <c r="E68" s="321">
        <f ca="1">D68+E118</f>
        <v>1342.2694177591657</v>
      </c>
      <c r="F68" s="321">
        <f ca="1">E68+F118</f>
        <v>1658.2779635759296</v>
      </c>
      <c r="G68" s="321">
        <f ca="1">F68+G118</f>
        <v>2368.3256773425437</v>
      </c>
      <c r="H68" s="321">
        <f ca="1">G68+H118</f>
        <v>3625.8165345030484</v>
      </c>
      <c r="I68" s="321">
        <f ca="1">H68+I118</f>
        <v>4878.480562004971</v>
      </c>
      <c r="J68" s="321">
        <f t="shared" ref="J68:S68" ca="1" si="135">I68+J118</f>
        <v>6113.8430995677772</v>
      </c>
      <c r="K68" s="321">
        <f t="shared" ca="1" si="135"/>
        <v>7430.217281282009</v>
      </c>
      <c r="L68" s="321">
        <f t="shared" ca="1" si="135"/>
        <v>8703.6723308282635</v>
      </c>
      <c r="M68" s="321">
        <f t="shared" ca="1" si="135"/>
        <v>9954.1269440791675</v>
      </c>
      <c r="N68" s="321">
        <f t="shared" ca="1" si="135"/>
        <v>11151.639749015363</v>
      </c>
      <c r="O68" s="321">
        <f t="shared" ca="1" si="135"/>
        <v>12283.05672527244</v>
      </c>
      <c r="P68" s="321">
        <f t="shared" ca="1" si="135"/>
        <v>13267.931326144262</v>
      </c>
      <c r="Q68" s="321">
        <f t="shared" ca="1" si="135"/>
        <v>14157.398969842163</v>
      </c>
      <c r="R68" s="321">
        <f t="shared" ca="1" si="135"/>
        <v>14876.389917351922</v>
      </c>
      <c r="S68" s="321">
        <f t="shared" ca="1" si="135"/>
        <v>15510.4842277355</v>
      </c>
      <c r="U68" s="329">
        <v>486.75200000000001</v>
      </c>
      <c r="V68" s="321">
        <f>U68+V118</f>
        <v>486.75200000000001</v>
      </c>
      <c r="W68" s="321">
        <f>V68+W118</f>
        <v>486.75200000000001</v>
      </c>
      <c r="X68" s="321">
        <f>W68+X118</f>
        <v>486.85269056804935</v>
      </c>
      <c r="Y68" s="321">
        <f>X68+Y118</f>
        <v>501.17894337388105</v>
      </c>
      <c r="Z68" s="321">
        <f>Y68+Z118</f>
        <v>547.42567970386631</v>
      </c>
      <c r="AA68" s="321">
        <f t="shared" ref="AA68:AH68" si="136">Z68+AA118</f>
        <v>730.10420570933434</v>
      </c>
      <c r="AB68" s="321">
        <f t="shared" si="136"/>
        <v>989.97816987325041</v>
      </c>
      <c r="AC68" s="321">
        <f t="shared" si="136"/>
        <v>1328.3699825032595</v>
      </c>
      <c r="AD68" s="321">
        <f t="shared" si="136"/>
        <v>1745.5575667648131</v>
      </c>
      <c r="AE68" s="321">
        <f t="shared" si="136"/>
        <v>2177.9930195886523</v>
      </c>
      <c r="AF68" s="321">
        <f t="shared" si="136"/>
        <v>2576.2129349707388</v>
      </c>
      <c r="AG68" s="321">
        <f t="shared" si="136"/>
        <v>2962.7945209805202</v>
      </c>
      <c r="AH68" s="321">
        <f t="shared" si="136"/>
        <v>3345.468936895355</v>
      </c>
      <c r="AI68" s="321">
        <f>AH68+AI118</f>
        <v>3718.4545434198299</v>
      </c>
      <c r="AJ68" s="321">
        <f t="shared" ref="AJ68" si="137">AI68+AJ118</f>
        <v>4085.5659597200624</v>
      </c>
      <c r="AL68" s="324">
        <f>-G19</f>
        <v>-718.67520000000002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B68" s="324">
        <f t="shared" ref="BB68:BB76" ca="1" si="138">AL68+V68+E68</f>
        <v>1110.3462177591657</v>
      </c>
      <c r="BC68" s="324">
        <f ca="1">BB68+BC118</f>
        <v>1103.4782748301188</v>
      </c>
      <c r="BD68" s="324">
        <f ca="1">BC68+BD118</f>
        <v>1287.6645620727327</v>
      </c>
      <c r="BE68" s="324">
        <f ca="1">BD68+BE118</f>
        <v>1644.0518836767558</v>
      </c>
      <c r="BF68" s="324">
        <f ca="1">BE68+BF118</f>
        <v>2033.3677528908293</v>
      </c>
      <c r="BG68" s="324">
        <f t="shared" ref="BG68:BP68" ca="1" si="139">BF68+BG118</f>
        <v>2456.5500779811418</v>
      </c>
      <c r="BH68" s="324">
        <f t="shared" ca="1" si="139"/>
        <v>3358.4012050262886</v>
      </c>
      <c r="BI68" s="324">
        <f t="shared" ca="1" si="139"/>
        <v>4997.9034020254385</v>
      </c>
      <c r="BJ68" s="324">
        <f t="shared" ca="1" si="139"/>
        <v>6916.8629771272135</v>
      </c>
      <c r="BK68" s="324">
        <f t="shared" ca="1" si="139"/>
        <v>8881.7205416501747</v>
      </c>
      <c r="BL68" s="324">
        <f t="shared" ca="1" si="139"/>
        <v>10785.922118535489</v>
      </c>
      <c r="BM68" s="324">
        <f t="shared" ca="1" si="139"/>
        <v>12544.420801551591</v>
      </c>
      <c r="BN68" s="324">
        <f t="shared" ca="1" si="139"/>
        <v>14217.066557214539</v>
      </c>
      <c r="BO68" s="324">
        <f t="shared" ca="1" si="139"/>
        <v>15710.476881154616</v>
      </c>
      <c r="BP68" s="324">
        <f t="shared" ca="1" si="139"/>
        <v>17122.063464810963</v>
      </c>
    </row>
    <row r="69" spans="3:68">
      <c r="C69" s="285" t="s">
        <v>100</v>
      </c>
      <c r="D69" s="329">
        <f>'Cintas BS'!M10</f>
        <v>1075</v>
      </c>
      <c r="E69" s="321">
        <f>'Cintas BS'!N10</f>
        <v>1075</v>
      </c>
      <c r="F69" s="321">
        <f>'Cintas BS'!O10</f>
        <v>1075</v>
      </c>
      <c r="G69" s="321">
        <f>'Cintas BS'!P10</f>
        <v>1075</v>
      </c>
      <c r="H69" s="321">
        <f>'Cintas BS'!Q10</f>
        <v>1075</v>
      </c>
      <c r="I69" s="321">
        <f>'Cintas BS'!R10</f>
        <v>1075</v>
      </c>
      <c r="J69" s="321">
        <f>'Cintas BS'!S10</f>
        <v>1075</v>
      </c>
      <c r="K69" s="321">
        <f>'Cintas BS'!T10</f>
        <v>1075</v>
      </c>
      <c r="L69" s="321">
        <f>'Cintas BS'!U10</f>
        <v>1075</v>
      </c>
      <c r="M69" s="321">
        <f>'Cintas BS'!V10</f>
        <v>1075</v>
      </c>
      <c r="N69" s="321">
        <f>'Cintas BS'!W10</f>
        <v>1075</v>
      </c>
      <c r="O69" s="321">
        <f>'Cintas BS'!X10</f>
        <v>1075</v>
      </c>
      <c r="P69" s="321">
        <f>'Cintas BS'!Y10</f>
        <v>1075</v>
      </c>
      <c r="Q69" s="321">
        <f>'Cintas BS'!Z10</f>
        <v>1075</v>
      </c>
      <c r="R69" s="321">
        <f>'Cintas BS'!AA10</f>
        <v>1075</v>
      </c>
      <c r="S69" s="321">
        <f>'Cintas BS'!AB10</f>
        <v>1075</v>
      </c>
      <c r="U69" s="329">
        <v>0</v>
      </c>
      <c r="V69" s="321">
        <v>0</v>
      </c>
      <c r="W69" s="321">
        <f>W70*W33</f>
        <v>0</v>
      </c>
      <c r="X69" s="321">
        <f>X70*X33</f>
        <v>0</v>
      </c>
      <c r="Y69" s="321">
        <f>Y70*Y33</f>
        <v>0</v>
      </c>
      <c r="Z69" s="321">
        <f>Z70*Z33</f>
        <v>0</v>
      </c>
      <c r="AA69" s="321">
        <f t="shared" ref="AA69:AH69" si="140">AA70*AA33</f>
        <v>0</v>
      </c>
      <c r="AB69" s="321">
        <f t="shared" si="140"/>
        <v>0</v>
      </c>
      <c r="AC69" s="321">
        <f t="shared" si="140"/>
        <v>0</v>
      </c>
      <c r="AD69" s="321">
        <f t="shared" si="140"/>
        <v>0</v>
      </c>
      <c r="AE69" s="321">
        <f t="shared" si="140"/>
        <v>0</v>
      </c>
      <c r="AF69" s="321">
        <f t="shared" si="140"/>
        <v>0</v>
      </c>
      <c r="AG69" s="321">
        <f t="shared" si="140"/>
        <v>0</v>
      </c>
      <c r="AH69" s="321">
        <f t="shared" si="140"/>
        <v>0</v>
      </c>
      <c r="AI69" s="321">
        <f>AI70*AI33</f>
        <v>0</v>
      </c>
      <c r="AJ69" s="321">
        <f t="shared" ref="AJ69" si="141">AJ70*AJ33</f>
        <v>0</v>
      </c>
      <c r="AL69" s="330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B69" s="324">
        <f t="shared" si="138"/>
        <v>1075</v>
      </c>
      <c r="BC69" s="324">
        <f t="shared" ref="BC69:BF75" si="142">AM69+W69+F69</f>
        <v>1075</v>
      </c>
      <c r="BD69" s="324">
        <f t="shared" si="142"/>
        <v>1075</v>
      </c>
      <c r="BE69" s="324">
        <f t="shared" si="142"/>
        <v>1075</v>
      </c>
      <c r="BF69" s="324">
        <f t="shared" si="142"/>
        <v>1075</v>
      </c>
      <c r="BG69" s="324">
        <f t="shared" ref="BG69:BP75" si="143">AQ69+AA69+J69</f>
        <v>1075</v>
      </c>
      <c r="BH69" s="324">
        <f t="shared" si="143"/>
        <v>1075</v>
      </c>
      <c r="BI69" s="324">
        <f t="shared" si="143"/>
        <v>1075</v>
      </c>
      <c r="BJ69" s="324">
        <f t="shared" si="143"/>
        <v>1075</v>
      </c>
      <c r="BK69" s="324">
        <f t="shared" si="143"/>
        <v>1075</v>
      </c>
      <c r="BL69" s="324">
        <f t="shared" si="143"/>
        <v>1075</v>
      </c>
      <c r="BM69" s="324">
        <f t="shared" si="143"/>
        <v>1075</v>
      </c>
      <c r="BN69" s="324">
        <f t="shared" si="143"/>
        <v>1075</v>
      </c>
      <c r="BO69" s="324">
        <f t="shared" si="143"/>
        <v>1075</v>
      </c>
      <c r="BP69" s="324">
        <f t="shared" si="143"/>
        <v>1075</v>
      </c>
    </row>
    <row r="70" spans="3:68">
      <c r="C70" s="285" t="s">
        <v>101</v>
      </c>
      <c r="D70" s="329">
        <f>'Cintas BS'!M11</f>
        <v>396.49</v>
      </c>
      <c r="E70" s="321">
        <f>'Cintas BS'!N11</f>
        <v>420.17371933232681</v>
      </c>
      <c r="F70" s="321">
        <f>'Cintas BS'!O11</f>
        <v>462.10352572428667</v>
      </c>
      <c r="G70" s="321">
        <f>'Cintas BS'!P11</f>
        <v>410.96150026810801</v>
      </c>
      <c r="H70" s="321">
        <f>'Cintas BS'!Q11</f>
        <v>416.0709844080431</v>
      </c>
      <c r="I70" s="321">
        <f>'Cintas BS'!R11</f>
        <v>413.5880593369684</v>
      </c>
      <c r="J70" s="321">
        <f>'Cintas BS'!S11</f>
        <v>407.05264217555555</v>
      </c>
      <c r="K70" s="321">
        <f>'Cintas BS'!T11</f>
        <v>400.57776476095506</v>
      </c>
      <c r="L70" s="321">
        <f>'Cintas BS'!U11</f>
        <v>385.84139102254272</v>
      </c>
      <c r="M70" s="321">
        <f>'Cintas BS'!V11</f>
        <v>379.11101652843087</v>
      </c>
      <c r="N70" s="321">
        <f>'Cintas BS'!W11</f>
        <v>360.80319496262905</v>
      </c>
      <c r="O70" s="321">
        <f>'Cintas BS'!X11</f>
        <v>338.97246401833689</v>
      </c>
      <c r="P70" s="321">
        <f>'Cintas BS'!Y11</f>
        <v>288.62814584291135</v>
      </c>
      <c r="Q70" s="321">
        <f>'Cintas BS'!Z11</f>
        <v>259.59342793786004</v>
      </c>
      <c r="R70" s="321">
        <f>'Cintas BS'!AA11</f>
        <v>201.40335995956164</v>
      </c>
      <c r="S70" s="321">
        <f>'Cintas BS'!AB11</f>
        <v>176.95419216377951</v>
      </c>
      <c r="U70" s="329">
        <f>'Vestis Corporation PNL'!R58</f>
        <v>71.168000000000006</v>
      </c>
      <c r="V70" s="321">
        <f>'Vestis Corporation PNL'!W58</f>
        <v>95.22420869993617</v>
      </c>
      <c r="W70" s="321">
        <f>'Vestis Corporation PNL'!X58</f>
        <v>108.69446655073361</v>
      </c>
      <c r="X70" s="321">
        <f>'Vestis Corporation PNL'!Y58</f>
        <v>128.67240955892512</v>
      </c>
      <c r="Y70" s="321">
        <f>'Vestis Corporation PNL'!Z58</f>
        <v>149.84462058742096</v>
      </c>
      <c r="Z70" s="321">
        <f>'Vestis Corporation PNL'!AA58</f>
        <v>171.80675129924487</v>
      </c>
      <c r="AA70" s="321">
        <f>'Vestis Corporation PNL'!AB58</f>
        <v>187.85308841607375</v>
      </c>
      <c r="AB70" s="321">
        <f>'Vestis Corporation PNL'!AC58</f>
        <v>200.0402089445235</v>
      </c>
      <c r="AC70" s="321">
        <f>'Vestis Corporation PNL'!AD58</f>
        <v>208.509475498927</v>
      </c>
      <c r="AD70" s="321">
        <f>'Vestis Corporation PNL'!AE58</f>
        <v>214.96948061934333</v>
      </c>
      <c r="AE70" s="321">
        <f>'Vestis Corporation PNL'!AF58</f>
        <v>181.27458826502911</v>
      </c>
      <c r="AF70" s="321">
        <f>'Vestis Corporation PNL'!AG58</f>
        <v>155.04919204681602</v>
      </c>
      <c r="AG70" s="321">
        <f>'Vestis Corporation PNL'!AH58</f>
        <v>142.54779648617384</v>
      </c>
      <c r="AH70" s="321">
        <f>'Vestis Corporation PNL'!AI58</f>
        <v>131.90148087740542</v>
      </c>
      <c r="AI70" s="321">
        <f>'Vestis Corporation PNL'!AJ58</f>
        <v>119.98983889453599</v>
      </c>
      <c r="AJ70" s="321">
        <f>'Vestis Corporation PNL'!AK58</f>
        <v>111.55611537079507</v>
      </c>
      <c r="AL70" s="330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B70" s="324">
        <f t="shared" si="138"/>
        <v>515.39792803226294</v>
      </c>
      <c r="BC70" s="324">
        <f t="shared" si="142"/>
        <v>570.79799227502031</v>
      </c>
      <c r="BD70" s="324">
        <f t="shared" si="142"/>
        <v>539.63390982703311</v>
      </c>
      <c r="BE70" s="324">
        <f t="shared" si="142"/>
        <v>565.91560499546404</v>
      </c>
      <c r="BF70" s="324">
        <f t="shared" si="142"/>
        <v>585.39481063621326</v>
      </c>
      <c r="BG70" s="324">
        <f t="shared" si="143"/>
        <v>594.90573059162932</v>
      </c>
      <c r="BH70" s="324">
        <f t="shared" si="143"/>
        <v>600.61797370547856</v>
      </c>
      <c r="BI70" s="324">
        <f t="shared" si="143"/>
        <v>594.3508665214697</v>
      </c>
      <c r="BJ70" s="324">
        <f t="shared" si="143"/>
        <v>594.08049714777417</v>
      </c>
      <c r="BK70" s="324">
        <f t="shared" si="143"/>
        <v>542.07778322765819</v>
      </c>
      <c r="BL70" s="324">
        <f t="shared" si="143"/>
        <v>494.02165606515291</v>
      </c>
      <c r="BM70" s="324">
        <f t="shared" si="143"/>
        <v>431.17594232908516</v>
      </c>
      <c r="BN70" s="324">
        <f t="shared" si="143"/>
        <v>391.49490881526549</v>
      </c>
      <c r="BO70" s="324">
        <f t="shared" si="143"/>
        <v>321.39319885409765</v>
      </c>
      <c r="BP70" s="324">
        <f t="shared" si="143"/>
        <v>288.51030753457457</v>
      </c>
    </row>
    <row r="71" spans="3:68">
      <c r="C71" s="285" t="s">
        <v>102</v>
      </c>
      <c r="D71" s="329">
        <f>'Cintas BS'!M12</f>
        <v>95.396000000000001</v>
      </c>
      <c r="E71" s="321">
        <f>'Cintas BS'!N12</f>
        <v>104.32057690392986</v>
      </c>
      <c r="F71" s="321">
        <f>'Cintas BS'!O12</f>
        <v>114.73089385385721</v>
      </c>
      <c r="G71" s="321">
        <f>'Cintas BS'!P12</f>
        <v>102.0333705339746</v>
      </c>
      <c r="H71" s="321">
        <f>'Cintas BS'!Q12</f>
        <v>103.30195138193081</v>
      </c>
      <c r="I71" s="321">
        <f>'Cintas BS'!R12</f>
        <v>102.68549165609328</v>
      </c>
      <c r="J71" s="321">
        <f>'Cintas BS'!S12</f>
        <v>101.06288068063813</v>
      </c>
      <c r="K71" s="321">
        <f>'Cintas BS'!T12</f>
        <v>99.455300491313864</v>
      </c>
      <c r="L71" s="321">
        <f>'Cintas BS'!U12</f>
        <v>95.7965590252699</v>
      </c>
      <c r="M71" s="321">
        <f>'Cintas BS'!V12</f>
        <v>94.125544114768275</v>
      </c>
      <c r="N71" s="321">
        <f>'Cintas BS'!W12</f>
        <v>89.580084892250682</v>
      </c>
      <c r="O71" s="321">
        <f>'Cintas BS'!X12</f>
        <v>84.159959021546754</v>
      </c>
      <c r="P71" s="321">
        <f>'Cintas BS'!Y12</f>
        <v>71.660490172707384</v>
      </c>
      <c r="Q71" s="321">
        <f>'Cintas BS'!Z12</f>
        <v>64.451761062017439</v>
      </c>
      <c r="R71" s="321">
        <f>'Cintas BS'!AA12</f>
        <v>50.004352330169247</v>
      </c>
      <c r="S71" s="321">
        <f>'Cintas BS'!AB12</f>
        <v>43.934121918495947</v>
      </c>
      <c r="U71" s="329">
        <f>'Vestis Corporation PNL'!R60</f>
        <v>129.13800000000001</v>
      </c>
      <c r="V71" s="321">
        <f>'Vestis Corporation PNL'!W60</f>
        <v>169.46594713282073</v>
      </c>
      <c r="W71" s="321">
        <f>'Vestis Corporation PNL'!X60</f>
        <v>193.43831756229778</v>
      </c>
      <c r="X71" s="321">
        <f>'Vestis Corporation PNL'!Y60</f>
        <v>228.9921024650119</v>
      </c>
      <c r="Y71" s="321">
        <f>'Vestis Corporation PNL'!Z60</f>
        <v>266.67126875922764</v>
      </c>
      <c r="Z71" s="321">
        <f>'Vestis Corporation PNL'!AA60</f>
        <v>305.75621714522083</v>
      </c>
      <c r="AA71" s="321">
        <f>'Vestis Corporation PNL'!AB60</f>
        <v>334.31311202144741</v>
      </c>
      <c r="AB71" s="321">
        <f>'Vestis Corporation PNL'!AC60</f>
        <v>356.00194463420888</v>
      </c>
      <c r="AC71" s="321">
        <f>'Vestis Corporation PNL'!AD60</f>
        <v>371.07429123343326</v>
      </c>
      <c r="AD71" s="321">
        <f>'Vestis Corporation PNL'!AE60</f>
        <v>382.57085183667147</v>
      </c>
      <c r="AE71" s="321">
        <f>'Vestis Corporation PNL'!AF60</f>
        <v>322.6056715078364</v>
      </c>
      <c r="AF71" s="321">
        <f>'Vestis Corporation PNL'!AG60</f>
        <v>275.93359442019602</v>
      </c>
      <c r="AG71" s="321">
        <f>'Vestis Corporation PNL'!AH60</f>
        <v>253.68546163872941</v>
      </c>
      <c r="AH71" s="321">
        <f>'Vestis Corporation PNL'!AI60</f>
        <v>234.73872548048945</v>
      </c>
      <c r="AI71" s="321">
        <f>'Vestis Corporation PNL'!AJ60</f>
        <v>213.54014879401925</v>
      </c>
      <c r="AJ71" s="321">
        <f>'Vestis Corporation PNL'!AK60</f>
        <v>198.53105641803751</v>
      </c>
      <c r="AL71" s="330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B71" s="324">
        <f t="shared" si="138"/>
        <v>273.78652403675062</v>
      </c>
      <c r="BC71" s="324">
        <f t="shared" si="142"/>
        <v>308.16921141615501</v>
      </c>
      <c r="BD71" s="324">
        <f t="shared" si="142"/>
        <v>331.02547299898652</v>
      </c>
      <c r="BE71" s="324">
        <f t="shared" si="142"/>
        <v>369.97322014115844</v>
      </c>
      <c r="BF71" s="324">
        <f t="shared" si="142"/>
        <v>408.44170880131412</v>
      </c>
      <c r="BG71" s="324">
        <f t="shared" si="143"/>
        <v>435.37599270208557</v>
      </c>
      <c r="BH71" s="324">
        <f t="shared" si="143"/>
        <v>455.45724512552272</v>
      </c>
      <c r="BI71" s="324">
        <f t="shared" si="143"/>
        <v>466.87085025870317</v>
      </c>
      <c r="BJ71" s="324">
        <f t="shared" si="143"/>
        <v>476.69639595143974</v>
      </c>
      <c r="BK71" s="324">
        <f t="shared" si="143"/>
        <v>412.18575640008709</v>
      </c>
      <c r="BL71" s="324">
        <f t="shared" si="143"/>
        <v>360.09355344174276</v>
      </c>
      <c r="BM71" s="324">
        <f t="shared" si="143"/>
        <v>325.34595181143681</v>
      </c>
      <c r="BN71" s="324">
        <f t="shared" si="143"/>
        <v>299.1904865425069</v>
      </c>
      <c r="BO71" s="324">
        <f t="shared" si="143"/>
        <v>263.54450112418851</v>
      </c>
      <c r="BP71" s="324">
        <f t="shared" si="143"/>
        <v>242.46517833653346</v>
      </c>
    </row>
    <row r="72" spans="3:68">
      <c r="C72" s="285" t="s">
        <v>265</v>
      </c>
      <c r="D72" s="329">
        <f>'Cintas BS'!M13</f>
        <v>214.91300000000001</v>
      </c>
      <c r="E72" s="321">
        <f>'Cintas BS'!N13</f>
        <v>214.91300000000001</v>
      </c>
      <c r="F72" s="321">
        <f>'Cintas BS'!O13</f>
        <v>214.91300000000001</v>
      </c>
      <c r="G72" s="321">
        <f>'Cintas BS'!P13</f>
        <v>214.91300000000001</v>
      </c>
      <c r="H72" s="321">
        <f>'Cintas BS'!Q13</f>
        <v>214.91300000000001</v>
      </c>
      <c r="I72" s="321">
        <f>'Cintas BS'!R13</f>
        <v>214.91300000000001</v>
      </c>
      <c r="J72" s="321">
        <f>'Cintas BS'!S13</f>
        <v>214.91300000000001</v>
      </c>
      <c r="K72" s="321">
        <f>'Cintas BS'!T13</f>
        <v>214.91300000000001</v>
      </c>
      <c r="L72" s="321">
        <f>'Cintas BS'!U13</f>
        <v>214.91300000000001</v>
      </c>
      <c r="M72" s="321">
        <f>'Cintas BS'!V13</f>
        <v>214.91300000000001</v>
      </c>
      <c r="N72" s="321">
        <f>'Cintas BS'!W13</f>
        <v>214.91300000000001</v>
      </c>
      <c r="O72" s="321">
        <f>'Cintas BS'!X13</f>
        <v>214.91300000000001</v>
      </c>
      <c r="P72" s="321">
        <f>'Cintas BS'!Y13</f>
        <v>214.91300000000001</v>
      </c>
      <c r="Q72" s="321">
        <f>'Cintas BS'!Z13</f>
        <v>214.91300000000001</v>
      </c>
      <c r="R72" s="321">
        <f>'Cintas BS'!AA13</f>
        <v>214.91300000000001</v>
      </c>
      <c r="S72" s="321">
        <f>'Cintas BS'!AB13</f>
        <v>214.91300000000001</v>
      </c>
      <c r="U72" s="329">
        <v>42.472000000000001</v>
      </c>
      <c r="V72" s="321">
        <f>U72</f>
        <v>42.472000000000001</v>
      </c>
      <c r="W72" s="321">
        <f>V72</f>
        <v>42.472000000000001</v>
      </c>
      <c r="X72" s="321">
        <f t="shared" ref="X72:Z72" si="144">W72</f>
        <v>42.472000000000001</v>
      </c>
      <c r="Y72" s="321">
        <f t="shared" si="144"/>
        <v>42.472000000000001</v>
      </c>
      <c r="Z72" s="321">
        <f t="shared" si="144"/>
        <v>42.472000000000001</v>
      </c>
      <c r="AA72" s="321">
        <f t="shared" ref="AA72" si="145">Z72</f>
        <v>42.472000000000001</v>
      </c>
      <c r="AB72" s="321">
        <f t="shared" ref="AB72" si="146">AA72</f>
        <v>42.472000000000001</v>
      </c>
      <c r="AC72" s="321">
        <f t="shared" ref="AC72" si="147">AB72</f>
        <v>42.472000000000001</v>
      </c>
      <c r="AD72" s="321">
        <f t="shared" ref="AD72" si="148">AC72</f>
        <v>42.472000000000001</v>
      </c>
      <c r="AE72" s="321">
        <f t="shared" ref="AE72" si="149">AD72</f>
        <v>42.472000000000001</v>
      </c>
      <c r="AF72" s="321">
        <f t="shared" ref="AF72" si="150">AE72</f>
        <v>42.472000000000001</v>
      </c>
      <c r="AG72" s="321">
        <f t="shared" ref="AG72" si="151">AF72</f>
        <v>42.472000000000001</v>
      </c>
      <c r="AH72" s="321">
        <f t="shared" ref="AH72" si="152">AG72</f>
        <v>42.472000000000001</v>
      </c>
      <c r="AI72" s="321">
        <f t="shared" ref="AI72" si="153">AH72</f>
        <v>42.472000000000001</v>
      </c>
      <c r="AJ72" s="321">
        <f t="shared" ref="AJ72" si="154">AI72</f>
        <v>42.472000000000001</v>
      </c>
      <c r="AL72" s="330"/>
      <c r="AM72" s="287"/>
      <c r="AN72" s="287"/>
      <c r="AO72" s="287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B72" s="324">
        <f t="shared" si="138"/>
        <v>257.38499999999999</v>
      </c>
      <c r="BC72" s="324">
        <f t="shared" si="142"/>
        <v>257.38499999999999</v>
      </c>
      <c r="BD72" s="324">
        <f t="shared" si="142"/>
        <v>257.38499999999999</v>
      </c>
      <c r="BE72" s="324">
        <f t="shared" si="142"/>
        <v>257.38499999999999</v>
      </c>
      <c r="BF72" s="324">
        <f t="shared" si="142"/>
        <v>257.38499999999999</v>
      </c>
      <c r="BG72" s="324">
        <f t="shared" si="143"/>
        <v>257.38499999999999</v>
      </c>
      <c r="BH72" s="324">
        <f t="shared" si="143"/>
        <v>257.38499999999999</v>
      </c>
      <c r="BI72" s="324">
        <f t="shared" si="143"/>
        <v>257.38499999999999</v>
      </c>
      <c r="BJ72" s="324">
        <f t="shared" si="143"/>
        <v>257.38499999999999</v>
      </c>
      <c r="BK72" s="324">
        <f t="shared" si="143"/>
        <v>257.38499999999999</v>
      </c>
      <c r="BL72" s="324">
        <f t="shared" si="143"/>
        <v>257.38499999999999</v>
      </c>
      <c r="BM72" s="324">
        <f t="shared" si="143"/>
        <v>257.38499999999999</v>
      </c>
      <c r="BN72" s="324">
        <f t="shared" si="143"/>
        <v>257.38499999999999</v>
      </c>
      <c r="BO72" s="324">
        <f t="shared" si="143"/>
        <v>257.38499999999999</v>
      </c>
      <c r="BP72" s="324">
        <f t="shared" si="143"/>
        <v>257.38499999999999</v>
      </c>
    </row>
    <row r="73" spans="3:68">
      <c r="C73" s="285" t="s">
        <v>104</v>
      </c>
      <c r="D73" s="329">
        <f>'Cintas BS'!M15</f>
        <v>127.935</v>
      </c>
      <c r="E73" s="321">
        <f>'Cintas BS'!N15</f>
        <v>123.39629416312741</v>
      </c>
      <c r="F73" s="321">
        <f>'Cintas BS'!O15</f>
        <v>118.40466362331875</v>
      </c>
      <c r="G73" s="321">
        <f>'Cintas BS'!P15</f>
        <v>113.96546794263527</v>
      </c>
      <c r="H73" s="321">
        <f>'Cintas BS'!Q15</f>
        <v>109.47107974413753</v>
      </c>
      <c r="I73" s="321">
        <f>'Cintas BS'!R15</f>
        <v>105.00351203915019</v>
      </c>
      <c r="J73" s="321">
        <f>'Cintas BS'!S15</f>
        <v>100.60653974423286</v>
      </c>
      <c r="K73" s="321">
        <f>'Cintas BS'!T15</f>
        <v>96.279508910579167</v>
      </c>
      <c r="L73" s="321">
        <f>'Cintas BS'!U15</f>
        <v>92.111660011500419</v>
      </c>
      <c r="M73" s="321">
        <f>'Cintas BS'!V15</f>
        <v>88.016512446644356</v>
      </c>
      <c r="N73" s="321">
        <f>'Cintas BS'!W15</f>
        <v>84.119125505020904</v>
      </c>
      <c r="O73" s="321">
        <f>'Cintas BS'!X15</f>
        <v>80.457553564196402</v>
      </c>
      <c r="P73" s="321">
        <f>'Cintas BS'!Y15</f>
        <v>77.339799668725306</v>
      </c>
      <c r="Q73" s="321">
        <f>'Cintas BS'!Z15</f>
        <v>74.535678058102988</v>
      </c>
      <c r="R73" s="321">
        <f>'Cintas BS'!AA15</f>
        <v>72.360124082793021</v>
      </c>
      <c r="S73" s="321">
        <f>'Cintas BS'!AB15</f>
        <v>70.448669396600252</v>
      </c>
      <c r="U73" s="329">
        <v>143.767</v>
      </c>
      <c r="V73" s="321">
        <f>U73-V110+V42</f>
        <v>158.80821415550582</v>
      </c>
      <c r="W73" s="321">
        <f>V73-W110+W42</f>
        <v>175.97713339598826</v>
      </c>
      <c r="X73" s="321">
        <f>W73-X110+X42</f>
        <v>196.30168420616522</v>
      </c>
      <c r="Y73" s="321">
        <f>X73-Y110+Y42</f>
        <v>219.97050812265553</v>
      </c>
      <c r="Z73" s="321">
        <f>Y73-Z110+Z42</f>
        <v>247.10837752513868</v>
      </c>
      <c r="AA73" s="321">
        <f t="shared" ref="AA73:AH73" si="155">Z73-AA110+AA42</f>
        <v>276.78085862228249</v>
      </c>
      <c r="AB73" s="321">
        <f t="shared" si="155"/>
        <v>308.37836584786601</v>
      </c>
      <c r="AC73" s="321">
        <f t="shared" si="155"/>
        <v>341.31364267767134</v>
      </c>
      <c r="AD73" s="321">
        <f t="shared" si="155"/>
        <v>375.26931465476565</v>
      </c>
      <c r="AE73" s="321">
        <f t="shared" si="155"/>
        <v>403.90268362963718</v>
      </c>
      <c r="AF73" s="321">
        <f t="shared" si="155"/>
        <v>428.39359969031193</v>
      </c>
      <c r="AG73" s="321">
        <f t="shared" si="155"/>
        <v>450.90984806471755</v>
      </c>
      <c r="AH73" s="321">
        <f t="shared" si="155"/>
        <v>471.74444935352557</v>
      </c>
      <c r="AI73" s="321">
        <f>AH73-AI110+AI42</f>
        <v>490.69753794242104</v>
      </c>
      <c r="AJ73" s="321">
        <f t="shared" ref="AJ73" si="156">AI73-AJ110+AJ42</f>
        <v>508.31847115422482</v>
      </c>
      <c r="AL73" s="330"/>
      <c r="AM73" s="287"/>
      <c r="AN73" s="287"/>
      <c r="AO73" s="287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B73" s="324">
        <f t="shared" si="138"/>
        <v>282.2045083186332</v>
      </c>
      <c r="BC73" s="324">
        <f t="shared" si="142"/>
        <v>294.38179701930699</v>
      </c>
      <c r="BD73" s="324">
        <f t="shared" si="142"/>
        <v>310.26715214880051</v>
      </c>
      <c r="BE73" s="324">
        <f t="shared" si="142"/>
        <v>329.44158786679304</v>
      </c>
      <c r="BF73" s="324">
        <f t="shared" si="142"/>
        <v>352.11188956428884</v>
      </c>
      <c r="BG73" s="324">
        <f t="shared" si="143"/>
        <v>377.38739836651536</v>
      </c>
      <c r="BH73" s="324">
        <f t="shared" si="143"/>
        <v>404.65787475844519</v>
      </c>
      <c r="BI73" s="324">
        <f t="shared" si="143"/>
        <v>433.42530268917176</v>
      </c>
      <c r="BJ73" s="324">
        <f t="shared" si="143"/>
        <v>463.28582710141001</v>
      </c>
      <c r="BK73" s="324">
        <f t="shared" si="143"/>
        <v>488.0218091346581</v>
      </c>
      <c r="BL73" s="324">
        <f t="shared" si="143"/>
        <v>508.85115325450835</v>
      </c>
      <c r="BM73" s="324">
        <f t="shared" si="143"/>
        <v>528.24964773344288</v>
      </c>
      <c r="BN73" s="324">
        <f t="shared" si="143"/>
        <v>546.28012741162854</v>
      </c>
      <c r="BO73" s="324">
        <f t="shared" si="143"/>
        <v>563.05766202521409</v>
      </c>
      <c r="BP73" s="324">
        <f t="shared" si="143"/>
        <v>578.76714055082505</v>
      </c>
    </row>
    <row r="74" spans="3:68">
      <c r="C74" s="420" t="s">
        <v>105</v>
      </c>
      <c r="D74" s="329">
        <f>'Cintas BS'!M16</f>
        <v>2195.0509999999999</v>
      </c>
      <c r="E74" s="287">
        <f>'Cintas BS'!N16</f>
        <v>2029.370548708735</v>
      </c>
      <c r="F74" s="287">
        <f>'Cintas BS'!O16</f>
        <v>1847.1565806220494</v>
      </c>
      <c r="G74" s="287">
        <f>'Cintas BS'!P16</f>
        <v>1685.1086378426901</v>
      </c>
      <c r="H74" s="287">
        <f>'Cintas BS'!Q16</f>
        <v>1521.0459530668174</v>
      </c>
      <c r="I74" s="287">
        <f>'Cintas BS'!R16</f>
        <v>1357.9623208289088</v>
      </c>
      <c r="J74" s="287">
        <f>'Cintas BS'!S16</f>
        <v>1197.4556961830031</v>
      </c>
      <c r="K74" s="287">
        <f>'Cintas BS'!T16</f>
        <v>1039.5022074490989</v>
      </c>
      <c r="L74" s="287">
        <f>'Cintas BS'!U16</f>
        <v>887.35947969105166</v>
      </c>
      <c r="M74" s="287">
        <f>'Cintas BS'!V16</f>
        <v>737.87063396378812</v>
      </c>
      <c r="N74" s="287">
        <f>'Cintas BS'!W16</f>
        <v>595.6008216972607</v>
      </c>
      <c r="O74" s="287">
        <f>'Cintas BS'!X16</f>
        <v>461.93917597816983</v>
      </c>
      <c r="P74" s="287">
        <f>'Cintas BS'!Y16</f>
        <v>348.12900828228771</v>
      </c>
      <c r="Q74" s="287">
        <f>'Cintas BS'!Z16</f>
        <v>245.76764127119736</v>
      </c>
      <c r="R74" s="287">
        <f>'Cintas BS'!AA16</f>
        <v>166.35144260293853</v>
      </c>
      <c r="S74" s="287">
        <f>'Cintas BS'!AB16</f>
        <v>96.575897235266552</v>
      </c>
      <c r="U74" s="329">
        <f>25.118+5.565</f>
        <v>30.683</v>
      </c>
      <c r="V74" s="287">
        <f t="shared" ref="V74:Z76" si="157">U74</f>
        <v>30.683</v>
      </c>
      <c r="W74" s="287">
        <f t="shared" si="157"/>
        <v>30.683</v>
      </c>
      <c r="X74" s="287">
        <f t="shared" si="157"/>
        <v>30.683</v>
      </c>
      <c r="Y74" s="287">
        <f t="shared" si="157"/>
        <v>30.683</v>
      </c>
      <c r="Z74" s="287">
        <f t="shared" si="157"/>
        <v>30.683</v>
      </c>
      <c r="AA74" s="287">
        <f t="shared" ref="AA74:AA76" si="158">Z74</f>
        <v>30.683</v>
      </c>
      <c r="AB74" s="287">
        <f t="shared" ref="AB74:AB76" si="159">AA74</f>
        <v>30.683</v>
      </c>
      <c r="AC74" s="287">
        <f t="shared" ref="AC74:AC76" si="160">AB74</f>
        <v>30.683</v>
      </c>
      <c r="AD74" s="287">
        <f t="shared" ref="AD74:AD76" si="161">AC74</f>
        <v>30.683</v>
      </c>
      <c r="AE74" s="287">
        <f t="shared" ref="AE74:AE76" si="162">AD74</f>
        <v>30.683</v>
      </c>
      <c r="AF74" s="287">
        <f t="shared" ref="AF74:AF76" si="163">AE74</f>
        <v>30.683</v>
      </c>
      <c r="AG74" s="287">
        <f t="shared" ref="AG74:AG76" si="164">AF74</f>
        <v>30.683</v>
      </c>
      <c r="AH74" s="287">
        <f t="shared" ref="AH74:AH76" si="165">AG74</f>
        <v>30.683</v>
      </c>
      <c r="AI74" s="287">
        <f t="shared" ref="AI74:AI76" si="166">AH74</f>
        <v>30.683</v>
      </c>
      <c r="AJ74" s="287">
        <f t="shared" ref="AJ74:AJ76" si="167">AI74</f>
        <v>30.683</v>
      </c>
      <c r="AL74" s="324">
        <f>AH11</f>
        <v>4500</v>
      </c>
      <c r="AM74" s="324">
        <f>AL74-AM103</f>
        <v>4275</v>
      </c>
      <c r="AN74" s="324">
        <f t="shared" ref="AN74:AP74" si="168">AM74-AN103</f>
        <v>4050</v>
      </c>
      <c r="AO74" s="324">
        <f t="shared" si="168"/>
        <v>3825</v>
      </c>
      <c r="AP74" s="324">
        <f t="shared" si="168"/>
        <v>3600</v>
      </c>
      <c r="AQ74" s="324">
        <f t="shared" ref="AQ74" si="169">AP74-AQ103</f>
        <v>3375</v>
      </c>
      <c r="AR74" s="324">
        <f t="shared" ref="AR74" si="170">AQ74-AR103</f>
        <v>3150</v>
      </c>
      <c r="AS74" s="324">
        <f t="shared" ref="AS74" si="171">AR74-AS103</f>
        <v>2925</v>
      </c>
      <c r="AT74" s="324">
        <f t="shared" ref="AT74" si="172">AS74-AT103</f>
        <v>2700</v>
      </c>
      <c r="AU74" s="324">
        <f t="shared" ref="AU74" si="173">AT74-AU103</f>
        <v>2475</v>
      </c>
      <c r="AV74" s="324">
        <f t="shared" ref="AV74" si="174">AU74-AV103</f>
        <v>2250</v>
      </c>
      <c r="AW74" s="324">
        <f t="shared" ref="AW74" si="175">AV74-AW103</f>
        <v>2025</v>
      </c>
      <c r="AX74" s="324">
        <f t="shared" ref="AX74" si="176">AW74-AX103</f>
        <v>1800</v>
      </c>
      <c r="AY74" s="324">
        <f t="shared" ref="AY74" si="177">AX74-AY103</f>
        <v>1575</v>
      </c>
      <c r="AZ74" s="324">
        <f t="shared" ref="AZ74" si="178">AY74-AZ103</f>
        <v>1350</v>
      </c>
      <c r="BB74" s="324">
        <f t="shared" si="138"/>
        <v>6560.0535487087345</v>
      </c>
      <c r="BC74" s="324">
        <f t="shared" si="142"/>
        <v>6152.8395806220497</v>
      </c>
      <c r="BD74" s="324">
        <f t="shared" si="142"/>
        <v>5765.7916378426899</v>
      </c>
      <c r="BE74" s="324">
        <f t="shared" si="142"/>
        <v>5376.7289530668177</v>
      </c>
      <c r="BF74" s="324">
        <f t="shared" si="142"/>
        <v>4988.6453208289086</v>
      </c>
      <c r="BG74" s="324">
        <f t="shared" si="143"/>
        <v>4603.138696183003</v>
      </c>
      <c r="BH74" s="324">
        <f t="shared" si="143"/>
        <v>4220.1852074490989</v>
      </c>
      <c r="BI74" s="324">
        <f t="shared" si="143"/>
        <v>3843.0424796910515</v>
      </c>
      <c r="BJ74" s="324">
        <f t="shared" si="143"/>
        <v>3468.5536339637883</v>
      </c>
      <c r="BK74" s="324">
        <f t="shared" si="143"/>
        <v>3101.2838216972605</v>
      </c>
      <c r="BL74" s="324">
        <f t="shared" si="143"/>
        <v>2742.6221759781697</v>
      </c>
      <c r="BM74" s="324">
        <f t="shared" si="143"/>
        <v>2403.8120082822879</v>
      </c>
      <c r="BN74" s="324">
        <f t="shared" si="143"/>
        <v>2076.4506412711971</v>
      </c>
      <c r="BO74" s="324">
        <f t="shared" si="143"/>
        <v>1772.0344426029385</v>
      </c>
      <c r="BP74" s="324">
        <f t="shared" si="143"/>
        <v>1477.2588972352664</v>
      </c>
    </row>
    <row r="75" spans="3:68">
      <c r="C75" s="420" t="s">
        <v>362</v>
      </c>
      <c r="D75" s="329">
        <f>'Cintas BS'!M18</f>
        <v>415.04400000000004</v>
      </c>
      <c r="E75" s="287">
        <f>'Cintas BS'!N18</f>
        <v>415.04400000000004</v>
      </c>
      <c r="F75" s="287">
        <f>'Cintas BS'!O18</f>
        <v>415.04400000000004</v>
      </c>
      <c r="G75" s="287">
        <f>'Cintas BS'!P18</f>
        <v>415.04400000000004</v>
      </c>
      <c r="H75" s="287">
        <f>'Cintas BS'!Q18</f>
        <v>415.04400000000004</v>
      </c>
      <c r="I75" s="287">
        <f>'Cintas BS'!R18</f>
        <v>415.04400000000004</v>
      </c>
      <c r="J75" s="287">
        <f>'Cintas BS'!S18</f>
        <v>415.04400000000004</v>
      </c>
      <c r="K75" s="287">
        <f>'Cintas BS'!T18</f>
        <v>415.04400000000004</v>
      </c>
      <c r="L75" s="287">
        <f>'Cintas BS'!U18</f>
        <v>415.04400000000004</v>
      </c>
      <c r="M75" s="287">
        <f>'Cintas BS'!V18</f>
        <v>415.04400000000004</v>
      </c>
      <c r="N75" s="287">
        <f>'Cintas BS'!W18</f>
        <v>415.04400000000004</v>
      </c>
      <c r="O75" s="287">
        <f>'Cintas BS'!X18</f>
        <v>415.04400000000004</v>
      </c>
      <c r="P75" s="287">
        <f>'Cintas BS'!Y18</f>
        <v>415.04400000000004</v>
      </c>
      <c r="Q75" s="287">
        <f>'Cintas BS'!Z18</f>
        <v>415.04400000000004</v>
      </c>
      <c r="R75" s="287">
        <f>'Cintas BS'!AA18</f>
        <v>415.04400000000004</v>
      </c>
      <c r="S75" s="287">
        <f>'Cintas BS'!AB18</f>
        <v>415.04400000000004</v>
      </c>
      <c r="U75" s="329">
        <f>20.777+7.795</f>
        <v>28.572000000000003</v>
      </c>
      <c r="V75" s="287">
        <f t="shared" ref="V75" si="179">U75</f>
        <v>28.572000000000003</v>
      </c>
      <c r="W75" s="287">
        <f t="shared" ref="W75" si="180">V75</f>
        <v>28.572000000000003</v>
      </c>
      <c r="X75" s="287">
        <f t="shared" ref="X75" si="181">W75</f>
        <v>28.572000000000003</v>
      </c>
      <c r="Y75" s="287">
        <f t="shared" ref="Y75" si="182">X75</f>
        <v>28.572000000000003</v>
      </c>
      <c r="Z75" s="287">
        <f t="shared" ref="Z75" si="183">Y75</f>
        <v>28.572000000000003</v>
      </c>
      <c r="AA75" s="287">
        <f t="shared" si="158"/>
        <v>28.572000000000003</v>
      </c>
      <c r="AB75" s="287">
        <f t="shared" si="159"/>
        <v>28.572000000000003</v>
      </c>
      <c r="AC75" s="287">
        <f t="shared" si="160"/>
        <v>28.572000000000003</v>
      </c>
      <c r="AD75" s="287">
        <f t="shared" si="161"/>
        <v>28.572000000000003</v>
      </c>
      <c r="AE75" s="287">
        <f t="shared" si="162"/>
        <v>28.572000000000003</v>
      </c>
      <c r="AF75" s="287">
        <f t="shared" si="163"/>
        <v>28.572000000000003</v>
      </c>
      <c r="AG75" s="287">
        <f t="shared" si="164"/>
        <v>28.572000000000003</v>
      </c>
      <c r="AH75" s="287">
        <f t="shared" si="165"/>
        <v>28.572000000000003</v>
      </c>
      <c r="AI75" s="287">
        <f t="shared" si="166"/>
        <v>28.572000000000003</v>
      </c>
      <c r="AJ75" s="287">
        <f t="shared" si="167"/>
        <v>28.572000000000003</v>
      </c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B75" s="324">
        <f t="shared" si="138"/>
        <v>443.61600000000004</v>
      </c>
      <c r="BC75" s="324">
        <f t="shared" si="142"/>
        <v>443.61600000000004</v>
      </c>
      <c r="BD75" s="324">
        <f t="shared" si="142"/>
        <v>443.61600000000004</v>
      </c>
      <c r="BE75" s="324">
        <f t="shared" si="142"/>
        <v>443.61600000000004</v>
      </c>
      <c r="BF75" s="324">
        <f t="shared" si="142"/>
        <v>443.61600000000004</v>
      </c>
      <c r="BG75" s="324">
        <f t="shared" si="143"/>
        <v>443.61600000000004</v>
      </c>
      <c r="BH75" s="324">
        <f t="shared" si="143"/>
        <v>443.61600000000004</v>
      </c>
      <c r="BI75" s="324">
        <f t="shared" si="143"/>
        <v>443.61600000000004</v>
      </c>
      <c r="BJ75" s="324">
        <f t="shared" si="143"/>
        <v>443.61600000000004</v>
      </c>
      <c r="BK75" s="324">
        <f t="shared" si="143"/>
        <v>443.61600000000004</v>
      </c>
      <c r="BL75" s="324">
        <f t="shared" si="143"/>
        <v>443.61600000000004</v>
      </c>
      <c r="BM75" s="324">
        <f t="shared" si="143"/>
        <v>443.61600000000004</v>
      </c>
      <c r="BN75" s="324">
        <f t="shared" si="143"/>
        <v>443.61600000000004</v>
      </c>
      <c r="BO75" s="324">
        <f t="shared" si="143"/>
        <v>443.61600000000004</v>
      </c>
      <c r="BP75" s="324">
        <f t="shared" si="143"/>
        <v>443.61600000000004</v>
      </c>
    </row>
    <row r="76" spans="3:68">
      <c r="C76" s="285" t="s">
        <v>106</v>
      </c>
      <c r="D76" s="329">
        <f>'Cintas BS'!M17</f>
        <v>958.303</v>
      </c>
      <c r="E76" s="287">
        <f>'Cintas BS'!N17</f>
        <v>958.303</v>
      </c>
      <c r="F76" s="287">
        <f>'Cintas BS'!O17</f>
        <v>958.303</v>
      </c>
      <c r="G76" s="287">
        <f>'Cintas BS'!P17</f>
        <v>958.303</v>
      </c>
      <c r="H76" s="287">
        <f>'Cintas BS'!Q17</f>
        <v>958.303</v>
      </c>
      <c r="I76" s="287">
        <f>'Cintas BS'!R17</f>
        <v>958.303</v>
      </c>
      <c r="J76" s="287">
        <f>'Cintas BS'!S17</f>
        <v>958.303</v>
      </c>
      <c r="K76" s="287">
        <f>'Cintas BS'!T17</f>
        <v>958.303</v>
      </c>
      <c r="L76" s="287">
        <f>'Cintas BS'!U17</f>
        <v>958.303</v>
      </c>
      <c r="M76" s="287">
        <f>'Cintas BS'!V17</f>
        <v>958.303</v>
      </c>
      <c r="N76" s="287">
        <f>'Cintas BS'!W17</f>
        <v>958.303</v>
      </c>
      <c r="O76" s="287">
        <f>'Cintas BS'!X17</f>
        <v>958.303</v>
      </c>
      <c r="P76" s="287">
        <f>'Cintas BS'!Y17</f>
        <v>958.303</v>
      </c>
      <c r="Q76" s="287">
        <f>'Cintas BS'!Z17</f>
        <v>958.303</v>
      </c>
      <c r="R76" s="287">
        <f>'Cintas BS'!AA17</f>
        <v>958.303</v>
      </c>
      <c r="S76" s="287">
        <f>'Cintas BS'!AB17</f>
        <v>958.303</v>
      </c>
      <c r="U76" s="329">
        <v>6.9589999999999996</v>
      </c>
      <c r="V76" s="287">
        <f>U76</f>
        <v>6.9589999999999996</v>
      </c>
      <c r="W76" s="287">
        <f t="shared" si="157"/>
        <v>6.9589999999999996</v>
      </c>
      <c r="X76" s="287">
        <f t="shared" si="157"/>
        <v>6.9589999999999996</v>
      </c>
      <c r="Y76" s="287">
        <f t="shared" si="157"/>
        <v>6.9589999999999996</v>
      </c>
      <c r="Z76" s="287">
        <f t="shared" si="157"/>
        <v>6.9589999999999996</v>
      </c>
      <c r="AA76" s="287">
        <f t="shared" si="158"/>
        <v>6.9589999999999996</v>
      </c>
      <c r="AB76" s="287">
        <f t="shared" si="159"/>
        <v>6.9589999999999996</v>
      </c>
      <c r="AC76" s="287">
        <f t="shared" si="160"/>
        <v>6.9589999999999996</v>
      </c>
      <c r="AD76" s="287">
        <f t="shared" si="161"/>
        <v>6.9589999999999996</v>
      </c>
      <c r="AE76" s="287">
        <f t="shared" si="162"/>
        <v>6.9589999999999996</v>
      </c>
      <c r="AF76" s="287">
        <f t="shared" si="163"/>
        <v>6.9589999999999996</v>
      </c>
      <c r="AG76" s="287">
        <f t="shared" si="164"/>
        <v>6.9589999999999996</v>
      </c>
      <c r="AH76" s="287">
        <f t="shared" si="165"/>
        <v>6.9589999999999996</v>
      </c>
      <c r="AI76" s="287">
        <f t="shared" si="166"/>
        <v>6.9589999999999996</v>
      </c>
      <c r="AJ76" s="287">
        <f t="shared" si="167"/>
        <v>6.9589999999999996</v>
      </c>
      <c r="AL76" s="324">
        <f>AH12</f>
        <v>1978.0266956748674</v>
      </c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B76" s="324">
        <f t="shared" si="138"/>
        <v>2943.2886956748675</v>
      </c>
      <c r="BC76" s="321">
        <f>BB76</f>
        <v>2943.2886956748675</v>
      </c>
      <c r="BD76" s="321">
        <f t="shared" ref="BD76:BF76" si="184">BC76</f>
        <v>2943.2886956748675</v>
      </c>
      <c r="BE76" s="321">
        <f t="shared" si="184"/>
        <v>2943.2886956748675</v>
      </c>
      <c r="BF76" s="321">
        <f t="shared" si="184"/>
        <v>2943.2886956748675</v>
      </c>
      <c r="BG76" s="321">
        <f t="shared" ref="BG76" si="185">BF76</f>
        <v>2943.2886956748675</v>
      </c>
      <c r="BH76" s="321">
        <f t="shared" ref="BH76" si="186">BG76</f>
        <v>2943.2886956748675</v>
      </c>
      <c r="BI76" s="321">
        <f t="shared" ref="BI76" si="187">BH76</f>
        <v>2943.2886956748675</v>
      </c>
      <c r="BJ76" s="321">
        <f t="shared" ref="BJ76" si="188">BI76</f>
        <v>2943.2886956748675</v>
      </c>
      <c r="BK76" s="321">
        <f t="shared" ref="BK76" si="189">BJ76</f>
        <v>2943.2886956748675</v>
      </c>
      <c r="BL76" s="321">
        <f t="shared" ref="BL76" si="190">BK76</f>
        <v>2943.2886956748675</v>
      </c>
      <c r="BM76" s="321">
        <f t="shared" ref="BM76" si="191">BL76</f>
        <v>2943.2886956748675</v>
      </c>
      <c r="BN76" s="321">
        <f t="shared" ref="BN76" si="192">BM76</f>
        <v>2943.2886956748675</v>
      </c>
      <c r="BO76" s="321">
        <f t="shared" ref="BO76" si="193">BN76</f>
        <v>2943.2886956748675</v>
      </c>
      <c r="BP76" s="321">
        <f t="shared" ref="BP76" si="194">BO76</f>
        <v>2943.2886956748675</v>
      </c>
    </row>
    <row r="77" spans="3:68" ht="12">
      <c r="C77" s="318" t="s">
        <v>266</v>
      </c>
      <c r="D77" s="327">
        <f t="shared" ref="D77:I77" si="195">SUM(D68:D76)</f>
        <v>6535.9009999999998</v>
      </c>
      <c r="E77" s="327">
        <f t="shared" ca="1" si="195"/>
        <v>6682.790556867285</v>
      </c>
      <c r="F77" s="327">
        <f t="shared" ca="1" si="195"/>
        <v>6863.9336273994413</v>
      </c>
      <c r="G77" s="327">
        <f t="shared" ca="1" si="195"/>
        <v>7343.6546539299507</v>
      </c>
      <c r="H77" s="327">
        <f t="shared" ca="1" si="195"/>
        <v>8438.9665031039785</v>
      </c>
      <c r="I77" s="327">
        <f t="shared" ca="1" si="195"/>
        <v>9520.9799458660927</v>
      </c>
      <c r="J77" s="327">
        <f t="shared" ref="J77:S77" ca="1" si="196">SUM(J68:J76)</f>
        <v>10583.280858351207</v>
      </c>
      <c r="K77" s="327">
        <f t="shared" ca="1" si="196"/>
        <v>11729.292062893957</v>
      </c>
      <c r="L77" s="327">
        <f t="shared" ca="1" si="196"/>
        <v>12828.041420578627</v>
      </c>
      <c r="M77" s="327">
        <f t="shared" ca="1" si="196"/>
        <v>13916.510651132799</v>
      </c>
      <c r="N77" s="327">
        <f t="shared" ca="1" si="196"/>
        <v>14945.002976072525</v>
      </c>
      <c r="O77" s="327">
        <f t="shared" ca="1" si="196"/>
        <v>15911.84587785469</v>
      </c>
      <c r="P77" s="327">
        <f t="shared" ca="1" si="196"/>
        <v>16716.948770110896</v>
      </c>
      <c r="Q77" s="327">
        <f t="shared" ca="1" si="196"/>
        <v>17465.007478171341</v>
      </c>
      <c r="R77" s="327">
        <f t="shared" ca="1" si="196"/>
        <v>18029.769196327386</v>
      </c>
      <c r="S77" s="327">
        <f t="shared" ca="1" si="196"/>
        <v>18561.657108449643</v>
      </c>
      <c r="T77" s="327"/>
      <c r="U77" s="327">
        <f t="shared" ref="U77:Z77" si="197">SUM(U68:U76)</f>
        <v>939.51099999999997</v>
      </c>
      <c r="V77" s="327">
        <f t="shared" si="197"/>
        <v>1018.9363699882626</v>
      </c>
      <c r="W77" s="327">
        <f t="shared" si="197"/>
        <v>1073.5479175090197</v>
      </c>
      <c r="X77" s="327">
        <f t="shared" si="197"/>
        <v>1149.5048867981516</v>
      </c>
      <c r="Y77" s="327">
        <f t="shared" si="197"/>
        <v>1246.3513408431852</v>
      </c>
      <c r="Z77" s="327">
        <f t="shared" si="197"/>
        <v>1380.7830256734708</v>
      </c>
      <c r="AA77" s="327">
        <f t="shared" ref="AA77:AI77" si="198">SUM(AA68:AA76)</f>
        <v>1637.7372647691379</v>
      </c>
      <c r="AB77" s="327">
        <f t="shared" si="198"/>
        <v>1963.0846892998491</v>
      </c>
      <c r="AC77" s="327">
        <f t="shared" si="198"/>
        <v>2357.9533919132909</v>
      </c>
      <c r="AD77" s="327">
        <f t="shared" si="198"/>
        <v>2827.0532138755939</v>
      </c>
      <c r="AE77" s="327">
        <f t="shared" si="198"/>
        <v>3194.4619629911554</v>
      </c>
      <c r="AF77" s="327">
        <f t="shared" si="198"/>
        <v>3544.2753211280633</v>
      </c>
      <c r="AG77" s="327">
        <f t="shared" si="198"/>
        <v>3918.6236271701414</v>
      </c>
      <c r="AH77" s="327">
        <f t="shared" si="198"/>
        <v>4292.5395926067758</v>
      </c>
      <c r="AI77" s="327">
        <f t="shared" si="198"/>
        <v>4651.3680690508063</v>
      </c>
      <c r="AJ77" s="327">
        <f t="shared" ref="AJ77" si="199">SUM(AJ68:AJ76)</f>
        <v>5012.6576026631192</v>
      </c>
      <c r="AK77" s="327"/>
      <c r="AL77" s="327"/>
      <c r="AM77" s="327"/>
      <c r="AN77" s="327"/>
      <c r="AO77" s="327"/>
      <c r="AP77" s="327"/>
      <c r="AQ77" s="327"/>
      <c r="AR77" s="327"/>
      <c r="AS77" s="327"/>
      <c r="AT77" s="327"/>
      <c r="AU77" s="327"/>
      <c r="AV77" s="327"/>
      <c r="AW77" s="327"/>
      <c r="AX77" s="327"/>
      <c r="AY77" s="327"/>
      <c r="AZ77" s="327"/>
      <c r="BA77" s="327"/>
      <c r="BB77" s="331">
        <f ca="1">SUM(BB68:BB76)</f>
        <v>13461.078422530414</v>
      </c>
      <c r="BC77" s="331">
        <f t="shared" ref="BC77:BF77" ca="1" si="200">SUM(BC68:BC76)</f>
        <v>13148.956551837518</v>
      </c>
      <c r="BD77" s="331">
        <f t="shared" ca="1" si="200"/>
        <v>12953.672430565111</v>
      </c>
      <c r="BE77" s="331">
        <f t="shared" ca="1" si="200"/>
        <v>13005.400945421858</v>
      </c>
      <c r="BF77" s="331">
        <f t="shared" ca="1" si="200"/>
        <v>13087.251178396422</v>
      </c>
      <c r="BG77" s="331">
        <f t="shared" ref="BG77:BP77" ca="1" si="201">SUM(BG68:BG76)</f>
        <v>13186.647591499244</v>
      </c>
      <c r="BH77" s="331">
        <f t="shared" ca="1" si="201"/>
        <v>13758.609201739702</v>
      </c>
      <c r="BI77" s="331">
        <f t="shared" ca="1" si="201"/>
        <v>15054.882596860703</v>
      </c>
      <c r="BJ77" s="331">
        <f t="shared" ca="1" si="201"/>
        <v>16638.769026966493</v>
      </c>
      <c r="BK77" s="331">
        <f t="shared" ca="1" si="201"/>
        <v>18144.579407784706</v>
      </c>
      <c r="BL77" s="331">
        <f t="shared" ca="1" si="201"/>
        <v>19610.800352949929</v>
      </c>
      <c r="BM77" s="331">
        <f t="shared" ca="1" si="201"/>
        <v>20952.294047382711</v>
      </c>
      <c r="BN77" s="331">
        <f t="shared" ca="1" si="201"/>
        <v>22249.772416930005</v>
      </c>
      <c r="BO77" s="331">
        <f t="shared" ca="1" si="201"/>
        <v>23349.796381435921</v>
      </c>
      <c r="BP77" s="331">
        <f t="shared" ca="1" si="201"/>
        <v>24428.354684143033</v>
      </c>
    </row>
    <row r="78" spans="3:68"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L78" s="330"/>
      <c r="AM78" s="330"/>
      <c r="AN78" s="330"/>
      <c r="AO78" s="330"/>
      <c r="AP78" s="330"/>
      <c r="AQ78" s="330"/>
      <c r="AR78" s="330"/>
      <c r="AS78" s="330"/>
      <c r="AT78" s="330"/>
      <c r="AU78" s="330"/>
      <c r="AV78" s="330"/>
      <c r="AW78" s="330"/>
      <c r="AX78" s="330"/>
      <c r="AY78" s="330"/>
      <c r="AZ78" s="330"/>
      <c r="BB78" s="287"/>
      <c r="BC78" s="28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</row>
    <row r="79" spans="3:68" ht="12">
      <c r="C79" s="278" t="s">
        <v>267</v>
      </c>
      <c r="D79" s="287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7"/>
      <c r="R79" s="287"/>
      <c r="S79" s="287"/>
      <c r="U79" s="287"/>
      <c r="V79" s="287"/>
      <c r="W79" s="287"/>
      <c r="X79" s="287"/>
      <c r="Y79" s="287"/>
      <c r="Z79" s="287"/>
      <c r="AA79" s="287"/>
      <c r="AB79" s="287"/>
      <c r="AC79" s="287"/>
      <c r="AD79" s="287"/>
      <c r="AE79" s="287"/>
      <c r="AF79" s="287"/>
      <c r="AG79" s="287"/>
      <c r="AH79" s="287"/>
      <c r="AI79" s="287"/>
      <c r="AJ79" s="287"/>
      <c r="AL79" s="330"/>
      <c r="AM79" s="330"/>
      <c r="AN79" s="330"/>
      <c r="AO79" s="330"/>
      <c r="AP79" s="330"/>
      <c r="AQ79" s="330"/>
      <c r="AR79" s="330"/>
      <c r="AS79" s="330"/>
      <c r="AT79" s="330"/>
      <c r="AU79" s="330"/>
      <c r="AV79" s="330"/>
      <c r="AW79" s="330"/>
      <c r="AX79" s="330"/>
      <c r="AY79" s="330"/>
      <c r="AZ79" s="330"/>
      <c r="BB79" s="287"/>
      <c r="BC79" s="287"/>
      <c r="BD79" s="287"/>
      <c r="BE79" s="287"/>
      <c r="BF79" s="287"/>
      <c r="BG79" s="287"/>
      <c r="BH79" s="287"/>
      <c r="BI79" s="287"/>
      <c r="BJ79" s="287"/>
      <c r="BK79" s="287"/>
      <c r="BL79" s="287"/>
      <c r="BM79" s="287"/>
      <c r="BN79" s="287"/>
      <c r="BO79" s="287"/>
      <c r="BP79" s="287"/>
    </row>
    <row r="80" spans="3:68">
      <c r="C80" s="285" t="s">
        <v>268</v>
      </c>
      <c r="D80" s="329">
        <f>'Cintas BS'!M21</f>
        <v>26.945</v>
      </c>
      <c r="E80" s="332">
        <f>'Cintas BS'!N21</f>
        <v>29.465784148983079</v>
      </c>
      <c r="F80" s="332">
        <f>'Cintas BS'!O21</f>
        <v>32.406221800622482</v>
      </c>
      <c r="G80" s="332">
        <f>'Cintas BS'!P21</f>
        <v>28.819753124218476</v>
      </c>
      <c r="H80" s="332">
        <f>'Cintas BS'!Q21</f>
        <v>29.178069101284386</v>
      </c>
      <c r="I80" s="332">
        <f>'Cintas BS'!R21</f>
        <v>29.003947468168821</v>
      </c>
      <c r="J80" s="332">
        <f>'Cintas BS'!S21</f>
        <v>28.545634197867777</v>
      </c>
      <c r="K80" s="332">
        <f>'Cintas BS'!T21</f>
        <v>28.091566436102688</v>
      </c>
      <c r="L80" s="332">
        <f>'Cintas BS'!U21</f>
        <v>27.058139575410891</v>
      </c>
      <c r="M80" s="332">
        <f>'Cintas BS'!V21</f>
        <v>26.586154410797423</v>
      </c>
      <c r="N80" s="332">
        <f>'Cintas BS'!W21</f>
        <v>25.302270403598623</v>
      </c>
      <c r="O80" s="332">
        <f>'Cintas BS'!X21</f>
        <v>23.771333135934178</v>
      </c>
      <c r="P80" s="332">
        <f>'Cintas BS'!Y21</f>
        <v>20.240805774912996</v>
      </c>
      <c r="Q80" s="332">
        <f>'Cintas BS'!Z21</f>
        <v>18.204670026165246</v>
      </c>
      <c r="R80" s="332">
        <f>'Cintas BS'!AA21</f>
        <v>14.123938881466836</v>
      </c>
      <c r="S80" s="332">
        <f>'Cintas BS'!AB21</f>
        <v>12.409376861649054</v>
      </c>
      <c r="U80" s="329">
        <f>'Vestis Corporation PNL'!R62</f>
        <v>21.87</v>
      </c>
      <c r="V80" s="332">
        <f>'Vestis Corporation PNL'!W62</f>
        <v>24.56006588991804</v>
      </c>
      <c r="W80" s="332">
        <f>'Vestis Corporation PNL'!X62</f>
        <v>28.034291876003756</v>
      </c>
      <c r="X80" s="332">
        <f>'Vestis Corporation PNL'!Y62</f>
        <v>33.186968945469829</v>
      </c>
      <c r="Y80" s="332">
        <f>'Vestis Corporation PNL'!Z62</f>
        <v>38.647669590761232</v>
      </c>
      <c r="Z80" s="332">
        <f>'Vestis Corporation PNL'!AA62</f>
        <v>44.312104976778251</v>
      </c>
      <c r="AA80" s="332">
        <f>'Vestis Corporation PNL'!AB62</f>
        <v>48.450748944122886</v>
      </c>
      <c r="AB80" s="332">
        <f>'Vestis Corporation PNL'!AC62</f>
        <v>51.594030335205673</v>
      </c>
      <c r="AC80" s="332">
        <f>'Vestis Corporation PNL'!AD62</f>
        <v>53.778409154996027</v>
      </c>
      <c r="AD80" s="332">
        <f>'Vestis Corporation PNL'!AE62</f>
        <v>55.444562684363518</v>
      </c>
      <c r="AE80" s="332">
        <f>'Vestis Corporation PNL'!AF62</f>
        <v>46.754033378067433</v>
      </c>
      <c r="AF80" s="332">
        <f>'Vestis Corporation PNL'!AG62</f>
        <v>39.990023806319201</v>
      </c>
      <c r="AG80" s="332">
        <f>'Vestis Corporation PNL'!AH62</f>
        <v>36.765685133652397</v>
      </c>
      <c r="AH80" s="332">
        <f>'Vestis Corporation PNL'!AI62</f>
        <v>34.019805525871611</v>
      </c>
      <c r="AI80" s="332">
        <f>'Vestis Corporation PNL'!AJ62</f>
        <v>30.947575092555521</v>
      </c>
      <c r="AJ80" s="332">
        <f>'Vestis Corporation PNL'!AK62</f>
        <v>28.772363470759508</v>
      </c>
      <c r="AL80" s="330"/>
      <c r="AM80" s="330"/>
      <c r="AN80" s="330"/>
      <c r="AO80" s="330"/>
      <c r="AP80" s="330"/>
      <c r="AQ80" s="330"/>
      <c r="AR80" s="330"/>
      <c r="AS80" s="330"/>
      <c r="AT80" s="330"/>
      <c r="AU80" s="330"/>
      <c r="AV80" s="330"/>
      <c r="AW80" s="330"/>
      <c r="AX80" s="330"/>
      <c r="AY80" s="330"/>
      <c r="AZ80" s="330"/>
      <c r="BB80" s="324">
        <f t="shared" ref="BB80:BF83" si="202">AL80+V80+E80</f>
        <v>54.025850038901119</v>
      </c>
      <c r="BC80" s="324">
        <f t="shared" si="202"/>
        <v>60.440513676626239</v>
      </c>
      <c r="BD80" s="324">
        <f t="shared" si="202"/>
        <v>62.006722069688308</v>
      </c>
      <c r="BE80" s="324">
        <f t="shared" si="202"/>
        <v>67.825738692045618</v>
      </c>
      <c r="BF80" s="324">
        <f t="shared" si="202"/>
        <v>73.316052444947076</v>
      </c>
      <c r="BG80" s="324">
        <f t="shared" ref="BG80:BP83" si="203">AQ80+AA80+J80</f>
        <v>76.996383141990663</v>
      </c>
      <c r="BH80" s="324">
        <f t="shared" si="203"/>
        <v>79.685596771308354</v>
      </c>
      <c r="BI80" s="324">
        <f t="shared" si="203"/>
        <v>80.836548730406918</v>
      </c>
      <c r="BJ80" s="324">
        <f t="shared" si="203"/>
        <v>82.030717095160938</v>
      </c>
      <c r="BK80" s="324">
        <f t="shared" si="203"/>
        <v>72.05630378166606</v>
      </c>
      <c r="BL80" s="324">
        <f t="shared" si="203"/>
        <v>63.761356942253379</v>
      </c>
      <c r="BM80" s="324">
        <f t="shared" si="203"/>
        <v>57.006490908565397</v>
      </c>
      <c r="BN80" s="324">
        <f t="shared" si="203"/>
        <v>52.224475552036857</v>
      </c>
      <c r="BO80" s="324">
        <f t="shared" si="203"/>
        <v>45.071513974022359</v>
      </c>
      <c r="BP80" s="324">
        <f t="shared" si="203"/>
        <v>41.181740332408566</v>
      </c>
    </row>
    <row r="81" spans="3:68">
      <c r="C81" s="285" t="s">
        <v>109</v>
      </c>
      <c r="D81" s="329">
        <f>'Cintas BS'!M22</f>
        <v>352.73200000000003</v>
      </c>
      <c r="E81" s="287">
        <f>'Cintas BS'!N22</f>
        <v>373.80190261426594</v>
      </c>
      <c r="F81" s="287">
        <f>'Cintas BS'!O22</f>
        <v>411.10419136870814</v>
      </c>
      <c r="G81" s="287">
        <f>'Cintas BS'!P22</f>
        <v>365.6063757284428</v>
      </c>
      <c r="H81" s="287">
        <f>'Cintas BS'!Q22</f>
        <v>370.15195962626512</v>
      </c>
      <c r="I81" s="287">
        <f>'Cintas BS'!R22</f>
        <v>367.9430587052575</v>
      </c>
      <c r="J81" s="287">
        <f>'Cintas BS'!S22</f>
        <v>362.12891265824624</v>
      </c>
      <c r="K81" s="287">
        <f>'Cintas BS'!T22</f>
        <v>356.36862498338218</v>
      </c>
      <c r="L81" s="287">
        <f>'Cintas BS'!U22</f>
        <v>343.25860813176507</v>
      </c>
      <c r="M81" s="287">
        <f>'Cintas BS'!V22</f>
        <v>337.27102091378464</v>
      </c>
      <c r="N81" s="287">
        <f>'Cintas BS'!W22</f>
        <v>320.98371349985644</v>
      </c>
      <c r="O81" s="287">
        <f>'Cintas BS'!X22</f>
        <v>301.56229710236323</v>
      </c>
      <c r="P81" s="287">
        <f>'Cintas BS'!Y22</f>
        <v>256.77415102388915</v>
      </c>
      <c r="Q81" s="287">
        <f>'Cintas BS'!Z22</f>
        <v>230.94380444242543</v>
      </c>
      <c r="R81" s="287">
        <f>'Cintas BS'!AA22</f>
        <v>179.1757924922598</v>
      </c>
      <c r="S81" s="287">
        <f>'Cintas BS'!AB22</f>
        <v>157.42491893947962</v>
      </c>
      <c r="U81" s="329">
        <f>'Vestis Corporation PNL'!R64</f>
        <v>127.849</v>
      </c>
      <c r="V81" s="287">
        <f>'Vestis Corporation PNL'!W64</f>
        <v>183.17169110372512</v>
      </c>
      <c r="W81" s="287">
        <f>'Vestis Corporation PNL'!X64</f>
        <v>209.08285323171719</v>
      </c>
      <c r="X81" s="287">
        <f>'Vestis Corporation PNL'!Y64</f>
        <v>247.51208940542489</v>
      </c>
      <c r="Y81" s="287">
        <f>'Vestis Corporation PNL'!Z64</f>
        <v>288.2385995171033</v>
      </c>
      <c r="Z81" s="287">
        <f>'Vestis Corporation PNL'!AA64</f>
        <v>330.48458588599334</v>
      </c>
      <c r="AA81" s="287">
        <f>'Vestis Corporation PNL'!AB64</f>
        <v>361.35105089356222</v>
      </c>
      <c r="AB81" s="287">
        <f>'Vestis Corporation PNL'!AC64</f>
        <v>384.79399158436325</v>
      </c>
      <c r="AC81" s="287">
        <f>'Vestis Corporation PNL'!AD64</f>
        <v>401.08533071291146</v>
      </c>
      <c r="AD81" s="287">
        <f>'Vestis Corporation PNL'!AE64</f>
        <v>413.51168823901162</v>
      </c>
      <c r="AE81" s="287">
        <f>'Vestis Corporation PNL'!AF64</f>
        <v>348.69675831350986</v>
      </c>
      <c r="AF81" s="287">
        <f>'Vestis Corporation PNL'!AG64</f>
        <v>298.25002590439561</v>
      </c>
      <c r="AG81" s="287">
        <f>'Vestis Corporation PNL'!AH64</f>
        <v>274.20255103153835</v>
      </c>
      <c r="AH81" s="287">
        <f>'Vestis Corporation PNL'!AI64</f>
        <v>253.72347684750264</v>
      </c>
      <c r="AI81" s="287">
        <f>'Vestis Corporation PNL'!AJ64</f>
        <v>230.81044206766322</v>
      </c>
      <c r="AJ81" s="287">
        <f>'Vestis Corporation PNL'!AK64</f>
        <v>214.58747291690011</v>
      </c>
      <c r="AL81" s="330"/>
      <c r="AM81" s="330"/>
      <c r="AN81" s="330"/>
      <c r="AO81" s="330"/>
      <c r="AP81" s="330"/>
      <c r="AQ81" s="330"/>
      <c r="AR81" s="330"/>
      <c r="AS81" s="330"/>
      <c r="AT81" s="330"/>
      <c r="AU81" s="330"/>
      <c r="AV81" s="330"/>
      <c r="AW81" s="330"/>
      <c r="AX81" s="330"/>
      <c r="AY81" s="330"/>
      <c r="AZ81" s="330"/>
      <c r="BB81" s="324">
        <f t="shared" si="202"/>
        <v>556.97359371799109</v>
      </c>
      <c r="BC81" s="324">
        <f t="shared" si="202"/>
        <v>620.18704460042534</v>
      </c>
      <c r="BD81" s="324">
        <f t="shared" si="202"/>
        <v>613.11846513386763</v>
      </c>
      <c r="BE81" s="324">
        <f t="shared" si="202"/>
        <v>658.39055914336836</v>
      </c>
      <c r="BF81" s="324">
        <f t="shared" si="202"/>
        <v>698.42764459125078</v>
      </c>
      <c r="BG81" s="324">
        <f t="shared" si="203"/>
        <v>723.4799635518084</v>
      </c>
      <c r="BH81" s="324">
        <f t="shared" si="203"/>
        <v>741.16261656774543</v>
      </c>
      <c r="BI81" s="324">
        <f t="shared" si="203"/>
        <v>744.34393884467659</v>
      </c>
      <c r="BJ81" s="324">
        <f t="shared" si="203"/>
        <v>750.78270915279631</v>
      </c>
      <c r="BK81" s="324">
        <f t="shared" si="203"/>
        <v>669.68047181336624</v>
      </c>
      <c r="BL81" s="324">
        <f t="shared" si="203"/>
        <v>599.81232300675879</v>
      </c>
      <c r="BM81" s="324">
        <f t="shared" si="203"/>
        <v>530.97670205542749</v>
      </c>
      <c r="BN81" s="324">
        <f t="shared" si="203"/>
        <v>484.66728128992804</v>
      </c>
      <c r="BO81" s="324">
        <f t="shared" si="203"/>
        <v>409.98623455992299</v>
      </c>
      <c r="BP81" s="324">
        <f t="shared" si="203"/>
        <v>372.01239185637974</v>
      </c>
    </row>
    <row r="82" spans="3:68">
      <c r="C82" s="285" t="s">
        <v>111</v>
      </c>
      <c r="D82" s="329">
        <f>'Cintas BS'!M24</f>
        <v>246.322</v>
      </c>
      <c r="E82" s="287">
        <f>'Cintas BS'!N24</f>
        <v>246.322</v>
      </c>
      <c r="F82" s="287">
        <f>'Cintas BS'!O24</f>
        <v>246.322</v>
      </c>
      <c r="G82" s="287">
        <f>'Cintas BS'!P24</f>
        <v>246.322</v>
      </c>
      <c r="H82" s="287">
        <f>'Cintas BS'!Q24</f>
        <v>246.322</v>
      </c>
      <c r="I82" s="287">
        <f>'Cintas BS'!R24</f>
        <v>246.322</v>
      </c>
      <c r="J82" s="287">
        <f>'Cintas BS'!S24</f>
        <v>246.322</v>
      </c>
      <c r="K82" s="287">
        <f>'Cintas BS'!T24</f>
        <v>246.322</v>
      </c>
      <c r="L82" s="287">
        <f>'Cintas BS'!U24</f>
        <v>246.322</v>
      </c>
      <c r="M82" s="287">
        <f>'Cintas BS'!V24</f>
        <v>246.322</v>
      </c>
      <c r="N82" s="287">
        <f>'Cintas BS'!W24</f>
        <v>246.322</v>
      </c>
      <c r="O82" s="287">
        <f>'Cintas BS'!X24</f>
        <v>246.322</v>
      </c>
      <c r="P82" s="287">
        <f>'Cintas BS'!Y24</f>
        <v>246.322</v>
      </c>
      <c r="Q82" s="287">
        <f>'Cintas BS'!Z24</f>
        <v>246.322</v>
      </c>
      <c r="R82" s="287">
        <f>'Cintas BS'!AA24</f>
        <v>246.322</v>
      </c>
      <c r="S82" s="287">
        <f>'Cintas BS'!AB24</f>
        <v>246.322</v>
      </c>
      <c r="U82" s="329">
        <v>0</v>
      </c>
      <c r="V82" s="287">
        <f>U82</f>
        <v>0</v>
      </c>
      <c r="W82" s="287">
        <f t="shared" ref="W82" si="204">V82</f>
        <v>0</v>
      </c>
      <c r="X82" s="287">
        <f t="shared" ref="X82" si="205">W82</f>
        <v>0</v>
      </c>
      <c r="Y82" s="287">
        <f t="shared" ref="Y82" si="206">X82</f>
        <v>0</v>
      </c>
      <c r="Z82" s="287">
        <f t="shared" ref="Z82" si="207">Y82</f>
        <v>0</v>
      </c>
      <c r="AA82" s="287">
        <f t="shared" ref="AA82:AA83" si="208">Z82</f>
        <v>0</v>
      </c>
      <c r="AB82" s="287">
        <f t="shared" ref="AB82:AB83" si="209">AA82</f>
        <v>0</v>
      </c>
      <c r="AC82" s="287">
        <f t="shared" ref="AC82:AC83" si="210">AB82</f>
        <v>0</v>
      </c>
      <c r="AD82" s="287">
        <f t="shared" ref="AD82:AD83" si="211">AC82</f>
        <v>0</v>
      </c>
      <c r="AE82" s="287">
        <f t="shared" ref="AE82:AE83" si="212">AD82</f>
        <v>0</v>
      </c>
      <c r="AF82" s="287">
        <f t="shared" ref="AF82:AF83" si="213">AE82</f>
        <v>0</v>
      </c>
      <c r="AG82" s="287">
        <f t="shared" ref="AG82:AG83" si="214">AF82</f>
        <v>0</v>
      </c>
      <c r="AH82" s="287">
        <f t="shared" ref="AH82:AH83" si="215">AG82</f>
        <v>0</v>
      </c>
      <c r="AI82" s="287">
        <f t="shared" ref="AI82:AI83" si="216">AH82</f>
        <v>0</v>
      </c>
      <c r="AJ82" s="287">
        <f t="shared" ref="AJ82:AJ83" si="217">AI82</f>
        <v>0</v>
      </c>
      <c r="AL82" s="330"/>
      <c r="AM82" s="330"/>
      <c r="AN82" s="330"/>
      <c r="AO82" s="330"/>
      <c r="AP82" s="330"/>
      <c r="AQ82" s="330"/>
      <c r="AR82" s="330"/>
      <c r="AS82" s="330"/>
      <c r="AT82" s="330"/>
      <c r="AU82" s="330"/>
      <c r="AV82" s="330"/>
      <c r="AW82" s="330"/>
      <c r="AX82" s="330"/>
      <c r="AY82" s="330"/>
      <c r="AZ82" s="330"/>
      <c r="BB82" s="324">
        <f t="shared" si="202"/>
        <v>246.322</v>
      </c>
      <c r="BC82" s="324">
        <f t="shared" si="202"/>
        <v>246.322</v>
      </c>
      <c r="BD82" s="324">
        <f t="shared" si="202"/>
        <v>246.322</v>
      </c>
      <c r="BE82" s="324">
        <f t="shared" si="202"/>
        <v>246.322</v>
      </c>
      <c r="BF82" s="324">
        <f t="shared" si="202"/>
        <v>246.322</v>
      </c>
      <c r="BG82" s="324">
        <f t="shared" si="203"/>
        <v>246.322</v>
      </c>
      <c r="BH82" s="324">
        <f t="shared" si="203"/>
        <v>246.322</v>
      </c>
      <c r="BI82" s="324">
        <f t="shared" si="203"/>
        <v>246.322</v>
      </c>
      <c r="BJ82" s="324">
        <f t="shared" si="203"/>
        <v>246.322</v>
      </c>
      <c r="BK82" s="324">
        <f t="shared" si="203"/>
        <v>246.322</v>
      </c>
      <c r="BL82" s="324">
        <f t="shared" si="203"/>
        <v>246.322</v>
      </c>
      <c r="BM82" s="324">
        <f t="shared" si="203"/>
        <v>246.322</v>
      </c>
      <c r="BN82" s="324">
        <f t="shared" si="203"/>
        <v>246.322</v>
      </c>
      <c r="BO82" s="324">
        <f t="shared" si="203"/>
        <v>246.322</v>
      </c>
      <c r="BP82" s="324">
        <f t="shared" si="203"/>
        <v>246.322</v>
      </c>
    </row>
    <row r="83" spans="3:68">
      <c r="C83" s="285" t="s">
        <v>309</v>
      </c>
      <c r="D83" s="329">
        <f>'Cintas BS'!M23+'Cintas BS'!M25</f>
        <v>27.745999999999999</v>
      </c>
      <c r="E83" s="329">
        <f>'Cintas BS'!N23+'Cintas BS'!N25</f>
        <v>27.745999999999999</v>
      </c>
      <c r="F83" s="329">
        <f>'Cintas BS'!O23+'Cintas BS'!O25</f>
        <v>27.745999999999999</v>
      </c>
      <c r="G83" s="329">
        <f>'Cintas BS'!P23+'Cintas BS'!P25</f>
        <v>27.745999999999999</v>
      </c>
      <c r="H83" s="329">
        <f>'Cintas BS'!Q23+'Cintas BS'!Q25</f>
        <v>27.745999999999999</v>
      </c>
      <c r="I83" s="329">
        <f>'Cintas BS'!R23+'Cintas BS'!R25</f>
        <v>27.745999999999999</v>
      </c>
      <c r="J83" s="329">
        <f>'Cintas BS'!S23+'Cintas BS'!S25</f>
        <v>27.745999999999999</v>
      </c>
      <c r="K83" s="329">
        <f>'Cintas BS'!T23+'Cintas BS'!T25</f>
        <v>27.745999999999999</v>
      </c>
      <c r="L83" s="329">
        <f>'Cintas BS'!U23+'Cintas BS'!U25</f>
        <v>27.745999999999999</v>
      </c>
      <c r="M83" s="329">
        <f>'Cintas BS'!V23+'Cintas BS'!V25</f>
        <v>27.745999999999999</v>
      </c>
      <c r="N83" s="329">
        <f>'Cintas BS'!W23+'Cintas BS'!W25</f>
        <v>27.745999999999999</v>
      </c>
      <c r="O83" s="329">
        <f>'Cintas BS'!X23+'Cintas BS'!X25</f>
        <v>27.745999999999999</v>
      </c>
      <c r="P83" s="329">
        <f>'Cintas BS'!Y23+'Cintas BS'!Y25</f>
        <v>27.745999999999999</v>
      </c>
      <c r="Q83" s="329">
        <f>'Cintas BS'!Z23+'Cintas BS'!Z25</f>
        <v>27.745999999999999</v>
      </c>
      <c r="R83" s="329">
        <f>'Cintas BS'!AA23+'Cintas BS'!AA25</f>
        <v>27.745999999999999</v>
      </c>
      <c r="S83" s="329">
        <f>'Cintas BS'!AB23+'Cintas BS'!AB25</f>
        <v>27.745999999999999</v>
      </c>
      <c r="U83" s="329">
        <f>0.877+9.21</f>
        <v>10.087000000000002</v>
      </c>
      <c r="V83" s="287">
        <f>U83</f>
        <v>10.087000000000002</v>
      </c>
      <c r="W83" s="287">
        <f t="shared" ref="W83:Z83" si="218">V83</f>
        <v>10.087000000000002</v>
      </c>
      <c r="X83" s="287">
        <f t="shared" si="218"/>
        <v>10.087000000000002</v>
      </c>
      <c r="Y83" s="287">
        <f t="shared" si="218"/>
        <v>10.087000000000002</v>
      </c>
      <c r="Z83" s="287">
        <f t="shared" si="218"/>
        <v>10.087000000000002</v>
      </c>
      <c r="AA83" s="287">
        <f t="shared" si="208"/>
        <v>10.087000000000002</v>
      </c>
      <c r="AB83" s="287">
        <f t="shared" si="209"/>
        <v>10.087000000000002</v>
      </c>
      <c r="AC83" s="287">
        <f t="shared" si="210"/>
        <v>10.087000000000002</v>
      </c>
      <c r="AD83" s="287">
        <f t="shared" si="211"/>
        <v>10.087000000000002</v>
      </c>
      <c r="AE83" s="287">
        <f t="shared" si="212"/>
        <v>10.087000000000002</v>
      </c>
      <c r="AF83" s="287">
        <f t="shared" si="213"/>
        <v>10.087000000000002</v>
      </c>
      <c r="AG83" s="287">
        <f t="shared" si="214"/>
        <v>10.087000000000002</v>
      </c>
      <c r="AH83" s="287">
        <f t="shared" si="215"/>
        <v>10.087000000000002</v>
      </c>
      <c r="AI83" s="287">
        <f t="shared" si="216"/>
        <v>10.087000000000002</v>
      </c>
      <c r="AJ83" s="287">
        <f t="shared" si="217"/>
        <v>10.087000000000002</v>
      </c>
      <c r="AL83" s="330"/>
      <c r="AM83" s="330"/>
      <c r="AN83" s="330"/>
      <c r="AO83" s="330"/>
      <c r="AP83" s="330"/>
      <c r="AQ83" s="330"/>
      <c r="AR83" s="330"/>
      <c r="AS83" s="330"/>
      <c r="AT83" s="330"/>
      <c r="AU83" s="330"/>
      <c r="AV83" s="330"/>
      <c r="AW83" s="330"/>
      <c r="AX83" s="330"/>
      <c r="AY83" s="330"/>
      <c r="AZ83" s="330"/>
      <c r="BB83" s="324">
        <f t="shared" si="202"/>
        <v>37.832999999999998</v>
      </c>
      <c r="BC83" s="324">
        <f t="shared" si="202"/>
        <v>37.832999999999998</v>
      </c>
      <c r="BD83" s="324">
        <f t="shared" si="202"/>
        <v>37.832999999999998</v>
      </c>
      <c r="BE83" s="324">
        <f t="shared" si="202"/>
        <v>37.832999999999998</v>
      </c>
      <c r="BF83" s="324">
        <f t="shared" si="202"/>
        <v>37.832999999999998</v>
      </c>
      <c r="BG83" s="324">
        <f t="shared" si="203"/>
        <v>37.832999999999998</v>
      </c>
      <c r="BH83" s="324">
        <f t="shared" si="203"/>
        <v>37.832999999999998</v>
      </c>
      <c r="BI83" s="324">
        <f t="shared" si="203"/>
        <v>37.832999999999998</v>
      </c>
      <c r="BJ83" s="324">
        <f t="shared" si="203"/>
        <v>37.832999999999998</v>
      </c>
      <c r="BK83" s="324">
        <f t="shared" si="203"/>
        <v>37.832999999999998</v>
      </c>
      <c r="BL83" s="324">
        <f t="shared" si="203"/>
        <v>37.832999999999998</v>
      </c>
      <c r="BM83" s="324">
        <f t="shared" si="203"/>
        <v>37.832999999999998</v>
      </c>
      <c r="BN83" s="324">
        <f t="shared" si="203"/>
        <v>37.832999999999998</v>
      </c>
      <c r="BO83" s="324">
        <f t="shared" si="203"/>
        <v>37.832999999999998</v>
      </c>
      <c r="BP83" s="324">
        <f t="shared" si="203"/>
        <v>37.832999999999998</v>
      </c>
    </row>
    <row r="84" spans="3:68">
      <c r="AL84" s="311"/>
      <c r="AM84" s="311"/>
      <c r="AN84" s="311"/>
      <c r="AO84" s="311"/>
      <c r="AP84" s="311"/>
      <c r="AQ84" s="311"/>
      <c r="AR84" s="311"/>
      <c r="AS84" s="311"/>
      <c r="AT84" s="311"/>
      <c r="AU84" s="311"/>
      <c r="AV84" s="311"/>
      <c r="AW84" s="311"/>
      <c r="AX84" s="311"/>
      <c r="AY84" s="311"/>
      <c r="AZ84" s="311"/>
    </row>
    <row r="85" spans="3:68">
      <c r="C85" s="285" t="s">
        <v>269</v>
      </c>
      <c r="D85" s="329">
        <f>'Cintas BS'!M27</f>
        <v>1848.5160000000001</v>
      </c>
      <c r="E85" s="321">
        <f ca="1">D85+E115</f>
        <v>1184.6816918952804</v>
      </c>
      <c r="F85" s="321">
        <f ca="1">E85+F115</f>
        <v>447.32841832283157</v>
      </c>
      <c r="G85" s="321">
        <f ca="1">F85+G115</f>
        <v>0</v>
      </c>
      <c r="H85" s="321">
        <f ca="1">G85+H115</f>
        <v>0</v>
      </c>
      <c r="I85" s="321">
        <f ca="1">H85+I115</f>
        <v>0</v>
      </c>
      <c r="J85" s="321">
        <f t="shared" ref="J85:S85" ca="1" si="219">I85+J115</f>
        <v>0</v>
      </c>
      <c r="K85" s="321">
        <f t="shared" ca="1" si="219"/>
        <v>0</v>
      </c>
      <c r="L85" s="321">
        <f t="shared" ca="1" si="219"/>
        <v>0</v>
      </c>
      <c r="M85" s="321">
        <f t="shared" ca="1" si="219"/>
        <v>0</v>
      </c>
      <c r="N85" s="321">
        <f t="shared" ca="1" si="219"/>
        <v>0</v>
      </c>
      <c r="O85" s="321">
        <f t="shared" ca="1" si="219"/>
        <v>0</v>
      </c>
      <c r="P85" s="321">
        <f t="shared" ca="1" si="219"/>
        <v>0</v>
      </c>
      <c r="Q85" s="321">
        <f t="shared" ca="1" si="219"/>
        <v>0</v>
      </c>
      <c r="R85" s="321">
        <f t="shared" ca="1" si="219"/>
        <v>0</v>
      </c>
      <c r="S85" s="321">
        <f t="shared" ca="1" si="219"/>
        <v>0</v>
      </c>
      <c r="U85" s="329">
        <v>5.4539999999999997</v>
      </c>
      <c r="V85" s="321">
        <f>U85+V115</f>
        <v>64.685308669487569</v>
      </c>
      <c r="W85" s="321">
        <f>V85+W115</f>
        <v>96.401056146312456</v>
      </c>
      <c r="X85" s="321">
        <f>W85+X115</f>
        <v>96.166111487530685</v>
      </c>
      <c r="Y85" s="321">
        <f>X85+Y115</f>
        <v>62.73818827392337</v>
      </c>
      <c r="Z85" s="321">
        <f>Y85+Z115</f>
        <v>0</v>
      </c>
      <c r="AA85" s="321">
        <f t="shared" ref="AA85:AH85" si="220">Z85+AA115</f>
        <v>0</v>
      </c>
      <c r="AB85" s="321">
        <f t="shared" si="220"/>
        <v>0</v>
      </c>
      <c r="AC85" s="321">
        <f t="shared" si="220"/>
        <v>0</v>
      </c>
      <c r="AD85" s="321">
        <f t="shared" si="220"/>
        <v>0</v>
      </c>
      <c r="AE85" s="321">
        <f t="shared" si="220"/>
        <v>0</v>
      </c>
      <c r="AF85" s="321">
        <f t="shared" si="220"/>
        <v>0</v>
      </c>
      <c r="AG85" s="321">
        <f t="shared" si="220"/>
        <v>0</v>
      </c>
      <c r="AH85" s="321">
        <f t="shared" si="220"/>
        <v>0</v>
      </c>
      <c r="AI85" s="321">
        <f>AH85+AI115</f>
        <v>0</v>
      </c>
      <c r="AJ85" s="321">
        <f t="shared" ref="AJ85" si="221">AI85+AJ115</f>
        <v>0</v>
      </c>
      <c r="AL85" s="324">
        <f>-M18+G17</f>
        <v>5743.9476000000004</v>
      </c>
      <c r="AM85" s="311"/>
      <c r="AN85" s="311"/>
      <c r="AO85" s="311"/>
      <c r="AP85" s="311"/>
      <c r="AQ85" s="311"/>
      <c r="AR85" s="311"/>
      <c r="AS85" s="311"/>
      <c r="AT85" s="311"/>
      <c r="AU85" s="311"/>
      <c r="AV85" s="311"/>
      <c r="AW85" s="311"/>
      <c r="AX85" s="311"/>
      <c r="AY85" s="311"/>
      <c r="AZ85" s="311"/>
      <c r="BB85" s="324">
        <f ca="1">AL85+V85+E85</f>
        <v>6993.3146005647686</v>
      </c>
      <c r="BC85" s="324">
        <f ca="1">BB85+BC130+BC138</f>
        <v>5880.2558729381753</v>
      </c>
      <c r="BD85" s="324">
        <f ca="1">BC85+BD130+BD138</f>
        <v>4820.0897633409977</v>
      </c>
      <c r="BE85" s="324">
        <f ca="1">BD85+BE130+BE138</f>
        <v>3742.8179279138412</v>
      </c>
      <c r="BF85" s="324">
        <f ca="1">BE85+BF130+BF138</f>
        <v>2590.1790506234947</v>
      </c>
      <c r="BG85" s="324">
        <f t="shared" ref="BG85:BP85" ca="1" si="222">BF85+BG130+BG138</f>
        <v>1362.3777874571576</v>
      </c>
      <c r="BH85" s="324">
        <f t="shared" ca="1" si="222"/>
        <v>408.71333623714804</v>
      </c>
      <c r="BI85" s="324">
        <f t="shared" ca="1" si="222"/>
        <v>122.61400087114509</v>
      </c>
      <c r="BJ85" s="324">
        <f t="shared" ca="1" si="222"/>
        <v>36.784200261344168</v>
      </c>
      <c r="BK85" s="324">
        <f t="shared" ca="1" si="222"/>
        <v>11.035260078403887</v>
      </c>
      <c r="BL85" s="324">
        <f t="shared" ca="1" si="222"/>
        <v>3.3105780235218036</v>
      </c>
      <c r="BM85" s="324">
        <f t="shared" ca="1" si="222"/>
        <v>0.99317340705717783</v>
      </c>
      <c r="BN85" s="324">
        <f t="shared" ca="1" si="222"/>
        <v>0.29795202211779004</v>
      </c>
      <c r="BO85" s="324">
        <f t="shared" ca="1" si="222"/>
        <v>8.9385606635973669E-2</v>
      </c>
      <c r="BP85" s="324">
        <f t="shared" ca="1" si="222"/>
        <v>2.6815681991428753E-2</v>
      </c>
    </row>
    <row r="86" spans="3:68">
      <c r="C86" s="285" t="s">
        <v>270</v>
      </c>
      <c r="D86" s="329">
        <f>'Cintas BS'!M28</f>
        <v>373.89499999999998</v>
      </c>
      <c r="E86" s="287">
        <f>'Cintas BS'!N28</f>
        <v>373.89499999999998</v>
      </c>
      <c r="F86" s="287">
        <f>'Cintas BS'!O28</f>
        <v>373.89499999999998</v>
      </c>
      <c r="G86" s="287">
        <f>'Cintas BS'!P28</f>
        <v>373.89499999999998</v>
      </c>
      <c r="H86" s="287">
        <f>'Cintas BS'!Q28</f>
        <v>373.89499999999998</v>
      </c>
      <c r="I86" s="287">
        <f>'Cintas BS'!R28</f>
        <v>373.89499999999998</v>
      </c>
      <c r="J86" s="287">
        <f>'Cintas BS'!S28</f>
        <v>373.89499999999998</v>
      </c>
      <c r="K86" s="287">
        <f>'Cintas BS'!T28</f>
        <v>373.89499999999998</v>
      </c>
      <c r="L86" s="287">
        <f>'Cintas BS'!U28</f>
        <v>373.89499999999998</v>
      </c>
      <c r="M86" s="287">
        <f>'Cintas BS'!V28</f>
        <v>373.89499999999998</v>
      </c>
      <c r="N86" s="287">
        <f>'Cintas BS'!W28</f>
        <v>373.89499999999998</v>
      </c>
      <c r="O86" s="287">
        <f>'Cintas BS'!X28</f>
        <v>373.89499999999998</v>
      </c>
      <c r="P86" s="287">
        <f>'Cintas BS'!Y28</f>
        <v>373.89499999999998</v>
      </c>
      <c r="Q86" s="287">
        <f>'Cintas BS'!Z28</f>
        <v>373.89499999999998</v>
      </c>
      <c r="R86" s="287">
        <f>'Cintas BS'!AA28</f>
        <v>373.89499999999998</v>
      </c>
      <c r="S86" s="287">
        <f>'Cintas BS'!AB28</f>
        <v>373.89499999999998</v>
      </c>
      <c r="U86" s="329">
        <f>22.127+11.034</f>
        <v>33.161000000000001</v>
      </c>
      <c r="V86" s="287">
        <f>U86</f>
        <v>33.161000000000001</v>
      </c>
      <c r="W86" s="287">
        <f t="shared" ref="W86:Z86" si="223">V86</f>
        <v>33.161000000000001</v>
      </c>
      <c r="X86" s="287">
        <f t="shared" si="223"/>
        <v>33.161000000000001</v>
      </c>
      <c r="Y86" s="287">
        <f t="shared" si="223"/>
        <v>33.161000000000001</v>
      </c>
      <c r="Z86" s="287">
        <f t="shared" si="223"/>
        <v>33.161000000000001</v>
      </c>
      <c r="AA86" s="287">
        <f t="shared" ref="AA86" si="224">Z86</f>
        <v>33.161000000000001</v>
      </c>
      <c r="AB86" s="287">
        <f t="shared" ref="AB86" si="225">AA86</f>
        <v>33.161000000000001</v>
      </c>
      <c r="AC86" s="287">
        <f t="shared" ref="AC86" si="226">AB86</f>
        <v>33.161000000000001</v>
      </c>
      <c r="AD86" s="287">
        <f t="shared" ref="AD86" si="227">AC86</f>
        <v>33.161000000000001</v>
      </c>
      <c r="AE86" s="287">
        <f t="shared" ref="AE86" si="228">AD86</f>
        <v>33.161000000000001</v>
      </c>
      <c r="AF86" s="287">
        <f t="shared" ref="AF86" si="229">AE86</f>
        <v>33.161000000000001</v>
      </c>
      <c r="AG86" s="287">
        <f t="shared" ref="AG86" si="230">AF86</f>
        <v>33.161000000000001</v>
      </c>
      <c r="AH86" s="287">
        <f t="shared" ref="AH86" si="231">AG86</f>
        <v>33.161000000000001</v>
      </c>
      <c r="AI86" s="287">
        <f t="shared" ref="AI86" si="232">AH86</f>
        <v>33.161000000000001</v>
      </c>
      <c r="AJ86" s="287">
        <f t="shared" ref="AJ86" si="233">AI86</f>
        <v>33.161000000000001</v>
      </c>
      <c r="AL86" s="330"/>
      <c r="AM86" s="330"/>
      <c r="AN86" s="330"/>
      <c r="AO86" s="330"/>
      <c r="AP86" s="330"/>
      <c r="AQ86" s="330"/>
      <c r="AR86" s="330"/>
      <c r="AS86" s="330"/>
      <c r="AT86" s="330"/>
      <c r="AU86" s="330"/>
      <c r="AV86" s="330"/>
      <c r="AW86" s="330"/>
      <c r="AX86" s="330"/>
      <c r="AY86" s="330"/>
      <c r="AZ86" s="330"/>
      <c r="BB86" s="324">
        <f>AL86+V86+E86</f>
        <v>407.05599999999998</v>
      </c>
      <c r="BC86" s="324">
        <f>AM86+W86+F86</f>
        <v>407.05599999999998</v>
      </c>
      <c r="BD86" s="324">
        <f>AN86+X86+G86</f>
        <v>407.05599999999998</v>
      </c>
      <c r="BE86" s="324">
        <f>AO86+Y86+H86</f>
        <v>407.05599999999998</v>
      </c>
      <c r="BF86" s="324">
        <f>AP86+Z86+I86</f>
        <v>407.05599999999998</v>
      </c>
      <c r="BG86" s="324">
        <f t="shared" ref="BG86:BP86" si="234">AQ86+AA86+J86</f>
        <v>407.05599999999998</v>
      </c>
      <c r="BH86" s="324">
        <f t="shared" si="234"/>
        <v>407.05599999999998</v>
      </c>
      <c r="BI86" s="324">
        <f t="shared" si="234"/>
        <v>407.05599999999998</v>
      </c>
      <c r="BJ86" s="324">
        <f t="shared" si="234"/>
        <v>407.05599999999998</v>
      </c>
      <c r="BK86" s="324">
        <f t="shared" si="234"/>
        <v>407.05599999999998</v>
      </c>
      <c r="BL86" s="324">
        <f t="shared" si="234"/>
        <v>407.05599999999998</v>
      </c>
      <c r="BM86" s="324">
        <f t="shared" si="234"/>
        <v>407.05599999999998</v>
      </c>
      <c r="BN86" s="324">
        <f t="shared" si="234"/>
        <v>407.05599999999998</v>
      </c>
      <c r="BO86" s="324">
        <f t="shared" si="234"/>
        <v>407.05599999999998</v>
      </c>
      <c r="BP86" s="324">
        <f t="shared" si="234"/>
        <v>407.05599999999998</v>
      </c>
    </row>
    <row r="87" spans="3:68" ht="12">
      <c r="C87" s="318" t="s">
        <v>114</v>
      </c>
      <c r="D87" s="327">
        <f t="shared" ref="D87:I87" si="235">SUM(D80:D86)</f>
        <v>2876.1559999999999</v>
      </c>
      <c r="E87" s="327">
        <f t="shared" ca="1" si="235"/>
        <v>2235.9123786585296</v>
      </c>
      <c r="F87" s="327">
        <f t="shared" ca="1" si="235"/>
        <v>1538.8018314921621</v>
      </c>
      <c r="G87" s="327">
        <f t="shared" ca="1" si="235"/>
        <v>1042.3891288526611</v>
      </c>
      <c r="H87" s="327">
        <f t="shared" ca="1" si="235"/>
        <v>1047.2930287275494</v>
      </c>
      <c r="I87" s="327">
        <f t="shared" ca="1" si="235"/>
        <v>1044.9100061734262</v>
      </c>
      <c r="J87" s="327">
        <f t="shared" ref="J87:S87" ca="1" si="236">SUM(J80:J86)</f>
        <v>1038.6375468561141</v>
      </c>
      <c r="K87" s="327">
        <f t="shared" ca="1" si="236"/>
        <v>1032.4231914194847</v>
      </c>
      <c r="L87" s="327">
        <f t="shared" ca="1" si="236"/>
        <v>1018.2797477071759</v>
      </c>
      <c r="M87" s="327">
        <f t="shared" ca="1" si="236"/>
        <v>1011.820175324582</v>
      </c>
      <c r="N87" s="327">
        <f t="shared" ca="1" si="236"/>
        <v>994.24898390345504</v>
      </c>
      <c r="O87" s="327">
        <f t="shared" ca="1" si="236"/>
        <v>973.29663023829733</v>
      </c>
      <c r="P87" s="327">
        <f t="shared" ca="1" si="236"/>
        <v>924.9779567988021</v>
      </c>
      <c r="Q87" s="327">
        <f t="shared" ca="1" si="236"/>
        <v>897.1114744685907</v>
      </c>
      <c r="R87" s="327">
        <f t="shared" ca="1" si="236"/>
        <v>841.26273137372664</v>
      </c>
      <c r="S87" s="327">
        <f t="shared" ca="1" si="236"/>
        <v>817.79729580112871</v>
      </c>
      <c r="T87" s="327"/>
      <c r="U87" s="327">
        <f t="shared" ref="U87:Z87" si="237">SUM(U80:U86)</f>
        <v>198.42099999999999</v>
      </c>
      <c r="V87" s="327">
        <f t="shared" si="237"/>
        <v>315.66506566313075</v>
      </c>
      <c r="W87" s="327">
        <f t="shared" si="237"/>
        <v>376.76620125403338</v>
      </c>
      <c r="X87" s="327">
        <f t="shared" si="237"/>
        <v>420.11316983842534</v>
      </c>
      <c r="Y87" s="327">
        <f t="shared" si="237"/>
        <v>432.87245738178785</v>
      </c>
      <c r="Z87" s="327">
        <f t="shared" si="237"/>
        <v>418.04469086277157</v>
      </c>
      <c r="AA87" s="327">
        <f t="shared" ref="AA87:AI87" si="238">SUM(AA80:AA86)</f>
        <v>453.0497998376851</v>
      </c>
      <c r="AB87" s="327">
        <f t="shared" si="238"/>
        <v>479.63602191956892</v>
      </c>
      <c r="AC87" s="327">
        <f t="shared" si="238"/>
        <v>498.11173986790749</v>
      </c>
      <c r="AD87" s="327">
        <f t="shared" si="238"/>
        <v>512.20425092337518</v>
      </c>
      <c r="AE87" s="327">
        <f t="shared" si="238"/>
        <v>438.6987916915773</v>
      </c>
      <c r="AF87" s="327">
        <f t="shared" si="238"/>
        <v>381.48804971071479</v>
      </c>
      <c r="AG87" s="327">
        <f t="shared" si="238"/>
        <v>354.21623616519076</v>
      </c>
      <c r="AH87" s="327">
        <f t="shared" si="238"/>
        <v>330.99128237337425</v>
      </c>
      <c r="AI87" s="327">
        <f t="shared" si="238"/>
        <v>305.00601716021873</v>
      </c>
      <c r="AJ87" s="327">
        <f t="shared" ref="AJ87" si="239">SUM(AJ80:AJ86)</f>
        <v>286.60783638765963</v>
      </c>
      <c r="AK87" s="327"/>
      <c r="AL87" s="333"/>
      <c r="AM87" s="333"/>
      <c r="AN87" s="333"/>
      <c r="AO87" s="333"/>
      <c r="AP87" s="333"/>
      <c r="AQ87" s="333"/>
      <c r="AR87" s="333"/>
      <c r="AS87" s="333"/>
      <c r="AT87" s="333"/>
      <c r="AU87" s="333"/>
      <c r="AV87" s="333"/>
      <c r="AW87" s="333"/>
      <c r="AX87" s="333"/>
      <c r="AY87" s="333"/>
      <c r="AZ87" s="333"/>
      <c r="BA87" s="327"/>
      <c r="BB87" s="327">
        <f ca="1">SUM(BB80:BB86)</f>
        <v>8295.525044321661</v>
      </c>
      <c r="BC87" s="327">
        <f t="shared" ref="BC87:BF87" ca="1" si="240">SUM(BC80:BC86)</f>
        <v>7252.0944312152269</v>
      </c>
      <c r="BD87" s="327">
        <f t="shared" ca="1" si="240"/>
        <v>6186.4259505445534</v>
      </c>
      <c r="BE87" s="327">
        <f t="shared" ca="1" si="240"/>
        <v>5160.245225749255</v>
      </c>
      <c r="BF87" s="327">
        <f t="shared" ca="1" si="240"/>
        <v>4053.1337476596927</v>
      </c>
      <c r="BG87" s="327">
        <f t="shared" ref="BG87:BP87" ca="1" si="241">SUM(BG80:BG86)</f>
        <v>2854.065134150957</v>
      </c>
      <c r="BH87" s="327">
        <f t="shared" ca="1" si="241"/>
        <v>1920.772549576202</v>
      </c>
      <c r="BI87" s="327">
        <f t="shared" ca="1" si="241"/>
        <v>1639.0054884462288</v>
      </c>
      <c r="BJ87" s="327">
        <f t="shared" ca="1" si="241"/>
        <v>1560.8086265093016</v>
      </c>
      <c r="BK87" s="327">
        <f t="shared" ca="1" si="241"/>
        <v>1443.9830356734362</v>
      </c>
      <c r="BL87" s="327">
        <f t="shared" ca="1" si="241"/>
        <v>1358.095257972534</v>
      </c>
      <c r="BM87" s="327">
        <f t="shared" ca="1" si="241"/>
        <v>1280.1873663710501</v>
      </c>
      <c r="BN87" s="327">
        <f t="shared" ca="1" si="241"/>
        <v>1228.4007088640826</v>
      </c>
      <c r="BO87" s="327">
        <f t="shared" ca="1" si="241"/>
        <v>1146.3581341405813</v>
      </c>
      <c r="BP87" s="327">
        <f t="shared" ca="1" si="241"/>
        <v>1104.4319478707798</v>
      </c>
    </row>
    <row r="88" spans="3:68"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L88" s="330"/>
      <c r="AM88" s="330"/>
      <c r="AN88" s="330"/>
      <c r="AO88" s="330"/>
      <c r="AP88" s="330"/>
      <c r="AQ88" s="330"/>
      <c r="AR88" s="330"/>
      <c r="AS88" s="330"/>
      <c r="AT88" s="330"/>
      <c r="AU88" s="330"/>
      <c r="AV88" s="330"/>
      <c r="AW88" s="330"/>
      <c r="AX88" s="330"/>
      <c r="AY88" s="330"/>
      <c r="AZ88" s="330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</row>
    <row r="89" spans="3:68" ht="12">
      <c r="C89" s="278" t="s">
        <v>271</v>
      </c>
      <c r="D89" s="287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L89" s="330"/>
      <c r="AM89" s="330"/>
      <c r="AN89" s="330"/>
      <c r="AO89" s="330"/>
      <c r="AP89" s="330"/>
      <c r="AQ89" s="330"/>
      <c r="AR89" s="330"/>
      <c r="AS89" s="330"/>
      <c r="AT89" s="330"/>
      <c r="AU89" s="330"/>
      <c r="AV89" s="330"/>
      <c r="AW89" s="330"/>
      <c r="AX89" s="330"/>
      <c r="AY89" s="330"/>
      <c r="AZ89" s="330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  <c r="BM89" s="287"/>
      <c r="BN89" s="287"/>
      <c r="BO89" s="287"/>
      <c r="BP89" s="287"/>
    </row>
    <row r="90" spans="3:68" ht="12">
      <c r="C90" s="278"/>
      <c r="D90" s="287"/>
      <c r="E90" s="287"/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L90" s="330"/>
      <c r="AM90" s="330"/>
      <c r="AN90" s="330"/>
      <c r="AO90" s="330"/>
      <c r="AP90" s="330"/>
      <c r="AQ90" s="330"/>
      <c r="AR90" s="330"/>
      <c r="AS90" s="330"/>
      <c r="AT90" s="330"/>
      <c r="AU90" s="330"/>
      <c r="AV90" s="330"/>
      <c r="AW90" s="330"/>
      <c r="AX90" s="330"/>
      <c r="AY90" s="330"/>
      <c r="AZ90" s="330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  <c r="BM90" s="287"/>
      <c r="BN90" s="287"/>
      <c r="BO90" s="287"/>
      <c r="BP90" s="287"/>
    </row>
    <row r="91" spans="3:68">
      <c r="C91" s="285" t="s">
        <v>272</v>
      </c>
      <c r="D91" s="329">
        <f>'Cintas BS'!M31+'Cintas BS'!M33</f>
        <v>2499.8510000000001</v>
      </c>
      <c r="E91" s="321">
        <f>'Cintas BS'!N31+'Cintas BS'!N33</f>
        <v>2499.8510000000001</v>
      </c>
      <c r="F91" s="321">
        <f>'Cintas BS'!O31+'Cintas BS'!O33</f>
        <v>2499.8510000000001</v>
      </c>
      <c r="G91" s="321">
        <f>'Cintas BS'!P31+'Cintas BS'!P33</f>
        <v>2499.8510000000001</v>
      </c>
      <c r="H91" s="321">
        <f>'Cintas BS'!Q31+'Cintas BS'!Q33</f>
        <v>2499.8510000000001</v>
      </c>
      <c r="I91" s="321">
        <f>'Cintas BS'!R31+'Cintas BS'!R33</f>
        <v>2499.8510000000001</v>
      </c>
      <c r="J91" s="321">
        <f>'Cintas BS'!S31+'Cintas BS'!S33</f>
        <v>2499.8510000000001</v>
      </c>
      <c r="K91" s="321">
        <f>'Cintas BS'!T31+'Cintas BS'!T33</f>
        <v>2499.8510000000001</v>
      </c>
      <c r="L91" s="321">
        <f>'Cintas BS'!U31+'Cintas BS'!U33</f>
        <v>2499.8510000000001</v>
      </c>
      <c r="M91" s="321">
        <f>'Cintas BS'!V31+'Cintas BS'!V33</f>
        <v>2499.8510000000001</v>
      </c>
      <c r="N91" s="321">
        <f>'Cintas BS'!W31+'Cintas BS'!W33</f>
        <v>2499.8510000000001</v>
      </c>
      <c r="O91" s="321">
        <f>'Cintas BS'!X31+'Cintas BS'!X33</f>
        <v>2499.8510000000001</v>
      </c>
      <c r="P91" s="321">
        <f>'Cintas BS'!Y31+'Cintas BS'!Y33</f>
        <v>2499.8510000000001</v>
      </c>
      <c r="Q91" s="321">
        <f>'Cintas BS'!Z31+'Cintas BS'!Z33</f>
        <v>2499.8510000000001</v>
      </c>
      <c r="R91" s="321">
        <f>'Cintas BS'!AA31+'Cintas BS'!AA33</f>
        <v>2499.8510000000001</v>
      </c>
      <c r="S91" s="321">
        <f>'Cintas BS'!AB31+'Cintas BS'!AB33</f>
        <v>2499.8510000000001</v>
      </c>
      <c r="U91" s="329">
        <f>0.577+1690.151</f>
        <v>1690.7280000000001</v>
      </c>
      <c r="V91" s="321">
        <f>U91</f>
        <v>1690.7280000000001</v>
      </c>
      <c r="W91" s="321">
        <f t="shared" ref="W91:Z91" si="242">V91</f>
        <v>1690.7280000000001</v>
      </c>
      <c r="X91" s="321">
        <f t="shared" si="242"/>
        <v>1690.7280000000001</v>
      </c>
      <c r="Y91" s="321">
        <f t="shared" si="242"/>
        <v>1690.7280000000001</v>
      </c>
      <c r="Z91" s="321">
        <f t="shared" si="242"/>
        <v>1690.7280000000001</v>
      </c>
      <c r="AA91" s="321">
        <f t="shared" ref="AA91" si="243">Z91</f>
        <v>1690.7280000000001</v>
      </c>
      <c r="AB91" s="321">
        <f t="shared" ref="AB91" si="244">AA91</f>
        <v>1690.7280000000001</v>
      </c>
      <c r="AC91" s="321">
        <f t="shared" ref="AC91" si="245">AB91</f>
        <v>1690.7280000000001</v>
      </c>
      <c r="AD91" s="321">
        <f t="shared" ref="AD91" si="246">AC91</f>
        <v>1690.7280000000001</v>
      </c>
      <c r="AE91" s="321">
        <f t="shared" ref="AE91" si="247">AD91</f>
        <v>1690.7280000000001</v>
      </c>
      <c r="AF91" s="321">
        <f t="shared" ref="AF91" si="248">AE91</f>
        <v>1690.7280000000001</v>
      </c>
      <c r="AG91" s="321">
        <f t="shared" ref="AG91" si="249">AF91</f>
        <v>1690.7280000000001</v>
      </c>
      <c r="AH91" s="321">
        <f t="shared" ref="AH91" si="250">AG91</f>
        <v>1690.7280000000001</v>
      </c>
      <c r="AI91" s="321">
        <f t="shared" ref="AI91" si="251">AH91</f>
        <v>1690.7280000000001</v>
      </c>
      <c r="AJ91" s="321">
        <f t="shared" ref="AJ91" si="252">AI91</f>
        <v>1690.7280000000001</v>
      </c>
      <c r="AL91" s="324">
        <f>G18</f>
        <v>718.67520000000002</v>
      </c>
      <c r="AM91" s="330"/>
      <c r="AN91" s="330"/>
      <c r="AO91" s="330"/>
      <c r="AP91" s="330"/>
      <c r="AQ91" s="330"/>
      <c r="AR91" s="330"/>
      <c r="AS91" s="330"/>
      <c r="AT91" s="330"/>
      <c r="AU91" s="330"/>
      <c r="AV91" s="330"/>
      <c r="AW91" s="330"/>
      <c r="AX91" s="330"/>
      <c r="AY91" s="330"/>
      <c r="AZ91" s="330"/>
      <c r="BB91" s="324">
        <f>AL91+E91</f>
        <v>3218.5262000000002</v>
      </c>
      <c r="BC91" s="324">
        <f>BB91</f>
        <v>3218.5262000000002</v>
      </c>
      <c r="BD91" s="324">
        <f t="shared" ref="BD91:BF91" si="253">BC91</f>
        <v>3218.5262000000002</v>
      </c>
      <c r="BE91" s="324">
        <f t="shared" si="253"/>
        <v>3218.5262000000002</v>
      </c>
      <c r="BF91" s="324">
        <f t="shared" si="253"/>
        <v>3218.5262000000002</v>
      </c>
      <c r="BG91" s="324">
        <f t="shared" ref="BG91" si="254">BF91</f>
        <v>3218.5262000000002</v>
      </c>
      <c r="BH91" s="324">
        <f t="shared" ref="BH91" si="255">BG91</f>
        <v>3218.5262000000002</v>
      </c>
      <c r="BI91" s="324">
        <f t="shared" ref="BI91" si="256">BH91</f>
        <v>3218.5262000000002</v>
      </c>
      <c r="BJ91" s="324">
        <f t="shared" ref="BJ91" si="257">BI91</f>
        <v>3218.5262000000002</v>
      </c>
      <c r="BK91" s="324">
        <f t="shared" ref="BK91" si="258">BJ91</f>
        <v>3218.5262000000002</v>
      </c>
      <c r="BL91" s="324">
        <f t="shared" ref="BL91" si="259">BK91</f>
        <v>3218.5262000000002</v>
      </c>
      <c r="BM91" s="324">
        <f t="shared" ref="BM91" si="260">BL91</f>
        <v>3218.5262000000002</v>
      </c>
      <c r="BN91" s="324">
        <f t="shared" ref="BN91" si="261">BM91</f>
        <v>3218.5262000000002</v>
      </c>
      <c r="BO91" s="324">
        <f t="shared" ref="BO91" si="262">BN91</f>
        <v>3218.5262000000002</v>
      </c>
      <c r="BP91" s="324">
        <f t="shared" ref="BP91" si="263">BO91</f>
        <v>3218.5262000000002</v>
      </c>
    </row>
    <row r="92" spans="3:68">
      <c r="C92" s="285" t="s">
        <v>116</v>
      </c>
      <c r="D92" s="329">
        <f>'Cintas BS'!M32</f>
        <v>1159.894</v>
      </c>
      <c r="E92" s="321">
        <f ca="1">D92+E56++'Cintas CF'!N13</f>
        <v>1947.0271782087552</v>
      </c>
      <c r="F92" s="321">
        <f ca="1">E92+F56++'Cintas CF'!O13</f>
        <v>2825.2807959072793</v>
      </c>
      <c r="G92" s="321">
        <f ca="1">F92+G56++'Cintas CF'!P13</f>
        <v>3801.4145250772899</v>
      </c>
      <c r="H92" s="321">
        <f ca="1">G92+H56++'Cintas CF'!Q13</f>
        <v>4891.8224743764258</v>
      </c>
      <c r="I92" s="321">
        <f ca="1">H92+I56++'Cintas CF'!R13</f>
        <v>5976.2189396926624</v>
      </c>
      <c r="J92" s="321">
        <f ca="1">I92+J56++'Cintas CF'!S13</f>
        <v>7044.7923114950891</v>
      </c>
      <c r="K92" s="321">
        <f ca="1">J92+K56++'Cintas CF'!T13</f>
        <v>8197.017871474467</v>
      </c>
      <c r="L92" s="321">
        <f ca="1">K92+L56++'Cintas CF'!U13</f>
        <v>9309.9106728714487</v>
      </c>
      <c r="M92" s="321">
        <f ca="1">L92+M56++'Cintas CF'!V13</f>
        <v>10404.839475808214</v>
      </c>
      <c r="N92" s="321">
        <f ca="1">M92+N56++'Cintas CF'!W13</f>
        <v>11450.902992169065</v>
      </c>
      <c r="O92" s="321">
        <f ca="1">N92+O56++'Cintas CF'!X13</f>
        <v>12438.698247616387</v>
      </c>
      <c r="P92" s="321">
        <f ca="1">O92+P56++'Cintas CF'!Y13</f>
        <v>13292.119813312087</v>
      </c>
      <c r="Q92" s="321">
        <f ca="1">P92+Q56++'Cintas CF'!Z13</f>
        <v>14068.045003702744</v>
      </c>
      <c r="R92" s="321">
        <f ca="1">Q92+R56++'Cintas CF'!AA13</f>
        <v>14688.65546495365</v>
      </c>
      <c r="S92" s="321">
        <f ca="1">R92+S56++'Cintas CF'!AB13</f>
        <v>15244.008812648504</v>
      </c>
      <c r="U92" s="329">
        <f>-896.087-53.551</f>
        <v>-949.63800000000003</v>
      </c>
      <c r="V92" s="321">
        <f>U92+V56</f>
        <v>-987.45669567486812</v>
      </c>
      <c r="W92" s="321">
        <f>V92+W56</f>
        <v>-993.94628374501383</v>
      </c>
      <c r="X92" s="321">
        <f>W92+X56</f>
        <v>-961.33628304027388</v>
      </c>
      <c r="Y92" s="321">
        <f>X92+Y56</f>
        <v>-877.24911653860272</v>
      </c>
      <c r="Z92" s="321">
        <f>Y92+Z56</f>
        <v>-727.98966518930092</v>
      </c>
      <c r="AA92" s="321">
        <f t="shared" ref="AA92:AH92" si="264">Z92+AA56</f>
        <v>-506.04053506854711</v>
      </c>
      <c r="AB92" s="321">
        <f t="shared" si="264"/>
        <v>-207.27933261972015</v>
      </c>
      <c r="AC92" s="321">
        <f t="shared" si="264"/>
        <v>169.11365204538379</v>
      </c>
      <c r="AD92" s="321">
        <f t="shared" si="264"/>
        <v>624.12096295221863</v>
      </c>
      <c r="AE92" s="321">
        <f t="shared" si="264"/>
        <v>1065.035171299578</v>
      </c>
      <c r="AF92" s="321">
        <f t="shared" si="264"/>
        <v>1472.0592714173483</v>
      </c>
      <c r="AG92" s="321">
        <f t="shared" si="264"/>
        <v>1873.6793910049505</v>
      </c>
      <c r="AH92" s="321">
        <f t="shared" si="264"/>
        <v>2270.8203102334014</v>
      </c>
      <c r="AI92" s="321">
        <f>AH92+AI56</f>
        <v>2655.6340518905881</v>
      </c>
      <c r="AJ92" s="321">
        <f t="shared" ref="AJ92" si="265">AI92+AJ56</f>
        <v>3035.321766275461</v>
      </c>
      <c r="AL92" s="324">
        <f>-M19</f>
        <v>0</v>
      </c>
      <c r="AM92" s="330"/>
      <c r="AN92" s="330"/>
      <c r="AO92" s="330"/>
      <c r="AP92" s="330"/>
      <c r="AQ92" s="330"/>
      <c r="AR92" s="330"/>
      <c r="AS92" s="330"/>
      <c r="AT92" s="330"/>
      <c r="AU92" s="330"/>
      <c r="AV92" s="330"/>
      <c r="AW92" s="330"/>
      <c r="AX92" s="330"/>
      <c r="AY92" s="330"/>
      <c r="AZ92" s="330"/>
      <c r="BB92" s="324">
        <f ca="1">AL92+E92</f>
        <v>1947.0271782087552</v>
      </c>
      <c r="BC92" s="324">
        <f ca="1">BB92+BC102+BC104</f>
        <v>2678.3359206222922</v>
      </c>
      <c r="BD92" s="324">
        <f t="shared" ref="BD92:BF92" ca="1" si="266">BC92+BD102+BD104</f>
        <v>3548.7202800205578</v>
      </c>
      <c r="BE92" s="324">
        <f ca="1">BD92+BE102+BE104</f>
        <v>4626.6295196726014</v>
      </c>
      <c r="BF92" s="324">
        <f t="shared" ca="1" si="266"/>
        <v>5815.5912307367289</v>
      </c>
      <c r="BG92" s="324">
        <f t="shared" ref="BG92" ca="1" si="267">BF92+BG102+BG104</f>
        <v>7114.0562573482848</v>
      </c>
      <c r="BH92" s="324">
        <f t="shared" ref="BH92" ca="1" si="268">BG92+BH102+BH104</f>
        <v>8619.3104521634978</v>
      </c>
      <c r="BI92" s="324">
        <f t="shared" ref="BI92" ca="1" si="269">BH92+BI102+BI104</f>
        <v>10197.350908414472</v>
      </c>
      <c r="BJ92" s="324">
        <f t="shared" ref="BJ92" ca="1" si="270">BI92+BJ102+BJ104</f>
        <v>11859.434200457188</v>
      </c>
      <c r="BK92" s="324">
        <f t="shared" ref="BK92" ca="1" si="271">BJ92+BK102+BK104</f>
        <v>13482.070172111265</v>
      </c>
      <c r="BL92" s="324">
        <f t="shared" ref="BL92" ca="1" si="272">BK92+BL102+BL104</f>
        <v>15034.178894977391</v>
      </c>
      <c r="BM92" s="324">
        <f t="shared" ref="BM92" ca="1" si="273">BL92+BM102+BM104</f>
        <v>16453.580481011657</v>
      </c>
      <c r="BN92" s="324">
        <f t="shared" ref="BN92" ca="1" si="274">BM92+BN102+BN104</f>
        <v>17802.845508065919</v>
      </c>
      <c r="BO92" s="324">
        <f t="shared" ref="BO92" ca="1" si="275">BN92+BO102+BO104</f>
        <v>18984.912047295336</v>
      </c>
      <c r="BP92" s="324">
        <f t="shared" ref="BP92" ca="1" si="276">BO92+BP102+BP104</f>
        <v>20105.396536272248</v>
      </c>
    </row>
    <row r="93" spans="3:68">
      <c r="C93" s="334" t="s">
        <v>273</v>
      </c>
      <c r="D93" s="335">
        <f>'Cintas BS'!M35</f>
        <v>0</v>
      </c>
      <c r="E93" s="321">
        <f>'Cintas BS'!N35</f>
        <v>0</v>
      </c>
      <c r="F93" s="321">
        <f>'Cintas BS'!O35</f>
        <v>0</v>
      </c>
      <c r="G93" s="321">
        <f>'Cintas BS'!P35</f>
        <v>0</v>
      </c>
      <c r="H93" s="321">
        <f>'Cintas BS'!Q35</f>
        <v>0</v>
      </c>
      <c r="I93" s="321">
        <f>'Cintas BS'!R35</f>
        <v>0</v>
      </c>
      <c r="J93" s="321">
        <f>'Cintas BS'!S35</f>
        <v>0</v>
      </c>
      <c r="K93" s="321">
        <f>'Cintas BS'!T35</f>
        <v>0</v>
      </c>
      <c r="L93" s="321">
        <f>'Cintas BS'!U35</f>
        <v>0</v>
      </c>
      <c r="M93" s="321">
        <f>'Cintas BS'!V35</f>
        <v>0</v>
      </c>
      <c r="N93" s="321">
        <f>'Cintas BS'!W35</f>
        <v>0</v>
      </c>
      <c r="O93" s="321">
        <f>'Cintas BS'!X35</f>
        <v>0</v>
      </c>
      <c r="P93" s="321">
        <f>'Cintas BS'!Y35</f>
        <v>0</v>
      </c>
      <c r="Q93" s="321">
        <f>'Cintas BS'!Z35</f>
        <v>0</v>
      </c>
      <c r="R93" s="321">
        <f>'Cintas BS'!AA35</f>
        <v>0</v>
      </c>
      <c r="S93" s="321">
        <f>'Cintas BS'!AB35</f>
        <v>0</v>
      </c>
      <c r="U93" s="335">
        <v>0</v>
      </c>
      <c r="V93" s="336">
        <f>U93</f>
        <v>0</v>
      </c>
      <c r="W93" s="336">
        <f t="shared" ref="W93:Z93" si="277">V93</f>
        <v>0</v>
      </c>
      <c r="X93" s="336">
        <f t="shared" si="277"/>
        <v>0</v>
      </c>
      <c r="Y93" s="336">
        <f t="shared" si="277"/>
        <v>0</v>
      </c>
      <c r="Z93" s="336">
        <f t="shared" si="277"/>
        <v>0</v>
      </c>
      <c r="AA93" s="336">
        <f t="shared" ref="AA93" si="278">Z93</f>
        <v>0</v>
      </c>
      <c r="AB93" s="336">
        <f t="shared" ref="AB93" si="279">AA93</f>
        <v>0</v>
      </c>
      <c r="AC93" s="336">
        <f t="shared" ref="AC93" si="280">AB93</f>
        <v>0</v>
      </c>
      <c r="AD93" s="336">
        <f t="shared" ref="AD93" si="281">AC93</f>
        <v>0</v>
      </c>
      <c r="AE93" s="336">
        <f t="shared" ref="AE93" si="282">AD93</f>
        <v>0</v>
      </c>
      <c r="AF93" s="336">
        <f t="shared" ref="AF93" si="283">AE93</f>
        <v>0</v>
      </c>
      <c r="AG93" s="336">
        <f t="shared" ref="AG93" si="284">AF93</f>
        <v>0</v>
      </c>
      <c r="AH93" s="336">
        <f t="shared" ref="AH93" si="285">AG93</f>
        <v>0</v>
      </c>
      <c r="AI93" s="336">
        <f t="shared" ref="AI93" si="286">AH93</f>
        <v>0</v>
      </c>
      <c r="AJ93" s="336">
        <f t="shared" ref="AJ93" si="287">AI93</f>
        <v>0</v>
      </c>
      <c r="AL93" s="324">
        <f>AH13</f>
        <v>0</v>
      </c>
      <c r="AM93" s="337"/>
      <c r="AN93" s="337"/>
      <c r="AO93" s="337"/>
      <c r="AP93" s="337"/>
      <c r="AQ93" s="337"/>
      <c r="AR93" s="337"/>
      <c r="AS93" s="337"/>
      <c r="AT93" s="337"/>
      <c r="AU93" s="337"/>
      <c r="AV93" s="337"/>
      <c r="AW93" s="337"/>
      <c r="AX93" s="337"/>
      <c r="AY93" s="337"/>
      <c r="AZ93" s="337"/>
      <c r="BB93" s="324">
        <f>AL93+V93+E93</f>
        <v>0</v>
      </c>
      <c r="BC93" s="324">
        <f>AM93+W93+F93</f>
        <v>0</v>
      </c>
      <c r="BD93" s="324">
        <f>AN93+X93+G93</f>
        <v>0</v>
      </c>
      <c r="BE93" s="324">
        <f>AO93+Y93+H93</f>
        <v>0</v>
      </c>
      <c r="BF93" s="324">
        <f>AP93+Z93+I93</f>
        <v>0</v>
      </c>
      <c r="BG93" s="324">
        <f t="shared" ref="BG93:BP93" si="288">AQ93+AA93+J93</f>
        <v>0</v>
      </c>
      <c r="BH93" s="324">
        <f t="shared" si="288"/>
        <v>0</v>
      </c>
      <c r="BI93" s="324">
        <f t="shared" si="288"/>
        <v>0</v>
      </c>
      <c r="BJ93" s="324">
        <f t="shared" si="288"/>
        <v>0</v>
      </c>
      <c r="BK93" s="324">
        <f t="shared" si="288"/>
        <v>0</v>
      </c>
      <c r="BL93" s="324">
        <f t="shared" si="288"/>
        <v>0</v>
      </c>
      <c r="BM93" s="324">
        <f t="shared" si="288"/>
        <v>0</v>
      </c>
      <c r="BN93" s="324">
        <f t="shared" si="288"/>
        <v>0</v>
      </c>
      <c r="BO93" s="324">
        <f t="shared" si="288"/>
        <v>0</v>
      </c>
      <c r="BP93" s="324">
        <f t="shared" si="288"/>
        <v>0</v>
      </c>
    </row>
    <row r="94" spans="3:68" ht="12">
      <c r="C94" s="279" t="s">
        <v>274</v>
      </c>
      <c r="D94" s="338">
        <f>SUM(D91:D93)</f>
        <v>3659.7449999999999</v>
      </c>
      <c r="E94" s="338">
        <f t="shared" ref="E94:I94" ca="1" si="289">SUM(E91:E93)</f>
        <v>4446.8781782087553</v>
      </c>
      <c r="F94" s="338">
        <f t="shared" ca="1" si="289"/>
        <v>5325.1317959072794</v>
      </c>
      <c r="G94" s="338">
        <f t="shared" ca="1" si="289"/>
        <v>6301.2655250772896</v>
      </c>
      <c r="H94" s="338">
        <f t="shared" ca="1" si="289"/>
        <v>7391.6734743764264</v>
      </c>
      <c r="I94" s="338">
        <f t="shared" ca="1" si="289"/>
        <v>8476.069939692663</v>
      </c>
      <c r="J94" s="338">
        <f t="shared" ref="J94:S94" ca="1" si="290">SUM(J91:J93)</f>
        <v>9544.6433114950887</v>
      </c>
      <c r="K94" s="338">
        <f t="shared" ca="1" si="290"/>
        <v>10696.868871474468</v>
      </c>
      <c r="L94" s="338">
        <f t="shared" ca="1" si="290"/>
        <v>11809.761672871449</v>
      </c>
      <c r="M94" s="338">
        <f t="shared" ca="1" si="290"/>
        <v>12904.690475808215</v>
      </c>
      <c r="N94" s="338">
        <f t="shared" ca="1" si="290"/>
        <v>13950.753992169066</v>
      </c>
      <c r="O94" s="338">
        <f t="shared" ca="1" si="290"/>
        <v>14938.549247616387</v>
      </c>
      <c r="P94" s="338">
        <f t="shared" ca="1" si="290"/>
        <v>15791.970813312088</v>
      </c>
      <c r="Q94" s="338">
        <f t="shared" ca="1" si="290"/>
        <v>16567.896003702743</v>
      </c>
      <c r="R94" s="338">
        <f t="shared" ca="1" si="290"/>
        <v>17188.506464953651</v>
      </c>
      <c r="S94" s="338">
        <f t="shared" ca="1" si="290"/>
        <v>17743.859812648505</v>
      </c>
      <c r="T94" s="327"/>
      <c r="U94" s="338">
        <f>SUM(U91:U93)</f>
        <v>741.09</v>
      </c>
      <c r="V94" s="338">
        <f>SUM(V91:V93)</f>
        <v>703.27130432513195</v>
      </c>
      <c r="W94" s="338">
        <f t="shared" ref="W94:Z94" si="291">SUM(W91:W93)</f>
        <v>696.78171625498624</v>
      </c>
      <c r="X94" s="338">
        <f t="shared" si="291"/>
        <v>729.39171695972618</v>
      </c>
      <c r="Y94" s="338">
        <f t="shared" si="291"/>
        <v>813.47888346139734</v>
      </c>
      <c r="Z94" s="338">
        <f t="shared" si="291"/>
        <v>962.73833481069914</v>
      </c>
      <c r="AA94" s="338">
        <f t="shared" ref="AA94:AI94" si="292">SUM(AA91:AA93)</f>
        <v>1184.687464931453</v>
      </c>
      <c r="AB94" s="338">
        <f t="shared" si="292"/>
        <v>1483.4486673802799</v>
      </c>
      <c r="AC94" s="338">
        <f t="shared" si="292"/>
        <v>1859.8416520453839</v>
      </c>
      <c r="AD94" s="338">
        <f t="shared" si="292"/>
        <v>2314.8489629522187</v>
      </c>
      <c r="AE94" s="338">
        <f t="shared" si="292"/>
        <v>2755.7631712995781</v>
      </c>
      <c r="AF94" s="338">
        <f t="shared" si="292"/>
        <v>3162.7872714173482</v>
      </c>
      <c r="AG94" s="338">
        <f t="shared" si="292"/>
        <v>3564.4073910049506</v>
      </c>
      <c r="AH94" s="338">
        <f t="shared" si="292"/>
        <v>3961.5483102334015</v>
      </c>
      <c r="AI94" s="338">
        <f t="shared" si="292"/>
        <v>4346.3620518905882</v>
      </c>
      <c r="AJ94" s="338">
        <f t="shared" ref="AJ94" si="293">SUM(AJ91:AJ93)</f>
        <v>4726.0497662754606</v>
      </c>
      <c r="AK94" s="327"/>
      <c r="AL94" s="336"/>
      <c r="AM94" s="336"/>
      <c r="AN94" s="336"/>
      <c r="AO94" s="336"/>
      <c r="AP94" s="336"/>
      <c r="AQ94" s="336"/>
      <c r="AR94" s="336"/>
      <c r="AS94" s="336"/>
      <c r="AT94" s="336"/>
      <c r="AU94" s="336"/>
      <c r="AV94" s="336"/>
      <c r="AW94" s="336"/>
      <c r="AX94" s="336"/>
      <c r="AY94" s="336"/>
      <c r="AZ94" s="336"/>
      <c r="BA94" s="327"/>
      <c r="BB94" s="338">
        <f ca="1">SUM(BB91:BB93)</f>
        <v>5165.553378208755</v>
      </c>
      <c r="BC94" s="338">
        <f t="shared" ref="BC94:BF94" ca="1" si="294">SUM(BC91:BC93)</f>
        <v>5896.8621206222924</v>
      </c>
      <c r="BD94" s="338">
        <f t="shared" ca="1" si="294"/>
        <v>6767.246480020558</v>
      </c>
      <c r="BE94" s="338">
        <f t="shared" ca="1" si="294"/>
        <v>7845.1557196726017</v>
      </c>
      <c r="BF94" s="338">
        <f t="shared" ca="1" si="294"/>
        <v>9034.1174307367291</v>
      </c>
      <c r="BG94" s="338">
        <f t="shared" ref="BG94:BP94" ca="1" si="295">SUM(BG91:BG93)</f>
        <v>10332.582457348286</v>
      </c>
      <c r="BH94" s="338">
        <f t="shared" ca="1" si="295"/>
        <v>11837.836652163498</v>
      </c>
      <c r="BI94" s="338">
        <f t="shared" ca="1" si="295"/>
        <v>13415.877108414472</v>
      </c>
      <c r="BJ94" s="338">
        <f t="shared" ca="1" si="295"/>
        <v>15077.960400457188</v>
      </c>
      <c r="BK94" s="338">
        <f t="shared" ca="1" si="295"/>
        <v>16700.596372111264</v>
      </c>
      <c r="BL94" s="338">
        <f t="shared" ca="1" si="295"/>
        <v>18252.705094977391</v>
      </c>
      <c r="BM94" s="338">
        <f t="shared" ca="1" si="295"/>
        <v>19672.106681011657</v>
      </c>
      <c r="BN94" s="338">
        <f t="shared" ca="1" si="295"/>
        <v>21021.371708065919</v>
      </c>
      <c r="BO94" s="338">
        <f t="shared" ca="1" si="295"/>
        <v>22203.438247295337</v>
      </c>
      <c r="BP94" s="338">
        <f t="shared" ca="1" si="295"/>
        <v>23323.922736272249</v>
      </c>
    </row>
    <row r="95" spans="3:68" s="339" customFormat="1">
      <c r="AL95" s="340"/>
      <c r="AM95" s="340"/>
      <c r="AN95" s="340"/>
      <c r="AO95" s="340"/>
      <c r="AP95" s="340"/>
      <c r="AQ95" s="340"/>
      <c r="AR95" s="340"/>
      <c r="AS95" s="340"/>
      <c r="AT95" s="340"/>
      <c r="AU95" s="340"/>
      <c r="AV95" s="340"/>
      <c r="AW95" s="340"/>
      <c r="AX95" s="340"/>
      <c r="AY95" s="340"/>
      <c r="AZ95" s="340"/>
      <c r="BB95" s="340"/>
      <c r="BC95" s="340"/>
      <c r="BD95" s="340"/>
      <c r="BE95" s="340"/>
    </row>
    <row r="96" spans="3:68">
      <c r="C96" s="341" t="s">
        <v>275</v>
      </c>
      <c r="D96" s="342" t="str">
        <f t="shared" ref="D96:I96" si="296">IF(ABS(D77-D87-D94)&lt;=0.1,"Yes","No")</f>
        <v>Yes</v>
      </c>
      <c r="E96" s="342" t="str">
        <f t="shared" ca="1" si="296"/>
        <v>Yes</v>
      </c>
      <c r="F96" s="342" t="str">
        <f t="shared" ca="1" si="296"/>
        <v>Yes</v>
      </c>
      <c r="G96" s="342" t="str">
        <f t="shared" ca="1" si="296"/>
        <v>Yes</v>
      </c>
      <c r="H96" s="342" t="str">
        <f t="shared" ca="1" si="296"/>
        <v>Yes</v>
      </c>
      <c r="I96" s="342" t="str">
        <f t="shared" ca="1" si="296"/>
        <v>Yes</v>
      </c>
      <c r="J96" s="342" t="str">
        <f t="shared" ref="J96:S96" ca="1" si="297">IF(ABS(J77-J87-J94)&lt;=0.1,"Yes","No")</f>
        <v>Yes</v>
      </c>
      <c r="K96" s="342" t="str">
        <f t="shared" ca="1" si="297"/>
        <v>Yes</v>
      </c>
      <c r="L96" s="342" t="str">
        <f t="shared" ca="1" si="297"/>
        <v>Yes</v>
      </c>
      <c r="M96" s="342" t="str">
        <f t="shared" ca="1" si="297"/>
        <v>Yes</v>
      </c>
      <c r="N96" s="342" t="str">
        <f t="shared" ca="1" si="297"/>
        <v>Yes</v>
      </c>
      <c r="O96" s="342" t="str">
        <f t="shared" ca="1" si="297"/>
        <v>Yes</v>
      </c>
      <c r="P96" s="342" t="str">
        <f t="shared" ca="1" si="297"/>
        <v>Yes</v>
      </c>
      <c r="Q96" s="342" t="str">
        <f t="shared" ca="1" si="297"/>
        <v>Yes</v>
      </c>
      <c r="R96" s="342" t="str">
        <f t="shared" ca="1" si="297"/>
        <v>Yes</v>
      </c>
      <c r="S96" s="342" t="str">
        <f t="shared" ca="1" si="297"/>
        <v>Yes</v>
      </c>
      <c r="T96" s="342"/>
      <c r="U96" s="342" t="str">
        <f t="shared" ref="U96:Z96" si="298">IF(ABS(U77-U87-U94)&lt;=0.1,"Yes","No")</f>
        <v>Yes</v>
      </c>
      <c r="V96" s="342" t="str">
        <f t="shared" si="298"/>
        <v>Yes</v>
      </c>
      <c r="W96" s="342" t="str">
        <f t="shared" si="298"/>
        <v>Yes</v>
      </c>
      <c r="X96" s="342" t="str">
        <f t="shared" si="298"/>
        <v>Yes</v>
      </c>
      <c r="Y96" s="342" t="str">
        <f t="shared" si="298"/>
        <v>Yes</v>
      </c>
      <c r="Z96" s="342" t="str">
        <f t="shared" si="298"/>
        <v>Yes</v>
      </c>
      <c r="AA96" s="342" t="str">
        <f t="shared" ref="AA96:AH96" si="299">IF(ABS(AA77-AA87-AA94)&lt;=0.1,"Yes","No")</f>
        <v>Yes</v>
      </c>
      <c r="AB96" s="342" t="str">
        <f t="shared" si="299"/>
        <v>Yes</v>
      </c>
      <c r="AC96" s="342" t="str">
        <f t="shared" si="299"/>
        <v>Yes</v>
      </c>
      <c r="AD96" s="342" t="str">
        <f t="shared" si="299"/>
        <v>Yes</v>
      </c>
      <c r="AE96" s="342" t="str">
        <f t="shared" si="299"/>
        <v>Yes</v>
      </c>
      <c r="AF96" s="342" t="str">
        <f t="shared" si="299"/>
        <v>Yes</v>
      </c>
      <c r="AG96" s="342" t="str">
        <f t="shared" si="299"/>
        <v>Yes</v>
      </c>
      <c r="AH96" s="342" t="str">
        <f t="shared" si="299"/>
        <v>Yes</v>
      </c>
      <c r="AI96" s="342" t="str">
        <f>IF(ABS(AI77-AI87-AI94)&lt;=0.1,"Yes","No")</f>
        <v>Yes</v>
      </c>
      <c r="AJ96" s="342" t="str">
        <f t="shared" ref="AJ96" si="300">IF(ABS(AJ77-AJ87-AJ94)&lt;=0.1,"Yes","No")</f>
        <v>Yes</v>
      </c>
      <c r="AK96" s="342"/>
      <c r="AL96" s="343"/>
      <c r="AM96" s="343"/>
      <c r="AN96" s="343"/>
      <c r="AO96" s="343"/>
      <c r="AP96" s="343"/>
      <c r="AQ96" s="343"/>
      <c r="AR96" s="343"/>
      <c r="AS96" s="343"/>
      <c r="AT96" s="343"/>
      <c r="AU96" s="343"/>
      <c r="AV96" s="343"/>
      <c r="AW96" s="343"/>
      <c r="AX96" s="343"/>
      <c r="AY96" s="343"/>
      <c r="AZ96" s="343"/>
      <c r="BA96" s="342"/>
      <c r="BB96" s="342" t="str">
        <f ca="1">IF(ABS(BB77-BB87-BB94)&lt;=0.1,"Yes","No")</f>
        <v>Yes</v>
      </c>
      <c r="BC96" s="342" t="str">
        <f ca="1">IF(ABS(BC77-BC87-BC94)&lt;=0.1,"Yes","No")</f>
        <v>Yes</v>
      </c>
      <c r="BD96" s="342" t="str">
        <f ca="1">IF(ABS(BD77-BD87-BD94)&lt;=0.1,"Yes","No")</f>
        <v>Yes</v>
      </c>
      <c r="BE96" s="342" t="str">
        <f ca="1">IF(ABS(BE77-BE87-BE94)&lt;=0.1,"Yes","No")</f>
        <v>Yes</v>
      </c>
      <c r="BF96" s="342" t="str">
        <f ca="1">IF(ABS(BF77-BF87-BF94)&lt;=0.1,"Yes","No")</f>
        <v>Yes</v>
      </c>
      <c r="BG96" s="342" t="str">
        <f t="shared" ref="BG96:BP96" ca="1" si="301">IF(ABS(BG77-BG87-BG94)&lt;=0.1,"Yes","No")</f>
        <v>Yes</v>
      </c>
      <c r="BH96" s="342" t="str">
        <f t="shared" ca="1" si="301"/>
        <v>Yes</v>
      </c>
      <c r="BI96" s="342" t="str">
        <f t="shared" ca="1" si="301"/>
        <v>Yes</v>
      </c>
      <c r="BJ96" s="342" t="str">
        <f t="shared" ca="1" si="301"/>
        <v>Yes</v>
      </c>
      <c r="BK96" s="342" t="str">
        <f t="shared" ca="1" si="301"/>
        <v>Yes</v>
      </c>
      <c r="BL96" s="342" t="str">
        <f t="shared" ca="1" si="301"/>
        <v>Yes</v>
      </c>
      <c r="BM96" s="342" t="str">
        <f t="shared" ca="1" si="301"/>
        <v>Yes</v>
      </c>
      <c r="BN96" s="342" t="str">
        <f t="shared" ca="1" si="301"/>
        <v>Yes</v>
      </c>
      <c r="BO96" s="342" t="str">
        <f t="shared" ca="1" si="301"/>
        <v>Yes</v>
      </c>
      <c r="BP96" s="342" t="str">
        <f t="shared" ca="1" si="301"/>
        <v>Yes</v>
      </c>
    </row>
    <row r="97" spans="3:68">
      <c r="C97" s="341" t="s">
        <v>275</v>
      </c>
      <c r="D97" s="344">
        <f t="shared" ref="D97:I97" si="302">D77-D87-D94</f>
        <v>0</v>
      </c>
      <c r="E97" s="344">
        <f t="shared" ca="1" si="302"/>
        <v>0</v>
      </c>
      <c r="F97" s="344">
        <f t="shared" ca="1" si="302"/>
        <v>0</v>
      </c>
      <c r="G97" s="344">
        <f t="shared" ca="1" si="302"/>
        <v>0</v>
      </c>
      <c r="H97" s="344">
        <f t="shared" ca="1" si="302"/>
        <v>0</v>
      </c>
      <c r="I97" s="344">
        <f t="shared" ca="1" si="302"/>
        <v>0</v>
      </c>
      <c r="J97" s="344">
        <f t="shared" ref="J97:S97" ca="1" si="303">J77-J87-J94</f>
        <v>0</v>
      </c>
      <c r="K97" s="344">
        <f t="shared" ca="1" si="303"/>
        <v>0</v>
      </c>
      <c r="L97" s="344">
        <f t="shared" ca="1" si="303"/>
        <v>0</v>
      </c>
      <c r="M97" s="344">
        <f t="shared" ca="1" si="303"/>
        <v>0</v>
      </c>
      <c r="N97" s="344">
        <f t="shared" ca="1" si="303"/>
        <v>0</v>
      </c>
      <c r="O97" s="344">
        <f t="shared" ca="1" si="303"/>
        <v>0</v>
      </c>
      <c r="P97" s="344">
        <f t="shared" ca="1" si="303"/>
        <v>0</v>
      </c>
      <c r="Q97" s="344">
        <f t="shared" ca="1" si="303"/>
        <v>0</v>
      </c>
      <c r="R97" s="344">
        <f t="shared" ca="1" si="303"/>
        <v>0</v>
      </c>
      <c r="S97" s="344">
        <f t="shared" ca="1" si="303"/>
        <v>0</v>
      </c>
      <c r="T97" s="344"/>
      <c r="U97" s="344">
        <f t="shared" ref="U97:Z97" si="304">U77-U87-U94</f>
        <v>0</v>
      </c>
      <c r="V97" s="344">
        <f t="shared" si="304"/>
        <v>0</v>
      </c>
      <c r="W97" s="344">
        <f t="shared" si="304"/>
        <v>0</v>
      </c>
      <c r="X97" s="344">
        <f t="shared" si="304"/>
        <v>0</v>
      </c>
      <c r="Y97" s="344">
        <f t="shared" si="304"/>
        <v>0</v>
      </c>
      <c r="Z97" s="344">
        <f t="shared" si="304"/>
        <v>0</v>
      </c>
      <c r="AA97" s="344">
        <f t="shared" ref="AA97:AH97" si="305">AA77-AA87-AA94</f>
        <v>0</v>
      </c>
      <c r="AB97" s="344">
        <f t="shared" si="305"/>
        <v>0</v>
      </c>
      <c r="AC97" s="344">
        <f t="shared" si="305"/>
        <v>0</v>
      </c>
      <c r="AD97" s="344">
        <f t="shared" si="305"/>
        <v>0</v>
      </c>
      <c r="AE97" s="344">
        <f t="shared" si="305"/>
        <v>0</v>
      </c>
      <c r="AF97" s="344">
        <f t="shared" si="305"/>
        <v>0</v>
      </c>
      <c r="AG97" s="344">
        <f t="shared" si="305"/>
        <v>0</v>
      </c>
      <c r="AH97" s="344">
        <f t="shared" si="305"/>
        <v>0</v>
      </c>
      <c r="AI97" s="344">
        <f>AI77-AI87-AI94</f>
        <v>0</v>
      </c>
      <c r="AJ97" s="344">
        <f t="shared" ref="AJ97" si="306">AJ77-AJ87-AJ94</f>
        <v>0</v>
      </c>
      <c r="AK97" s="344"/>
      <c r="AL97" s="345"/>
      <c r="AM97" s="345"/>
      <c r="AN97" s="345"/>
      <c r="AO97" s="345"/>
      <c r="AP97" s="345"/>
      <c r="AQ97" s="345"/>
      <c r="AR97" s="345"/>
      <c r="AS97" s="345"/>
      <c r="AT97" s="345"/>
      <c r="AU97" s="345"/>
      <c r="AV97" s="345"/>
      <c r="AW97" s="345"/>
      <c r="AX97" s="345"/>
      <c r="AY97" s="345"/>
      <c r="AZ97" s="345"/>
      <c r="BA97" s="344"/>
      <c r="BB97" s="344">
        <f ca="1">BB77-BB87-BB94</f>
        <v>0</v>
      </c>
      <c r="BC97" s="344">
        <f ca="1">BC77-BC87-BC94</f>
        <v>0</v>
      </c>
      <c r="BD97" s="344">
        <f ca="1">BD77-BD87-BD94</f>
        <v>0</v>
      </c>
      <c r="BE97" s="344">
        <f ca="1">BE77-BE87-BE94</f>
        <v>0</v>
      </c>
      <c r="BF97" s="344">
        <f ca="1">BF77-BF87-BF94</f>
        <v>0</v>
      </c>
      <c r="BG97" s="344">
        <f t="shared" ref="BG97:BP97" ca="1" si="307">BG77-BG87-BG94</f>
        <v>0</v>
      </c>
      <c r="BH97" s="344">
        <f t="shared" ca="1" si="307"/>
        <v>0</v>
      </c>
      <c r="BI97" s="344">
        <f t="shared" ca="1" si="307"/>
        <v>0</v>
      </c>
      <c r="BJ97" s="344">
        <f t="shared" ca="1" si="307"/>
        <v>0</v>
      </c>
      <c r="BK97" s="344">
        <f t="shared" ca="1" si="307"/>
        <v>0</v>
      </c>
      <c r="BL97" s="344">
        <f t="shared" ca="1" si="307"/>
        <v>0</v>
      </c>
      <c r="BM97" s="344">
        <f t="shared" ca="1" si="307"/>
        <v>0</v>
      </c>
      <c r="BN97" s="344">
        <f t="shared" ca="1" si="307"/>
        <v>0</v>
      </c>
      <c r="BO97" s="344">
        <f t="shared" ca="1" si="307"/>
        <v>0</v>
      </c>
      <c r="BP97" s="344">
        <f t="shared" ca="1" si="307"/>
        <v>0</v>
      </c>
    </row>
    <row r="98" spans="3:68"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  <c r="AE98" s="346"/>
      <c r="AF98" s="346"/>
      <c r="AG98" s="346"/>
      <c r="AH98" s="346"/>
      <c r="AI98" s="346"/>
      <c r="AJ98" s="346"/>
      <c r="AL98" s="325"/>
      <c r="AM98" s="325"/>
      <c r="AN98" s="325"/>
      <c r="AO98" s="325"/>
      <c r="AP98" s="325"/>
      <c r="AQ98" s="325"/>
      <c r="AR98" s="325"/>
      <c r="AS98" s="325"/>
      <c r="AT98" s="325"/>
      <c r="AU98" s="325"/>
      <c r="AV98" s="325"/>
      <c r="AW98" s="325"/>
      <c r="AX98" s="325"/>
      <c r="AY98" s="325"/>
      <c r="AZ98" s="325"/>
      <c r="BB98" s="346"/>
      <c r="BC98" s="346"/>
      <c r="BD98" s="346"/>
      <c r="BE98" s="346"/>
      <c r="BF98" s="346"/>
      <c r="BG98" s="346"/>
      <c r="BH98" s="346"/>
      <c r="BI98" s="346"/>
      <c r="BJ98" s="346"/>
      <c r="BK98" s="346"/>
      <c r="BL98" s="346"/>
      <c r="BM98" s="346"/>
      <c r="BN98" s="346"/>
      <c r="BO98" s="346"/>
      <c r="BP98" s="346"/>
    </row>
    <row r="99" spans="3:68" ht="12">
      <c r="C99" s="444" t="s">
        <v>276</v>
      </c>
      <c r="E99" s="325"/>
      <c r="F99" s="325"/>
      <c r="G99" s="325"/>
      <c r="H99" s="325"/>
      <c r="I99" s="325"/>
      <c r="J99" s="325"/>
      <c r="K99" s="325"/>
      <c r="L99" s="325"/>
      <c r="M99" s="325"/>
      <c r="N99" s="325"/>
      <c r="O99" s="325"/>
      <c r="P99" s="325"/>
      <c r="Q99" s="325"/>
      <c r="R99" s="325"/>
      <c r="S99" s="325"/>
      <c r="U99" s="325"/>
      <c r="V99" s="325"/>
      <c r="W99" s="325"/>
      <c r="X99" s="325"/>
      <c r="Y99" s="325"/>
      <c r="Z99" s="325"/>
      <c r="AA99" s="325"/>
      <c r="AB99" s="325"/>
      <c r="AC99" s="325"/>
      <c r="AD99" s="325"/>
      <c r="AE99" s="325"/>
      <c r="AF99" s="325"/>
      <c r="AG99" s="325"/>
      <c r="AH99" s="325"/>
      <c r="AI99" s="325"/>
      <c r="AJ99" s="325"/>
      <c r="AL99" s="325"/>
      <c r="AM99" s="325"/>
      <c r="AN99" s="325"/>
      <c r="AO99" s="325"/>
      <c r="AP99" s="325"/>
      <c r="AQ99" s="325"/>
      <c r="AR99" s="325"/>
      <c r="AS99" s="325"/>
      <c r="AT99" s="325"/>
      <c r="AU99" s="325"/>
      <c r="AV99" s="325"/>
      <c r="AW99" s="325"/>
      <c r="AX99" s="325"/>
      <c r="AY99" s="325"/>
      <c r="AZ99" s="325"/>
      <c r="BB99" s="325"/>
      <c r="BC99" s="325"/>
      <c r="BD99" s="325"/>
      <c r="BE99" s="325"/>
      <c r="BF99" s="325"/>
      <c r="BG99" s="325"/>
      <c r="BH99" s="325"/>
      <c r="BI99" s="325"/>
      <c r="BJ99" s="325"/>
      <c r="BK99" s="325"/>
      <c r="BL99" s="325"/>
      <c r="BM99" s="325"/>
      <c r="BN99" s="325"/>
      <c r="BO99" s="325"/>
      <c r="BP99" s="325"/>
    </row>
    <row r="100" spans="3:68" ht="12">
      <c r="E100" s="325"/>
      <c r="F100" s="325"/>
      <c r="G100" s="325"/>
      <c r="H100" s="325"/>
      <c r="I100" s="325"/>
      <c r="J100" s="325"/>
      <c r="K100" s="325"/>
      <c r="L100" s="325"/>
      <c r="M100" s="325"/>
      <c r="N100" s="325"/>
      <c r="O100" s="325"/>
      <c r="P100" s="325"/>
      <c r="Q100" s="325"/>
      <c r="R100" s="325"/>
      <c r="S100" s="325"/>
      <c r="U100" s="325"/>
      <c r="V100" s="325"/>
      <c r="W100" s="325"/>
      <c r="X100" s="325"/>
      <c r="Y100" s="325"/>
      <c r="Z100" s="325"/>
      <c r="AA100" s="325"/>
      <c r="AB100" s="325"/>
      <c r="AC100" s="325"/>
      <c r="AD100" s="325"/>
      <c r="AE100" s="325"/>
      <c r="AF100" s="325"/>
      <c r="AG100" s="325"/>
      <c r="AH100" s="325"/>
      <c r="AI100" s="325"/>
      <c r="AJ100" s="325"/>
      <c r="AL100" s="325"/>
      <c r="AM100" s="325"/>
      <c r="AN100" s="325"/>
      <c r="AO100" s="325"/>
      <c r="AP100" s="325"/>
      <c r="AQ100" s="325"/>
      <c r="AR100" s="325"/>
      <c r="AS100" s="325"/>
      <c r="AT100" s="325"/>
      <c r="AU100" s="325"/>
      <c r="AV100" s="325"/>
      <c r="AW100" s="325"/>
      <c r="AX100" s="325"/>
      <c r="AY100" s="325"/>
      <c r="AZ100" s="478" t="s">
        <v>400</v>
      </c>
      <c r="BA100" s="477">
        <f>AL74</f>
        <v>4500</v>
      </c>
      <c r="BB100" s="325"/>
      <c r="BC100" s="325"/>
      <c r="BD100" s="325"/>
      <c r="BE100" s="325"/>
    </row>
    <row r="101" spans="3:68" ht="12">
      <c r="C101" s="278" t="s">
        <v>310</v>
      </c>
      <c r="E101" s="287"/>
      <c r="F101" s="287"/>
      <c r="G101" s="287"/>
      <c r="H101" s="287"/>
      <c r="I101" s="287"/>
      <c r="J101" s="287"/>
      <c r="K101" s="287"/>
      <c r="L101" s="287"/>
      <c r="M101" s="287"/>
      <c r="N101" s="287"/>
      <c r="O101" s="287"/>
      <c r="P101" s="287"/>
      <c r="Q101" s="287"/>
      <c r="R101" s="287"/>
      <c r="S101" s="287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L101" s="325"/>
      <c r="AM101" s="325"/>
      <c r="AN101" s="325"/>
      <c r="AO101" s="325"/>
      <c r="AP101" s="325"/>
      <c r="AQ101" s="325"/>
      <c r="AR101" s="325"/>
      <c r="AS101" s="325"/>
      <c r="AT101" s="325"/>
      <c r="AU101" s="325"/>
      <c r="AV101" s="325"/>
      <c r="AW101" s="325"/>
      <c r="AX101" s="325"/>
      <c r="AY101" s="325"/>
      <c r="AZ101" s="478" t="s">
        <v>399</v>
      </c>
      <c r="BA101" s="477">
        <f>SUM(AM103:AZ103)</f>
        <v>3150</v>
      </c>
      <c r="BB101" s="325"/>
      <c r="BC101" s="325"/>
      <c r="BD101" s="325"/>
      <c r="BE101" s="325"/>
    </row>
    <row r="102" spans="3:68">
      <c r="C102" s="285" t="s">
        <v>277</v>
      </c>
      <c r="E102" s="287">
        <f ca="1">E56</f>
        <v>666.13517820875529</v>
      </c>
      <c r="F102" s="287">
        <f ca="1">F56</f>
        <v>757.25561769852413</v>
      </c>
      <c r="G102" s="287">
        <f ca="1">G56</f>
        <v>855.13572917001068</v>
      </c>
      <c r="H102" s="287">
        <f ca="1">H56</f>
        <v>969.40994929913677</v>
      </c>
      <c r="I102" s="287">
        <f ca="1">I56</f>
        <v>963.39846531623721</v>
      </c>
      <c r="J102" s="287">
        <f t="shared" ref="J102:S102" ca="1" si="308">J56</f>
        <v>947.57537180242741</v>
      </c>
      <c r="K102" s="287">
        <f t="shared" ca="1" si="308"/>
        <v>1031.2275599793784</v>
      </c>
      <c r="L102" s="287">
        <f t="shared" ca="1" si="308"/>
        <v>991.89480139698173</v>
      </c>
      <c r="M102" s="287">
        <f t="shared" ca="1" si="308"/>
        <v>973.93080293676485</v>
      </c>
      <c r="N102" s="287">
        <f t="shared" ca="1" si="308"/>
        <v>925.0655163608518</v>
      </c>
      <c r="O102" s="287">
        <f t="shared" ca="1" si="308"/>
        <v>866.7972554473223</v>
      </c>
      <c r="P102" s="287">
        <f t="shared" ca="1" si="308"/>
        <v>732.42356569570029</v>
      </c>
      <c r="Q102" s="287">
        <f t="shared" ca="1" si="308"/>
        <v>654.92719039065832</v>
      </c>
      <c r="R102" s="287">
        <f t="shared" ca="1" si="308"/>
        <v>499.61246125090713</v>
      </c>
      <c r="S102" s="287">
        <f t="shared" ca="1" si="308"/>
        <v>434.35534769485491</v>
      </c>
      <c r="U102" s="325"/>
      <c r="V102" s="287">
        <f>V56</f>
        <v>-37.818695674868081</v>
      </c>
      <c r="W102" s="287">
        <f>W56</f>
        <v>-6.4895880701457145</v>
      </c>
      <c r="X102" s="287">
        <f>X56</f>
        <v>32.610000704739903</v>
      </c>
      <c r="Y102" s="287">
        <f>Y56</f>
        <v>84.087166501671106</v>
      </c>
      <c r="Z102" s="287">
        <f>Z56</f>
        <v>149.25945134930186</v>
      </c>
      <c r="AA102" s="287">
        <f t="shared" ref="AA102:AH102" si="309">AA56</f>
        <v>221.94913012075381</v>
      </c>
      <c r="AB102" s="287">
        <f t="shared" si="309"/>
        <v>298.76120244882696</v>
      </c>
      <c r="AC102" s="287">
        <f t="shared" si="309"/>
        <v>376.39298466510394</v>
      </c>
      <c r="AD102" s="287">
        <f t="shared" si="309"/>
        <v>455.00731090683479</v>
      </c>
      <c r="AE102" s="287">
        <f t="shared" si="309"/>
        <v>440.91420834735925</v>
      </c>
      <c r="AF102" s="287">
        <f t="shared" si="309"/>
        <v>407.02410011777039</v>
      </c>
      <c r="AG102" s="287">
        <f t="shared" si="309"/>
        <v>401.62011958760229</v>
      </c>
      <c r="AH102" s="287">
        <f t="shared" si="309"/>
        <v>397.14091922845074</v>
      </c>
      <c r="AI102" s="287">
        <f>AI56</f>
        <v>384.81374165718648</v>
      </c>
      <c r="AJ102" s="287">
        <f t="shared" ref="AJ102" si="310">AJ56</f>
        <v>379.68771438487295</v>
      </c>
      <c r="AL102" s="325"/>
      <c r="AM102" s="325"/>
      <c r="AN102" s="325"/>
      <c r="AO102" s="325"/>
      <c r="AP102" s="325"/>
      <c r="AQ102" s="325"/>
      <c r="AR102" s="325"/>
      <c r="AS102" s="325"/>
      <c r="AT102" s="325"/>
      <c r="AU102" s="325"/>
      <c r="AV102" s="325"/>
      <c r="AW102" s="325"/>
      <c r="AX102" s="325"/>
      <c r="AY102" s="325"/>
      <c r="AZ102" s="325"/>
      <c r="BB102" s="287"/>
      <c r="BC102" s="287">
        <f ca="1">BC56</f>
        <v>610.31074241353701</v>
      </c>
      <c r="BD102" s="287">
        <f ca="1">BD56</f>
        <v>749.38635939826543</v>
      </c>
      <c r="BE102" s="287">
        <f ca="1">BE56</f>
        <v>956.91123965204429</v>
      </c>
      <c r="BF102" s="287">
        <f ca="1">BF56</f>
        <v>1067.9637110641277</v>
      </c>
      <c r="BG102" s="287">
        <f t="shared" ref="BG102:BP102" ca="1" si="311">BG56</f>
        <v>1177.4670266115565</v>
      </c>
      <c r="BH102" s="287">
        <f t="shared" ca="1" si="311"/>
        <v>1384.2561948152138</v>
      </c>
      <c r="BI102" s="287">
        <f t="shared" ca="1" si="311"/>
        <v>1457.0424562509738</v>
      </c>
      <c r="BJ102" s="287">
        <f t="shared" ca="1" si="311"/>
        <v>1541.0852920427178</v>
      </c>
      <c r="BK102" s="287">
        <f t="shared" ca="1" si="311"/>
        <v>1501.6379716540773</v>
      </c>
      <c r="BL102" s="287">
        <f t="shared" ca="1" si="311"/>
        <v>1431.1107228661258</v>
      </c>
      <c r="BM102" s="287">
        <f t="shared" ca="1" si="311"/>
        <v>1298.4035860342651</v>
      </c>
      <c r="BN102" s="287">
        <f t="shared" ca="1" si="311"/>
        <v>1228.2670270542608</v>
      </c>
      <c r="BO102" s="287">
        <f t="shared" ca="1" si="311"/>
        <v>1061.0685392294183</v>
      </c>
      <c r="BP102" s="287">
        <f t="shared" ca="1" si="311"/>
        <v>999.48648897691066</v>
      </c>
    </row>
    <row r="103" spans="3:68">
      <c r="C103" s="285" t="s">
        <v>278</v>
      </c>
      <c r="E103" s="287">
        <f>-E42</f>
        <v>291.58660479003669</v>
      </c>
      <c r="F103" s="287">
        <f>-F42</f>
        <v>320.68449769196076</v>
      </c>
      <c r="G103" s="287">
        <f>-G42</f>
        <v>285.19363075114148</v>
      </c>
      <c r="H103" s="287">
        <f>-H42</f>
        <v>288.73944302840545</v>
      </c>
      <c r="I103" s="287">
        <f>-I42</f>
        <v>287.01637550154248</v>
      </c>
      <c r="J103" s="287">
        <f t="shared" ref="J103:S103" si="312">-J42</f>
        <v>282.48101307094817</v>
      </c>
      <c r="K103" s="287">
        <f t="shared" si="312"/>
        <v>277.98766321376263</v>
      </c>
      <c r="L103" s="287">
        <f t="shared" si="312"/>
        <v>267.76110932046174</v>
      </c>
      <c r="M103" s="287">
        <f t="shared" si="312"/>
        <v>263.09045297664755</v>
      </c>
      <c r="N103" s="287">
        <f t="shared" si="312"/>
        <v>250.3854329198083</v>
      </c>
      <c r="O103" s="287">
        <f t="shared" si="312"/>
        <v>235.23563077072086</v>
      </c>
      <c r="P103" s="287">
        <f t="shared" si="312"/>
        <v>200.29834618622004</v>
      </c>
      <c r="Q103" s="287">
        <f t="shared" si="312"/>
        <v>180.14921637290516</v>
      </c>
      <c r="R103" s="287">
        <f t="shared" si="312"/>
        <v>139.76724202844727</v>
      </c>
      <c r="S103" s="287">
        <f t="shared" si="312"/>
        <v>122.80033167802753</v>
      </c>
      <c r="U103" s="325"/>
      <c r="V103" s="287">
        <f>-V42</f>
        <v>17.569416158685865</v>
      </c>
      <c r="W103" s="287">
        <f>-W42</f>
        <v>20.054756485232726</v>
      </c>
      <c r="X103" s="287">
        <f>-X42</f>
        <v>23.740802287004353</v>
      </c>
      <c r="Y103" s="287">
        <f>-Y42</f>
        <v>27.647197432080642</v>
      </c>
      <c r="Z103" s="287">
        <f>-Z42</f>
        <v>31.699337318308423</v>
      </c>
      <c r="AA103" s="287">
        <f t="shared" ref="AA103:AH103" si="313">-AA42</f>
        <v>34.659979139092833</v>
      </c>
      <c r="AB103" s="287">
        <f t="shared" si="313"/>
        <v>36.908573223136308</v>
      </c>
      <c r="AC103" s="287">
        <f t="shared" si="313"/>
        <v>38.471201788757085</v>
      </c>
      <c r="AD103" s="287">
        <f t="shared" si="313"/>
        <v>39.663110021940568</v>
      </c>
      <c r="AE103" s="287">
        <f t="shared" si="313"/>
        <v>33.446207888780954</v>
      </c>
      <c r="AF103" s="287">
        <f t="shared" si="313"/>
        <v>28.607470908186638</v>
      </c>
      <c r="AG103" s="287">
        <f t="shared" si="313"/>
        <v>26.300891266644101</v>
      </c>
      <c r="AH103" s="287">
        <f t="shared" si="313"/>
        <v>24.336584584121987</v>
      </c>
      <c r="AI103" s="287">
        <f>-AI42</f>
        <v>22.138817881856415</v>
      </c>
      <c r="AJ103" s="287">
        <f>-AJ42</f>
        <v>20.582747210554505</v>
      </c>
      <c r="AL103" s="325"/>
      <c r="AM103" s="324">
        <f>$AL$74/20</f>
        <v>225</v>
      </c>
      <c r="AN103" s="324">
        <f>$AL$74/20</f>
        <v>225</v>
      </c>
      <c r="AO103" s="324">
        <f>$AL$74/20</f>
        <v>225</v>
      </c>
      <c r="AP103" s="324">
        <f>$AL$74/20</f>
        <v>225</v>
      </c>
      <c r="AQ103" s="324">
        <f t="shared" ref="AQ103:AZ103" si="314">$AL$74/20</f>
        <v>225</v>
      </c>
      <c r="AR103" s="324">
        <f t="shared" si="314"/>
        <v>225</v>
      </c>
      <c r="AS103" s="324">
        <f t="shared" si="314"/>
        <v>225</v>
      </c>
      <c r="AT103" s="324">
        <f t="shared" si="314"/>
        <v>225</v>
      </c>
      <c r="AU103" s="324">
        <f t="shared" si="314"/>
        <v>225</v>
      </c>
      <c r="AV103" s="324">
        <f t="shared" si="314"/>
        <v>225</v>
      </c>
      <c r="AW103" s="324">
        <f t="shared" si="314"/>
        <v>225</v>
      </c>
      <c r="AX103" s="324">
        <f t="shared" si="314"/>
        <v>225</v>
      </c>
      <c r="AY103" s="324">
        <f t="shared" si="314"/>
        <v>225</v>
      </c>
      <c r="AZ103" s="324">
        <f t="shared" si="314"/>
        <v>225</v>
      </c>
      <c r="BB103" s="287"/>
      <c r="BC103" s="324">
        <f>F103+W103+AM103</f>
        <v>565.73925417719352</v>
      </c>
      <c r="BD103" s="324">
        <f>G103+X103+AN103</f>
        <v>533.93443303814581</v>
      </c>
      <c r="BE103" s="324">
        <f>H103+Y103+AO103</f>
        <v>541.38664046048609</v>
      </c>
      <c r="BF103" s="324">
        <f>I103+Z103+AP103</f>
        <v>543.71571281985098</v>
      </c>
      <c r="BG103" s="324">
        <f t="shared" ref="BG103:BP103" si="315">J103+AA103+AQ103</f>
        <v>542.14099221004108</v>
      </c>
      <c r="BH103" s="324">
        <f t="shared" si="315"/>
        <v>539.89623643689902</v>
      </c>
      <c r="BI103" s="324">
        <f t="shared" si="315"/>
        <v>531.23231110921881</v>
      </c>
      <c r="BJ103" s="324">
        <f t="shared" si="315"/>
        <v>527.75356299858811</v>
      </c>
      <c r="BK103" s="324">
        <f t="shared" si="315"/>
        <v>508.83164080858927</v>
      </c>
      <c r="BL103" s="324">
        <f t="shared" si="315"/>
        <v>488.84310167890749</v>
      </c>
      <c r="BM103" s="324">
        <f t="shared" si="315"/>
        <v>451.59923745286414</v>
      </c>
      <c r="BN103" s="324">
        <f t="shared" si="315"/>
        <v>429.48580095702715</v>
      </c>
      <c r="BO103" s="324">
        <f t="shared" si="315"/>
        <v>386.90605991030372</v>
      </c>
      <c r="BP103" s="324">
        <f t="shared" si="315"/>
        <v>368.38307888858208</v>
      </c>
    </row>
    <row r="104" spans="3:68">
      <c r="C104" s="285" t="s">
        <v>313</v>
      </c>
      <c r="E104" s="287">
        <f>'Cintas CF'!N13+'Cintas CF'!N14+'Cintas CF'!N15</f>
        <v>120.998</v>
      </c>
      <c r="F104" s="287">
        <f>'Cintas CF'!O13+'Cintas CF'!O14+'Cintas CF'!O15</f>
        <v>120.998</v>
      </c>
      <c r="G104" s="287">
        <f>'Cintas CF'!P13+'Cintas CF'!P14+'Cintas CF'!P15</f>
        <v>120.998</v>
      </c>
      <c r="H104" s="287">
        <f>'Cintas CF'!Q13+'Cintas CF'!Q14+'Cintas CF'!Q15</f>
        <v>120.998</v>
      </c>
      <c r="I104" s="287">
        <f>'Cintas CF'!R13+'Cintas CF'!R14+'Cintas CF'!R15</f>
        <v>120.998</v>
      </c>
      <c r="J104" s="287">
        <f>'Cintas CF'!S13+'Cintas CF'!S14+'Cintas CF'!S15</f>
        <v>120.998</v>
      </c>
      <c r="K104" s="287">
        <f>'Cintas CF'!T13+'Cintas CF'!T14+'Cintas CF'!T15</f>
        <v>120.998</v>
      </c>
      <c r="L104" s="287">
        <f>'Cintas CF'!U13+'Cintas CF'!U14+'Cintas CF'!U15</f>
        <v>120.998</v>
      </c>
      <c r="M104" s="287">
        <f>'Cintas CF'!V13+'Cintas CF'!V14+'Cintas CF'!V15</f>
        <v>120.998</v>
      </c>
      <c r="N104" s="287">
        <f>'Cintas CF'!W13+'Cintas CF'!W14+'Cintas CF'!W15</f>
        <v>120.998</v>
      </c>
      <c r="O104" s="287">
        <f>'Cintas CF'!X13+'Cintas CF'!X14+'Cintas CF'!X15</f>
        <v>120.998</v>
      </c>
      <c r="P104" s="287">
        <f>'Cintas CF'!Y13+'Cintas CF'!Y14+'Cintas CF'!Y15</f>
        <v>120.998</v>
      </c>
      <c r="Q104" s="287">
        <f>'Cintas CF'!Z13+'Cintas CF'!Z14+'Cintas CF'!Z15</f>
        <v>120.998</v>
      </c>
      <c r="R104" s="287">
        <f>'Cintas CF'!AA13+'Cintas CF'!AA14+'Cintas CF'!AA15</f>
        <v>120.998</v>
      </c>
      <c r="S104" s="287">
        <f>'Cintas CF'!AB13+'Cintas CF'!AB14+'Cintas CF'!AB15</f>
        <v>120.998</v>
      </c>
      <c r="U104" s="325"/>
      <c r="V104" s="287">
        <v>0</v>
      </c>
      <c r="W104" s="287">
        <f>V104</f>
        <v>0</v>
      </c>
      <c r="X104" s="287">
        <f t="shared" ref="X104:Z104" si="316">W104</f>
        <v>0</v>
      </c>
      <c r="Y104" s="287">
        <f t="shared" si="316"/>
        <v>0</v>
      </c>
      <c r="Z104" s="287">
        <f t="shared" si="316"/>
        <v>0</v>
      </c>
      <c r="AA104" s="287">
        <f t="shared" ref="AA104" si="317">Z104</f>
        <v>0</v>
      </c>
      <c r="AB104" s="287">
        <f t="shared" ref="AB104" si="318">AA104</f>
        <v>0</v>
      </c>
      <c r="AC104" s="287">
        <f t="shared" ref="AC104" si="319">AB104</f>
        <v>0</v>
      </c>
      <c r="AD104" s="287">
        <f t="shared" ref="AD104" si="320">AC104</f>
        <v>0</v>
      </c>
      <c r="AE104" s="287">
        <f t="shared" ref="AE104" si="321">AD104</f>
        <v>0</v>
      </c>
      <c r="AF104" s="287">
        <f t="shared" ref="AF104" si="322">AE104</f>
        <v>0</v>
      </c>
      <c r="AG104" s="287">
        <f t="shared" ref="AG104" si="323">AF104</f>
        <v>0</v>
      </c>
      <c r="AH104" s="287">
        <f t="shared" ref="AH104" si="324">AG104</f>
        <v>0</v>
      </c>
      <c r="AI104" s="287">
        <f t="shared" ref="AI104" si="325">AH104</f>
        <v>0</v>
      </c>
      <c r="AJ104" s="287">
        <f t="shared" ref="AJ104" si="326">AI104</f>
        <v>0</v>
      </c>
      <c r="AL104" s="325"/>
      <c r="AM104" s="325"/>
      <c r="AN104" s="325"/>
      <c r="AO104" s="325"/>
      <c r="AP104" s="325"/>
      <c r="AQ104" s="325"/>
      <c r="AR104" s="325"/>
      <c r="AS104" s="325"/>
      <c r="AT104" s="325"/>
      <c r="AU104" s="325"/>
      <c r="AV104" s="325"/>
      <c r="AW104" s="325"/>
      <c r="AX104" s="325"/>
      <c r="AY104" s="325"/>
      <c r="AZ104" s="325"/>
      <c r="BB104" s="287"/>
      <c r="BC104" s="324">
        <f t="shared" ref="BC104:BF105" si="327">F104+W104</f>
        <v>120.998</v>
      </c>
      <c r="BD104" s="324">
        <f t="shared" si="327"/>
        <v>120.998</v>
      </c>
      <c r="BE104" s="324">
        <f t="shared" si="327"/>
        <v>120.998</v>
      </c>
      <c r="BF104" s="324">
        <f t="shared" si="327"/>
        <v>120.998</v>
      </c>
      <c r="BG104" s="324">
        <f t="shared" ref="BG104:BP105" si="328">J104+AA104</f>
        <v>120.998</v>
      </c>
      <c r="BH104" s="324">
        <f t="shared" si="328"/>
        <v>120.998</v>
      </c>
      <c r="BI104" s="324">
        <f t="shared" si="328"/>
        <v>120.998</v>
      </c>
      <c r="BJ104" s="324">
        <f t="shared" si="328"/>
        <v>120.998</v>
      </c>
      <c r="BK104" s="324">
        <f t="shared" si="328"/>
        <v>120.998</v>
      </c>
      <c r="BL104" s="324">
        <f t="shared" si="328"/>
        <v>120.998</v>
      </c>
      <c r="BM104" s="324">
        <f t="shared" si="328"/>
        <v>120.998</v>
      </c>
      <c r="BN104" s="324">
        <f t="shared" si="328"/>
        <v>120.998</v>
      </c>
      <c r="BO104" s="324">
        <f t="shared" si="328"/>
        <v>120.998</v>
      </c>
      <c r="BP104" s="324">
        <f t="shared" si="328"/>
        <v>120.998</v>
      </c>
    </row>
    <row r="105" spans="3:68">
      <c r="C105" s="285" t="s">
        <v>279</v>
      </c>
      <c r="E105" s="347">
        <f>SUM('Cintas CF'!N17:N22)</f>
        <v>-9.0176094730076706</v>
      </c>
      <c r="F105" s="347">
        <f>SUM('Cintas CF'!O17:O22)</f>
        <v>-12.097396935805605</v>
      </c>
      <c r="G105" s="347">
        <f>SUM('Cintas CF'!P17:P22)</f>
        <v>14.75526445939191</v>
      </c>
      <c r="H105" s="347">
        <f>SUM('Cintas CF'!Q17:Q22)</f>
        <v>-1.4741651130030569</v>
      </c>
      <c r="I105" s="347">
        <f>SUM('Cintas CF'!R17:R22)</f>
        <v>0.71636224278904237</v>
      </c>
      <c r="J105" s="347">
        <f>SUM('Cintas CF'!S17:S22)</f>
        <v>1.8855688195556901</v>
      </c>
      <c r="K105" s="347">
        <f>SUM('Cintas CF'!T17:T22)</f>
        <v>1.8681021672956035</v>
      </c>
      <c r="L105" s="347">
        <f>SUM('Cintas CF'!U17:U22)</f>
        <v>4.2516714921474019</v>
      </c>
      <c r="M105" s="347">
        <f>SUM('Cintas CF'!V17:V22)</f>
        <v>1.9418170220195812</v>
      </c>
      <c r="N105" s="347">
        <f>SUM('Cintas CF'!W17:W22)</f>
        <v>5.2820893671924054</v>
      </c>
      <c r="O105" s="347">
        <f>SUM('Cintas CF'!X17:X22)</f>
        <v>6.2985031498384352</v>
      </c>
      <c r="P105" s="347">
        <f>SUM('Cintas CF'!Y17:Y22)</f>
        <v>14.525113584769642</v>
      </c>
      <c r="Q105" s="347">
        <f>SUM('Cintas CF'!Z17:Z22)</f>
        <v>8.376964685529785</v>
      </c>
      <c r="R105" s="347">
        <f>SUM('Cintas CF'!AA17:AA22)</f>
        <v>16.788733615282553</v>
      </c>
      <c r="S105" s="347">
        <f>SUM('Cintas CF'!AB17:AB22)</f>
        <v>7.05396263485747</v>
      </c>
      <c r="U105" s="325"/>
      <c r="V105" s="347">
        <f>(U70+U71+U72-U80-U81-U83)-(V70+V71+V72-V80-V81-V83)</f>
        <v>-6.3713988391136667</v>
      </c>
      <c r="W105" s="347">
        <f t="shared" ref="W105:Z105" si="329">(V70+V71+V72-V80-V81-V83)-(W70+W71+W72-W80-W81-W83)</f>
        <v>-8.057240166196749</v>
      </c>
      <c r="X105" s="347">
        <f t="shared" si="329"/>
        <v>-11.949814667731857</v>
      </c>
      <c r="Y105" s="347">
        <f t="shared" si="329"/>
        <v>-12.664166565741766</v>
      </c>
      <c r="Z105" s="347">
        <f t="shared" si="329"/>
        <v>-13.136657342910055</v>
      </c>
      <c r="AA105" s="347">
        <f t="shared" ref="AA105" si="330">(Z70+Z71+Z72-Z80-Z81-Z83)-(AA70+AA71+AA72-AA80-AA81-AA83)</f>
        <v>-9.5981230181419619</v>
      </c>
      <c r="AB105" s="347">
        <f t="shared" ref="AB105" si="331">(AA70+AA71+AA72-AA80-AA81-AA83)-(AB70+AB71+AB72-AB80-AB81-AB83)</f>
        <v>-7.2897310593273232</v>
      </c>
      <c r="AC105" s="347">
        <f t="shared" ref="AC105" si="332">(AB70+AB71+AB72-AB80-AB81-AB83)-(AC70+AC71+AC72-AC80-AC81-AC83)</f>
        <v>-5.0658952052893937</v>
      </c>
      <c r="AD105" s="347">
        <f t="shared" ref="AD105" si="333">(AC70+AC71+AC72-AC80-AC81-AC83)-(AD70+AD71+AD72-AD80-AD81-AD83)</f>
        <v>-3.8640546681868386</v>
      </c>
      <c r="AE105" s="347">
        <f t="shared" ref="AE105" si="334">(AD70+AD71+AD72-AD80-AD81-AD83)-(AE70+AE71+AE72-AE80-AE81-AE83)</f>
        <v>20.154613451351395</v>
      </c>
      <c r="AF105" s="347">
        <f t="shared" ref="AF105" si="335">(AE70+AE71+AE72-AE80-AE81-AE83)-(AF70+AF71+AF72-AF80-AF81-AF83)</f>
        <v>15.686731324991015</v>
      </c>
      <c r="AG105" s="347">
        <f t="shared" ref="AG105" si="336">(AF70+AF71+AF72-AF80-AF81-AF83)-(AG70+AG71+AG72-AG80-AG81-AG83)</f>
        <v>7.477714796584678</v>
      </c>
      <c r="AH105" s="347">
        <f t="shared" ref="AH105" si="337">(AG70+AG71+AG72-AG80-AG81-AG83)-(AH70+AH71+AH72-AH80-AH81-AH83)</f>
        <v>6.3680979751919722</v>
      </c>
      <c r="AI105" s="347">
        <f t="shared" ref="AI105" si="338">(AH70+AH71+AH72-AH80-AH81-AH83)-(AI70+AI71+AI72-AI80-AI81-AI83)</f>
        <v>7.1249534561840449</v>
      </c>
      <c r="AJ105" s="347">
        <f t="shared" ref="AJ105" si="339">(AI70+AI71+AI72-AI80-AI81-AI83)-(AJ70+AJ71+AJ72-AJ80-AJ81-AJ83)</f>
        <v>5.0446351271635876</v>
      </c>
      <c r="AL105" s="325"/>
      <c r="AM105" s="325"/>
      <c r="AN105" s="325"/>
      <c r="AO105" s="325"/>
      <c r="AP105" s="325"/>
      <c r="AQ105" s="325"/>
      <c r="AR105" s="325"/>
      <c r="AS105" s="325"/>
      <c r="AT105" s="325"/>
      <c r="AU105" s="325"/>
      <c r="AV105" s="325"/>
      <c r="AW105" s="325"/>
      <c r="AX105" s="325"/>
      <c r="AY105" s="325"/>
      <c r="AZ105" s="325"/>
      <c r="BB105" s="287"/>
      <c r="BC105" s="347">
        <f t="shared" si="327"/>
        <v>-20.154637102002354</v>
      </c>
      <c r="BD105" s="347">
        <f t="shared" si="327"/>
        <v>2.8054497916600525</v>
      </c>
      <c r="BE105" s="347">
        <f t="shared" si="327"/>
        <v>-14.138331678744823</v>
      </c>
      <c r="BF105" s="347">
        <f t="shared" si="327"/>
        <v>-12.420295100121013</v>
      </c>
      <c r="BG105" s="347">
        <f t="shared" si="328"/>
        <v>-7.7125541985862718</v>
      </c>
      <c r="BH105" s="347">
        <f t="shared" si="328"/>
        <v>-5.4216288920317197</v>
      </c>
      <c r="BI105" s="347">
        <f t="shared" si="328"/>
        <v>-0.81422371314199182</v>
      </c>
      <c r="BJ105" s="347">
        <f t="shared" si="328"/>
        <v>-1.9222376461672575</v>
      </c>
      <c r="BK105" s="347">
        <f t="shared" si="328"/>
        <v>25.4367028185438</v>
      </c>
      <c r="BL105" s="347">
        <f t="shared" si="328"/>
        <v>21.985234474829451</v>
      </c>
      <c r="BM105" s="347">
        <f t="shared" si="328"/>
        <v>22.00282838135432</v>
      </c>
      <c r="BN105" s="347">
        <f t="shared" si="328"/>
        <v>14.745062660721757</v>
      </c>
      <c r="BO105" s="347">
        <f t="shared" si="328"/>
        <v>23.913687071466597</v>
      </c>
      <c r="BP105" s="347">
        <f t="shared" si="328"/>
        <v>12.098597762021058</v>
      </c>
    </row>
    <row r="106" spans="3:68" ht="12">
      <c r="C106" s="318" t="s">
        <v>280</v>
      </c>
      <c r="D106" s="348"/>
      <c r="E106" s="327">
        <f ca="1">SUM(E102:E105)</f>
        <v>1069.7021735257842</v>
      </c>
      <c r="F106" s="327">
        <f ca="1">SUM(F102:F105)</f>
        <v>1186.8407184546793</v>
      </c>
      <c r="G106" s="327">
        <f ca="1">SUM(G102:G105)</f>
        <v>1276.0826243805441</v>
      </c>
      <c r="H106" s="327">
        <f ca="1">SUM(H102:H105)</f>
        <v>1377.6732272145393</v>
      </c>
      <c r="I106" s="327">
        <f ca="1">SUM(I102:I105)</f>
        <v>1372.1292030605689</v>
      </c>
      <c r="J106" s="327">
        <f t="shared" ref="J106:S106" ca="1" si="340">SUM(J102:J105)</f>
        <v>1352.9399536929311</v>
      </c>
      <c r="K106" s="327">
        <f t="shared" ca="1" si="340"/>
        <v>1432.0813253604365</v>
      </c>
      <c r="L106" s="327">
        <f t="shared" ca="1" si="340"/>
        <v>1384.9055822095909</v>
      </c>
      <c r="M106" s="327">
        <f t="shared" ca="1" si="340"/>
        <v>1359.9610729354322</v>
      </c>
      <c r="N106" s="327">
        <f t="shared" ca="1" si="340"/>
        <v>1301.7310386478525</v>
      </c>
      <c r="O106" s="327">
        <f t="shared" ca="1" si="340"/>
        <v>1229.3293893678815</v>
      </c>
      <c r="P106" s="327">
        <f t="shared" ca="1" si="340"/>
        <v>1068.2450254666899</v>
      </c>
      <c r="Q106" s="327">
        <f t="shared" ca="1" si="340"/>
        <v>964.45137144909324</v>
      </c>
      <c r="R106" s="327">
        <f t="shared" ca="1" si="340"/>
        <v>777.16643689463706</v>
      </c>
      <c r="S106" s="327">
        <f t="shared" ca="1" si="340"/>
        <v>685.20764200773999</v>
      </c>
      <c r="T106" s="327"/>
      <c r="U106" s="349"/>
      <c r="V106" s="327">
        <f>SUM(V102:V105)</f>
        <v>-26.620678355295883</v>
      </c>
      <c r="W106" s="327">
        <f>SUM(W102:W105)</f>
        <v>5.5079282488902628</v>
      </c>
      <c r="X106" s="327">
        <f>SUM(X102:X105)</f>
        <v>44.400988324012403</v>
      </c>
      <c r="Y106" s="327">
        <f>SUM(Y102:Y105)</f>
        <v>99.070197368009985</v>
      </c>
      <c r="Z106" s="327">
        <f>SUM(Z102:Z105)</f>
        <v>167.82213132470025</v>
      </c>
      <c r="AA106" s="327">
        <f t="shared" ref="AA106:AH106" si="341">SUM(AA102:AA105)</f>
        <v>247.0109862417047</v>
      </c>
      <c r="AB106" s="327">
        <f t="shared" si="341"/>
        <v>328.38004461263597</v>
      </c>
      <c r="AC106" s="327">
        <f t="shared" si="341"/>
        <v>409.79829124857162</v>
      </c>
      <c r="AD106" s="327">
        <f t="shared" si="341"/>
        <v>490.8063662605885</v>
      </c>
      <c r="AE106" s="327">
        <f t="shared" si="341"/>
        <v>494.51502968749162</v>
      </c>
      <c r="AF106" s="327">
        <f t="shared" si="341"/>
        <v>451.31830235094804</v>
      </c>
      <c r="AG106" s="327">
        <f t="shared" si="341"/>
        <v>435.39872565083107</v>
      </c>
      <c r="AH106" s="327">
        <f t="shared" si="341"/>
        <v>427.84560178776468</v>
      </c>
      <c r="AI106" s="327">
        <f>SUM(AI102:AI105)</f>
        <v>414.07751299522693</v>
      </c>
      <c r="AJ106" s="327">
        <f t="shared" ref="AJ106" si="342">SUM(AJ102:AJ105)</f>
        <v>405.31509672259102</v>
      </c>
      <c r="AK106" s="327"/>
      <c r="AL106" s="349"/>
      <c r="AM106" s="349"/>
      <c r="AN106" s="349"/>
      <c r="AO106" s="349"/>
      <c r="AP106" s="349"/>
      <c r="AQ106" s="349"/>
      <c r="AR106" s="349"/>
      <c r="AS106" s="349"/>
      <c r="AT106" s="349"/>
      <c r="AU106" s="349"/>
      <c r="AV106" s="349"/>
      <c r="AW106" s="349"/>
      <c r="AX106" s="349"/>
      <c r="AY106" s="349"/>
      <c r="AZ106" s="349"/>
      <c r="BA106" s="327"/>
      <c r="BB106" s="327"/>
      <c r="BC106" s="327">
        <f ca="1">SUM(BC102:BC105)</f>
        <v>1276.8933594887283</v>
      </c>
      <c r="BD106" s="327">
        <f ca="1">SUM(BD102:BD105)</f>
        <v>1407.1242422280714</v>
      </c>
      <c r="BE106" s="327">
        <f ca="1">SUM(BE102:BE105)</f>
        <v>1605.1575484337857</v>
      </c>
      <c r="BF106" s="327">
        <f ca="1">SUM(BF102:BF105)</f>
        <v>1720.2571287838578</v>
      </c>
      <c r="BG106" s="327">
        <f t="shared" ref="BG106:BP106" ca="1" si="343">SUM(BG102:BG105)</f>
        <v>1832.8934646230114</v>
      </c>
      <c r="BH106" s="327">
        <f t="shared" ca="1" si="343"/>
        <v>2039.7288023600811</v>
      </c>
      <c r="BI106" s="327">
        <f t="shared" ca="1" si="343"/>
        <v>2108.4585436470506</v>
      </c>
      <c r="BJ106" s="327">
        <f t="shared" ca="1" si="343"/>
        <v>2187.914617395139</v>
      </c>
      <c r="BK106" s="327">
        <f t="shared" ca="1" si="343"/>
        <v>2156.9043152812105</v>
      </c>
      <c r="BL106" s="327">
        <f t="shared" ca="1" si="343"/>
        <v>2062.9370590198628</v>
      </c>
      <c r="BM106" s="327">
        <f t="shared" ca="1" si="343"/>
        <v>1893.0036518684835</v>
      </c>
      <c r="BN106" s="327">
        <f t="shared" ca="1" si="343"/>
        <v>1793.4958906720096</v>
      </c>
      <c r="BO106" s="327">
        <f t="shared" ca="1" si="343"/>
        <v>1592.8862862111887</v>
      </c>
      <c r="BP106" s="327">
        <f t="shared" ca="1" si="343"/>
        <v>1500.9661656275136</v>
      </c>
    </row>
    <row r="107" spans="3:68">
      <c r="E107" s="287"/>
      <c r="F107" s="287"/>
      <c r="G107" s="287"/>
      <c r="H107" s="287"/>
      <c r="I107" s="287"/>
      <c r="J107" s="287"/>
      <c r="K107" s="287"/>
      <c r="L107" s="287"/>
      <c r="M107" s="287"/>
      <c r="N107" s="287"/>
      <c r="O107" s="287"/>
      <c r="P107" s="287"/>
      <c r="Q107" s="287"/>
      <c r="R107" s="287"/>
      <c r="S107" s="287"/>
      <c r="U107" s="325"/>
      <c r="V107" s="325"/>
      <c r="W107" s="325"/>
      <c r="X107" s="325"/>
      <c r="Y107" s="325"/>
      <c r="Z107" s="325"/>
      <c r="AA107" s="325"/>
      <c r="AB107" s="325"/>
      <c r="AC107" s="325"/>
      <c r="AD107" s="325"/>
      <c r="AE107" s="325"/>
      <c r="AF107" s="325"/>
      <c r="AG107" s="325"/>
      <c r="AH107" s="325"/>
      <c r="AI107" s="325"/>
      <c r="AJ107" s="325"/>
      <c r="AL107" s="325"/>
      <c r="AM107" s="325"/>
      <c r="AN107" s="325"/>
      <c r="AO107" s="325"/>
      <c r="AP107" s="325"/>
      <c r="AQ107" s="325"/>
      <c r="AR107" s="325"/>
      <c r="AS107" s="325"/>
      <c r="AT107" s="325"/>
      <c r="AU107" s="325"/>
      <c r="AV107" s="325"/>
      <c r="AW107" s="325"/>
      <c r="AX107" s="325"/>
      <c r="AY107" s="325"/>
      <c r="AZ107" s="325"/>
      <c r="BB107" s="287"/>
      <c r="BC107" s="287"/>
      <c r="BD107" s="287"/>
      <c r="BE107" s="287"/>
      <c r="BF107" s="287"/>
      <c r="BG107" s="287"/>
      <c r="BH107" s="287"/>
      <c r="BI107" s="287"/>
      <c r="BJ107" s="287"/>
      <c r="BK107" s="287"/>
      <c r="BL107" s="287"/>
      <c r="BM107" s="287"/>
      <c r="BN107" s="287"/>
      <c r="BO107" s="287"/>
      <c r="BP107" s="287"/>
    </row>
    <row r="108" spans="3:68" ht="12">
      <c r="C108" s="278" t="s">
        <v>311</v>
      </c>
      <c r="E108" s="287"/>
      <c r="F108" s="287"/>
      <c r="G108" s="287"/>
      <c r="H108" s="287"/>
      <c r="I108" s="287"/>
      <c r="J108" s="287"/>
      <c r="K108" s="287"/>
      <c r="L108" s="287"/>
      <c r="M108" s="287"/>
      <c r="N108" s="287"/>
      <c r="O108" s="287"/>
      <c r="P108" s="287"/>
      <c r="Q108" s="287"/>
      <c r="R108" s="287"/>
      <c r="S108" s="287"/>
      <c r="U108" s="325"/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/>
      <c r="AH108" s="325"/>
      <c r="AI108" s="325"/>
      <c r="AJ108" s="325"/>
      <c r="AL108" s="325"/>
      <c r="AM108" s="325"/>
      <c r="AN108" s="325"/>
      <c r="AO108" s="325"/>
      <c r="AP108" s="325"/>
      <c r="AQ108" s="325"/>
      <c r="AR108" s="325"/>
      <c r="AS108" s="325"/>
      <c r="AT108" s="325"/>
      <c r="AU108" s="325"/>
      <c r="AV108" s="325"/>
      <c r="AW108" s="325"/>
      <c r="AX108" s="325"/>
      <c r="AY108" s="325"/>
      <c r="AZ108" s="325"/>
      <c r="BB108" s="287"/>
      <c r="BC108" s="287"/>
      <c r="BD108" s="287"/>
      <c r="BE108" s="287"/>
      <c r="BF108" s="287"/>
      <c r="BG108" s="287"/>
      <c r="BH108" s="287"/>
      <c r="BI108" s="287"/>
      <c r="BJ108" s="287"/>
      <c r="BK108" s="287"/>
      <c r="BL108" s="287"/>
      <c r="BM108" s="287"/>
      <c r="BN108" s="287"/>
      <c r="BO108" s="287"/>
      <c r="BP108" s="287"/>
    </row>
    <row r="109" spans="3:68">
      <c r="C109" s="285" t="s">
        <v>134</v>
      </c>
      <c r="E109" s="371">
        <f>'Cintas CF'!N25</f>
        <v>-106.33894146076673</v>
      </c>
      <c r="F109" s="371">
        <f>'Cintas CF'!O25</f>
        <v>-116.95067423277608</v>
      </c>
      <c r="G109" s="371">
        <f>'Cintas CF'!P25</f>
        <v>-104.00748287894403</v>
      </c>
      <c r="H109" s="371">
        <f>'Cintas CF'!Q25</f>
        <v>-105.3006078647586</v>
      </c>
      <c r="I109" s="371">
        <f>'Cintas CF'!R25</f>
        <v>-104.6722210532178</v>
      </c>
      <c r="J109" s="371">
        <f>'Cintas CF'!S25</f>
        <v>-103.01821626668924</v>
      </c>
      <c r="K109" s="371">
        <f>'Cintas CF'!T25</f>
        <v>-101.37953307762415</v>
      </c>
      <c r="L109" s="371">
        <f>'Cintas CF'!U25</f>
        <v>-97.6500033326341</v>
      </c>
      <c r="M109" s="371">
        <f>'Cintas CF'!V25</f>
        <v>-95.946658105627336</v>
      </c>
      <c r="N109" s="371">
        <f>'Cintas CF'!W25</f>
        <v>-91.313254643712682</v>
      </c>
      <c r="O109" s="371">
        <f>'Cintas CF'!X25</f>
        <v>-85.788261734542345</v>
      </c>
      <c r="P109" s="371">
        <f>'Cintas CF'!Y25</f>
        <v>-73.046956752770001</v>
      </c>
      <c r="Q109" s="371">
        <f>'Cintas CF'!Z25</f>
        <v>-65.698755221885776</v>
      </c>
      <c r="R109" s="371">
        <f>'Cintas CF'!AA25</f>
        <v>-50.971822175775479</v>
      </c>
      <c r="S109" s="371">
        <f>'Cintas CF'!AB25</f>
        <v>-44.784146689713467</v>
      </c>
      <c r="U109" s="325"/>
      <c r="V109" s="371">
        <v>0</v>
      </c>
      <c r="W109" s="371">
        <v>0</v>
      </c>
      <c r="X109" s="371">
        <v>0</v>
      </c>
      <c r="Y109" s="371">
        <v>0</v>
      </c>
      <c r="Z109" s="371">
        <v>0</v>
      </c>
      <c r="AA109" s="371">
        <v>0</v>
      </c>
      <c r="AB109" s="371">
        <v>0</v>
      </c>
      <c r="AC109" s="371">
        <v>0</v>
      </c>
      <c r="AD109" s="371">
        <v>0</v>
      </c>
      <c r="AE109" s="371">
        <v>0</v>
      </c>
      <c r="AF109" s="371">
        <v>0</v>
      </c>
      <c r="AG109" s="371">
        <v>0</v>
      </c>
      <c r="AH109" s="371">
        <v>0</v>
      </c>
      <c r="AI109" s="371">
        <v>0</v>
      </c>
      <c r="AJ109" s="371">
        <v>0</v>
      </c>
      <c r="AL109" s="325"/>
      <c r="AM109" s="325"/>
      <c r="AN109" s="325"/>
      <c r="AO109" s="325"/>
      <c r="AP109" s="325"/>
      <c r="AQ109" s="325"/>
      <c r="AR109" s="325"/>
      <c r="AS109" s="325"/>
      <c r="AT109" s="325"/>
      <c r="AU109" s="325"/>
      <c r="AV109" s="325"/>
      <c r="AW109" s="325"/>
      <c r="AX109" s="325"/>
      <c r="AY109" s="325"/>
      <c r="AZ109" s="325"/>
      <c r="BB109" s="287"/>
      <c r="BC109" s="324">
        <f t="shared" ref="BC109:BF110" si="344">F109+W109</f>
        <v>-116.95067423277608</v>
      </c>
      <c r="BD109" s="324">
        <f t="shared" si="344"/>
        <v>-104.00748287894403</v>
      </c>
      <c r="BE109" s="324">
        <f t="shared" si="344"/>
        <v>-105.3006078647586</v>
      </c>
      <c r="BF109" s="324">
        <f t="shared" si="344"/>
        <v>-104.6722210532178</v>
      </c>
      <c r="BG109" s="324">
        <f t="shared" ref="BG109:BP110" si="345">J109+AA109</f>
        <v>-103.01821626668924</v>
      </c>
      <c r="BH109" s="324">
        <f t="shared" si="345"/>
        <v>-101.37953307762415</v>
      </c>
      <c r="BI109" s="324">
        <f t="shared" si="345"/>
        <v>-97.6500033326341</v>
      </c>
      <c r="BJ109" s="324">
        <f t="shared" si="345"/>
        <v>-95.946658105627336</v>
      </c>
      <c r="BK109" s="324">
        <f t="shared" si="345"/>
        <v>-91.313254643712682</v>
      </c>
      <c r="BL109" s="324">
        <f t="shared" si="345"/>
        <v>-85.788261734542345</v>
      </c>
      <c r="BM109" s="324">
        <f t="shared" si="345"/>
        <v>-73.046956752770001</v>
      </c>
      <c r="BN109" s="324">
        <f t="shared" si="345"/>
        <v>-65.698755221885776</v>
      </c>
      <c r="BO109" s="324">
        <f t="shared" si="345"/>
        <v>-50.971822175775479</v>
      </c>
      <c r="BP109" s="324">
        <f t="shared" si="345"/>
        <v>-44.784146689713467</v>
      </c>
    </row>
    <row r="110" spans="3:68">
      <c r="C110" s="285" t="s">
        <v>281</v>
      </c>
      <c r="E110" s="371">
        <f>'Cintas CF'!N26</f>
        <v>-15.028506201132179</v>
      </c>
      <c r="F110" s="371">
        <f>'Cintas CF'!O26</f>
        <v>-16.528224832690487</v>
      </c>
      <c r="G110" s="371">
        <f>'Cintas CF'!P26</f>
        <v>-14.699009412154526</v>
      </c>
      <c r="H110" s="371">
        <f>'Cintas CF'!Q26</f>
        <v>-14.88176218927638</v>
      </c>
      <c r="I110" s="371">
        <f>'Cintas CF'!R26</f>
        <v>-14.792954505428643</v>
      </c>
      <c r="J110" s="371">
        <f>'Cintas CF'!S26</f>
        <v>-14.55919986343592</v>
      </c>
      <c r="K110" s="371">
        <f>'Cintas CF'!T26</f>
        <v>-14.327610568580639</v>
      </c>
      <c r="L110" s="371">
        <f>'Cintas CF'!U26</f>
        <v>-13.800529330701579</v>
      </c>
      <c r="M110" s="371">
        <f>'Cintas CF'!V26</f>
        <v>-13.559801578900659</v>
      </c>
      <c r="N110" s="371">
        <f>'Cintas CF'!W26</f>
        <v>-12.90497906794476</v>
      </c>
      <c r="O110" s="371">
        <f>'Cintas CF'!X26</f>
        <v>-12.124151376263136</v>
      </c>
      <c r="P110" s="371">
        <f>'Cintas CF'!Y26</f>
        <v>-10.323467842096786</v>
      </c>
      <c r="Q110" s="371">
        <f>'Cintas CF'!Z26</f>
        <v>-9.284972529306728</v>
      </c>
      <c r="R110" s="371">
        <f>'Cintas CF'!AA26</f>
        <v>-7.2036672091029974</v>
      </c>
      <c r="S110" s="371">
        <f>'Cintas CF'!AB26</f>
        <v>-6.3291849344493105</v>
      </c>
      <c r="U110" s="325"/>
      <c r="V110" s="371">
        <f>'Vestis Corporation PNL'!W70*-1</f>
        <v>-32.610630314191688</v>
      </c>
      <c r="W110" s="371">
        <f>'Vestis Corporation PNL'!X70*-1</f>
        <v>-37.223675725715154</v>
      </c>
      <c r="X110" s="371">
        <f>'Vestis Corporation PNL'!Y70*-1</f>
        <v>-44.065353097181308</v>
      </c>
      <c r="Y110" s="371">
        <f>'Vestis Corporation PNL'!Z70*-1</f>
        <v>-51.316021348570963</v>
      </c>
      <c r="Z110" s="371">
        <f>'Vestis Corporation PNL'!AA70*-1</f>
        <v>-58.837206720791599</v>
      </c>
      <c r="AA110" s="371">
        <f>'Vestis Corporation PNL'!AB70*-1</f>
        <v>-64.332460236236656</v>
      </c>
      <c r="AB110" s="371">
        <f>'Vestis Corporation PNL'!AC70*-1</f>
        <v>-68.506080448719857</v>
      </c>
      <c r="AC110" s="371">
        <f>'Vestis Corporation PNL'!AD70*-1</f>
        <v>-71.406478618562417</v>
      </c>
      <c r="AD110" s="371">
        <f>'Vestis Corporation PNL'!AE70*-1</f>
        <v>-73.618781999034852</v>
      </c>
      <c r="AE110" s="371">
        <f>'Vestis Corporation PNL'!AF70*-1</f>
        <v>-62.079576863652498</v>
      </c>
      <c r="AF110" s="371">
        <f>'Vestis Corporation PNL'!AG70*-1</f>
        <v>-53.098386968861377</v>
      </c>
      <c r="AG110" s="371">
        <f>'Vestis Corporation PNL'!AH70*-1</f>
        <v>-48.817139641049735</v>
      </c>
      <c r="AH110" s="371">
        <f>'Vestis Corporation PNL'!AI70*-1</f>
        <v>-45.171185872929975</v>
      </c>
      <c r="AI110" s="371">
        <f>'Vestis Corporation PNL'!AJ70*-1</f>
        <v>-41.091906470751852</v>
      </c>
      <c r="AJ110" s="371">
        <f>'Vestis Corporation PNL'!AK70*-1</f>
        <v>-38.203680422358325</v>
      </c>
      <c r="AL110" s="325"/>
      <c r="AM110" s="325"/>
      <c r="AN110" s="325"/>
      <c r="AO110" s="325"/>
      <c r="AP110" s="325"/>
      <c r="AQ110" s="325"/>
      <c r="AR110" s="325"/>
      <c r="AS110" s="325"/>
      <c r="AT110" s="325"/>
      <c r="AU110" s="325"/>
      <c r="AV110" s="325"/>
      <c r="AW110" s="325"/>
      <c r="AX110" s="325"/>
      <c r="AY110" s="325"/>
      <c r="AZ110" s="325"/>
      <c r="BB110" s="287"/>
      <c r="BC110" s="324">
        <f t="shared" si="344"/>
        <v>-53.751900558405637</v>
      </c>
      <c r="BD110" s="324">
        <f t="shared" si="344"/>
        <v>-58.764362509335832</v>
      </c>
      <c r="BE110" s="324">
        <f t="shared" si="344"/>
        <v>-66.197783537847343</v>
      </c>
      <c r="BF110" s="324">
        <f t="shared" si="344"/>
        <v>-73.630161226220238</v>
      </c>
      <c r="BG110" s="324">
        <f t="shared" si="345"/>
        <v>-78.891660099672578</v>
      </c>
      <c r="BH110" s="324">
        <f t="shared" si="345"/>
        <v>-82.833691017300495</v>
      </c>
      <c r="BI110" s="324">
        <f t="shared" si="345"/>
        <v>-85.207007949263996</v>
      </c>
      <c r="BJ110" s="324">
        <f t="shared" si="345"/>
        <v>-87.178583577935512</v>
      </c>
      <c r="BK110" s="324">
        <f t="shared" si="345"/>
        <v>-74.984555931597257</v>
      </c>
      <c r="BL110" s="324">
        <f t="shared" si="345"/>
        <v>-65.222538345124519</v>
      </c>
      <c r="BM110" s="324">
        <f t="shared" si="345"/>
        <v>-59.140607483146525</v>
      </c>
      <c r="BN110" s="324">
        <f t="shared" si="345"/>
        <v>-54.456158402236703</v>
      </c>
      <c r="BO110" s="324">
        <f t="shared" si="345"/>
        <v>-48.295573679854847</v>
      </c>
      <c r="BP110" s="324">
        <f t="shared" si="345"/>
        <v>-44.532865356807633</v>
      </c>
    </row>
    <row r="111" spans="3:68" ht="12">
      <c r="C111" s="318" t="s">
        <v>282</v>
      </c>
      <c r="D111" s="348"/>
      <c r="E111" s="327">
        <f>SUM(E109:E110)</f>
        <v>-121.36744766189891</v>
      </c>
      <c r="F111" s="327">
        <f t="shared" ref="F111:I111" si="346">SUM(F109:F110)</f>
        <v>-133.47889906546658</v>
      </c>
      <c r="G111" s="327">
        <f t="shared" si="346"/>
        <v>-118.70649229109856</v>
      </c>
      <c r="H111" s="327">
        <f t="shared" si="346"/>
        <v>-120.18237005403498</v>
      </c>
      <c r="I111" s="327">
        <f t="shared" si="346"/>
        <v>-119.46517555864644</v>
      </c>
      <c r="J111" s="327">
        <f t="shared" ref="J111:S111" si="347">SUM(J109:J110)</f>
        <v>-117.57741613012516</v>
      </c>
      <c r="K111" s="327">
        <f t="shared" si="347"/>
        <v>-115.70714364620478</v>
      </c>
      <c r="L111" s="327">
        <f t="shared" si="347"/>
        <v>-111.45053266333568</v>
      </c>
      <c r="M111" s="327">
        <f t="shared" si="347"/>
        <v>-109.506459684528</v>
      </c>
      <c r="N111" s="327">
        <f t="shared" si="347"/>
        <v>-104.21823371165745</v>
      </c>
      <c r="O111" s="327">
        <f t="shared" si="347"/>
        <v>-97.912413110805488</v>
      </c>
      <c r="P111" s="327">
        <f t="shared" si="347"/>
        <v>-83.37042459486679</v>
      </c>
      <c r="Q111" s="327">
        <f t="shared" si="347"/>
        <v>-74.983727751192504</v>
      </c>
      <c r="R111" s="327">
        <f t="shared" si="347"/>
        <v>-58.175489384878475</v>
      </c>
      <c r="S111" s="327">
        <f t="shared" si="347"/>
        <v>-51.113331624162775</v>
      </c>
      <c r="T111" s="327"/>
      <c r="U111" s="349"/>
      <c r="V111" s="327">
        <f>SUM(V109:V110)</f>
        <v>-32.610630314191688</v>
      </c>
      <c r="W111" s="327">
        <f t="shared" ref="W111:Z111" si="348">SUM(W109:W110)</f>
        <v>-37.223675725715154</v>
      </c>
      <c r="X111" s="327">
        <f t="shared" si="348"/>
        <v>-44.065353097181308</v>
      </c>
      <c r="Y111" s="327">
        <f t="shared" si="348"/>
        <v>-51.316021348570963</v>
      </c>
      <c r="Z111" s="327">
        <f t="shared" si="348"/>
        <v>-58.837206720791599</v>
      </c>
      <c r="AA111" s="327">
        <f t="shared" ref="AA111:AI111" si="349">SUM(AA109:AA110)</f>
        <v>-64.332460236236656</v>
      </c>
      <c r="AB111" s="327">
        <f t="shared" si="349"/>
        <v>-68.506080448719857</v>
      </c>
      <c r="AC111" s="327">
        <f t="shared" si="349"/>
        <v>-71.406478618562417</v>
      </c>
      <c r="AD111" s="327">
        <f t="shared" si="349"/>
        <v>-73.618781999034852</v>
      </c>
      <c r="AE111" s="327">
        <f t="shared" si="349"/>
        <v>-62.079576863652498</v>
      </c>
      <c r="AF111" s="327">
        <f t="shared" si="349"/>
        <v>-53.098386968861377</v>
      </c>
      <c r="AG111" s="327">
        <f t="shared" si="349"/>
        <v>-48.817139641049735</v>
      </c>
      <c r="AH111" s="327">
        <f t="shared" si="349"/>
        <v>-45.171185872929975</v>
      </c>
      <c r="AI111" s="327">
        <f t="shared" si="349"/>
        <v>-41.091906470751852</v>
      </c>
      <c r="AJ111" s="327">
        <f t="shared" ref="AJ111" si="350">SUM(AJ109:AJ110)</f>
        <v>-38.203680422358325</v>
      </c>
      <c r="AK111" s="327"/>
      <c r="AL111" s="349"/>
      <c r="AM111" s="349"/>
      <c r="AN111" s="349"/>
      <c r="AO111" s="349"/>
      <c r="AP111" s="349"/>
      <c r="AQ111" s="349"/>
      <c r="AR111" s="349"/>
      <c r="AS111" s="349"/>
      <c r="AT111" s="349"/>
      <c r="AU111" s="349"/>
      <c r="AV111" s="349"/>
      <c r="AW111" s="349"/>
      <c r="AX111" s="349"/>
      <c r="AY111" s="349"/>
      <c r="AZ111" s="349"/>
      <c r="BA111" s="327"/>
      <c r="BB111" s="327"/>
      <c r="BC111" s="327">
        <f>SUM(BC109:BC110)</f>
        <v>-170.70257479118172</v>
      </c>
      <c r="BD111" s="327">
        <f t="shared" ref="BD111:BF111" si="351">SUM(BD109:BD110)</f>
        <v>-162.77184538827987</v>
      </c>
      <c r="BE111" s="327">
        <f t="shared" si="351"/>
        <v>-171.49839140260593</v>
      </c>
      <c r="BF111" s="327">
        <f t="shared" si="351"/>
        <v>-178.30238227943804</v>
      </c>
      <c r="BG111" s="327">
        <f t="shared" ref="BG111:BP111" si="352">SUM(BG109:BG110)</f>
        <v>-181.9098763663618</v>
      </c>
      <c r="BH111" s="327">
        <f t="shared" si="352"/>
        <v>-184.21322409492464</v>
      </c>
      <c r="BI111" s="327">
        <f t="shared" si="352"/>
        <v>-182.85701128189811</v>
      </c>
      <c r="BJ111" s="327">
        <f t="shared" si="352"/>
        <v>-183.12524168356285</v>
      </c>
      <c r="BK111" s="327">
        <f t="shared" si="352"/>
        <v>-166.29781057530994</v>
      </c>
      <c r="BL111" s="327">
        <f t="shared" si="352"/>
        <v>-151.01080007966686</v>
      </c>
      <c r="BM111" s="327">
        <f t="shared" si="352"/>
        <v>-132.18756423591651</v>
      </c>
      <c r="BN111" s="327">
        <f t="shared" si="352"/>
        <v>-120.15491362412249</v>
      </c>
      <c r="BO111" s="327">
        <f t="shared" si="352"/>
        <v>-99.267395855630326</v>
      </c>
      <c r="BP111" s="327">
        <f t="shared" si="352"/>
        <v>-89.3170120465211</v>
      </c>
    </row>
    <row r="112" spans="3:68" ht="12"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287"/>
      <c r="U112" s="325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L112" s="325"/>
      <c r="AM112" s="325"/>
      <c r="AN112" s="325"/>
      <c r="AO112" s="325"/>
      <c r="AP112" s="325"/>
      <c r="AQ112" s="325"/>
      <c r="AR112" s="325"/>
      <c r="AS112" s="325"/>
      <c r="AT112" s="325"/>
      <c r="AU112" s="325"/>
      <c r="AV112" s="325"/>
      <c r="AW112" s="325"/>
      <c r="AX112" s="325"/>
      <c r="AY112" s="325"/>
      <c r="AZ112" s="325"/>
      <c r="BB112" s="287"/>
      <c r="BC112" s="287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</row>
    <row r="113" spans="3:68" ht="12">
      <c r="C113" s="278" t="s">
        <v>312</v>
      </c>
      <c r="E113" s="287"/>
      <c r="F113" s="287"/>
      <c r="G113" s="287"/>
      <c r="H113" s="287"/>
      <c r="I113" s="287"/>
      <c r="J113" s="287"/>
      <c r="K113" s="287"/>
      <c r="L113" s="287"/>
      <c r="M113" s="287"/>
      <c r="N113" s="287"/>
      <c r="O113" s="287"/>
      <c r="P113" s="287"/>
      <c r="Q113" s="287"/>
      <c r="R113" s="287"/>
      <c r="S113" s="287"/>
      <c r="U113" s="325"/>
      <c r="V113" s="325"/>
      <c r="W113" s="325"/>
      <c r="X113" s="325"/>
      <c r="Y113" s="325"/>
      <c r="Z113" s="325"/>
      <c r="AA113" s="325"/>
      <c r="AB113" s="325"/>
      <c r="AC113" s="325"/>
      <c r="AD113" s="325"/>
      <c r="AE113" s="325"/>
      <c r="AF113" s="325"/>
      <c r="AG113" s="325"/>
      <c r="AH113" s="325"/>
      <c r="AI113" s="325"/>
      <c r="AJ113" s="325"/>
      <c r="AL113" s="325"/>
      <c r="AM113" s="325"/>
      <c r="AN113" s="325"/>
      <c r="AO113" s="325"/>
      <c r="AP113" s="325"/>
      <c r="AQ113" s="325"/>
      <c r="AR113" s="325"/>
      <c r="AS113" s="325"/>
      <c r="AT113" s="325"/>
      <c r="AU113" s="325"/>
      <c r="AV113" s="325"/>
      <c r="AW113" s="325"/>
      <c r="AX113" s="325"/>
      <c r="AY113" s="325"/>
      <c r="AZ113" s="325"/>
      <c r="BB113" s="330"/>
      <c r="BC113" s="330"/>
      <c r="BD113" s="330"/>
      <c r="BE113" s="330"/>
      <c r="BF113" s="330"/>
      <c r="BG113" s="330"/>
      <c r="BH113" s="330"/>
      <c r="BI113" s="330"/>
      <c r="BJ113" s="330"/>
      <c r="BK113" s="330"/>
      <c r="BL113" s="330"/>
      <c r="BM113" s="330"/>
      <c r="BN113" s="330"/>
      <c r="BO113" s="330"/>
      <c r="BP113" s="330"/>
    </row>
    <row r="114" spans="3:68">
      <c r="C114" s="285" t="s">
        <v>283</v>
      </c>
      <c r="E114" s="330">
        <v>0</v>
      </c>
      <c r="F114" s="330">
        <v>0</v>
      </c>
      <c r="G114" s="330">
        <v>0</v>
      </c>
      <c r="H114" s="330">
        <v>0</v>
      </c>
      <c r="I114" s="330">
        <v>0</v>
      </c>
      <c r="J114" s="330">
        <v>0</v>
      </c>
      <c r="K114" s="330">
        <v>0</v>
      </c>
      <c r="L114" s="330">
        <v>0</v>
      </c>
      <c r="M114" s="330">
        <v>0</v>
      </c>
      <c r="N114" s="330">
        <v>0</v>
      </c>
      <c r="O114" s="330">
        <v>0</v>
      </c>
      <c r="P114" s="330">
        <v>0</v>
      </c>
      <c r="Q114" s="330">
        <v>0</v>
      </c>
      <c r="R114" s="330">
        <v>0</v>
      </c>
      <c r="S114" s="330">
        <v>0</v>
      </c>
      <c r="U114" s="350"/>
      <c r="V114" s="330">
        <v>0</v>
      </c>
      <c r="W114" s="330">
        <v>0</v>
      </c>
      <c r="X114" s="330">
        <v>0</v>
      </c>
      <c r="Y114" s="330">
        <v>0</v>
      </c>
      <c r="Z114" s="330">
        <v>0</v>
      </c>
      <c r="AA114" s="330">
        <v>0</v>
      </c>
      <c r="AB114" s="330">
        <v>0</v>
      </c>
      <c r="AC114" s="330">
        <v>0</v>
      </c>
      <c r="AD114" s="330">
        <v>0</v>
      </c>
      <c r="AE114" s="330">
        <v>0</v>
      </c>
      <c r="AF114" s="330">
        <v>0</v>
      </c>
      <c r="AG114" s="330">
        <v>0</v>
      </c>
      <c r="AH114" s="330">
        <v>0</v>
      </c>
      <c r="AI114" s="330">
        <v>0</v>
      </c>
      <c r="AJ114" s="330">
        <v>0</v>
      </c>
      <c r="AL114" s="324">
        <f>G18</f>
        <v>718.67520000000002</v>
      </c>
      <c r="AM114" s="325"/>
      <c r="AN114" s="325"/>
      <c r="AO114" s="325"/>
      <c r="AP114" s="325"/>
      <c r="AQ114" s="325"/>
      <c r="AR114" s="325"/>
      <c r="AS114" s="325"/>
      <c r="AT114" s="325"/>
      <c r="AU114" s="325"/>
      <c r="AV114" s="325"/>
      <c r="AW114" s="325"/>
      <c r="AX114" s="325"/>
      <c r="AY114" s="325"/>
      <c r="AZ114" s="325"/>
      <c r="BB114" s="287"/>
      <c r="BC114" s="330">
        <f>F114+W114+AM114</f>
        <v>0</v>
      </c>
      <c r="BD114" s="330">
        <f>G114+X114+AN114</f>
        <v>0</v>
      </c>
      <c r="BE114" s="330">
        <f>H114+Y114+AO114</f>
        <v>0</v>
      </c>
      <c r="BF114" s="330">
        <f>I114+Z114+AP114</f>
        <v>0</v>
      </c>
      <c r="BG114" s="330">
        <f t="shared" ref="BG114:BP114" si="353">J114+AA114+AQ114</f>
        <v>0</v>
      </c>
      <c r="BH114" s="330">
        <f t="shared" si="353"/>
        <v>0</v>
      </c>
      <c r="BI114" s="330">
        <f t="shared" si="353"/>
        <v>0</v>
      </c>
      <c r="BJ114" s="330">
        <f t="shared" si="353"/>
        <v>0</v>
      </c>
      <c r="BK114" s="330">
        <f t="shared" si="353"/>
        <v>0</v>
      </c>
      <c r="BL114" s="330">
        <f t="shared" si="353"/>
        <v>0</v>
      </c>
      <c r="BM114" s="330">
        <f t="shared" si="353"/>
        <v>0</v>
      </c>
      <c r="BN114" s="330">
        <f t="shared" si="353"/>
        <v>0</v>
      </c>
      <c r="BO114" s="330">
        <f t="shared" si="353"/>
        <v>0</v>
      </c>
      <c r="BP114" s="330">
        <f t="shared" si="353"/>
        <v>0</v>
      </c>
    </row>
    <row r="115" spans="3:68">
      <c r="C115" s="285" t="s">
        <v>284</v>
      </c>
      <c r="E115" s="351">
        <f ca="1">E130</f>
        <v>-663.83430810471964</v>
      </c>
      <c r="F115" s="351">
        <f t="shared" ref="F115:I115" ca="1" si="354">F130</f>
        <v>-737.35327357244887</v>
      </c>
      <c r="G115" s="351">
        <f t="shared" ca="1" si="354"/>
        <v>-447.32841832283157</v>
      </c>
      <c r="H115" s="351">
        <f ca="1">H130</f>
        <v>0</v>
      </c>
      <c r="I115" s="351">
        <f t="shared" ca="1" si="354"/>
        <v>0</v>
      </c>
      <c r="J115" s="351">
        <f t="shared" ref="J115:S115" ca="1" si="355">J130</f>
        <v>0</v>
      </c>
      <c r="K115" s="351">
        <f t="shared" ca="1" si="355"/>
        <v>0</v>
      </c>
      <c r="L115" s="351">
        <f t="shared" ca="1" si="355"/>
        <v>0</v>
      </c>
      <c r="M115" s="351">
        <f t="shared" ca="1" si="355"/>
        <v>0</v>
      </c>
      <c r="N115" s="351">
        <f t="shared" ca="1" si="355"/>
        <v>0</v>
      </c>
      <c r="O115" s="351">
        <f t="shared" ca="1" si="355"/>
        <v>0</v>
      </c>
      <c r="P115" s="351">
        <f t="shared" ca="1" si="355"/>
        <v>0</v>
      </c>
      <c r="Q115" s="351">
        <f t="shared" ca="1" si="355"/>
        <v>0</v>
      </c>
      <c r="R115" s="351">
        <f t="shared" ca="1" si="355"/>
        <v>0</v>
      </c>
      <c r="S115" s="351">
        <f t="shared" ca="1" si="355"/>
        <v>0</v>
      </c>
      <c r="U115" s="350"/>
      <c r="V115" s="351">
        <f t="shared" ref="V115:Z115" si="356">V130</f>
        <v>59.231308669487575</v>
      </c>
      <c r="W115" s="351">
        <f t="shared" si="356"/>
        <v>31.715747476824891</v>
      </c>
      <c r="X115" s="351">
        <f t="shared" si="356"/>
        <v>-0.23494465878176596</v>
      </c>
      <c r="Y115" s="351">
        <f t="shared" si="356"/>
        <v>-33.427923213607315</v>
      </c>
      <c r="Z115" s="351">
        <f t="shared" si="356"/>
        <v>-62.73818827392337</v>
      </c>
      <c r="AA115" s="351">
        <f t="shared" ref="AA115:AI115" si="357">AA130</f>
        <v>0</v>
      </c>
      <c r="AB115" s="351">
        <f t="shared" si="357"/>
        <v>0</v>
      </c>
      <c r="AC115" s="351">
        <f t="shared" si="357"/>
        <v>0</v>
      </c>
      <c r="AD115" s="351">
        <f t="shared" si="357"/>
        <v>0</v>
      </c>
      <c r="AE115" s="351">
        <f t="shared" si="357"/>
        <v>0</v>
      </c>
      <c r="AF115" s="351">
        <f t="shared" si="357"/>
        <v>0</v>
      </c>
      <c r="AG115" s="351">
        <f t="shared" si="357"/>
        <v>0</v>
      </c>
      <c r="AH115" s="351">
        <f t="shared" si="357"/>
        <v>0</v>
      </c>
      <c r="AI115" s="351">
        <f t="shared" si="357"/>
        <v>0</v>
      </c>
      <c r="AJ115" s="351">
        <f t="shared" ref="AJ115" si="358">AJ130</f>
        <v>0</v>
      </c>
      <c r="AL115" s="325"/>
      <c r="AM115" s="325"/>
      <c r="AN115" s="325"/>
      <c r="AO115" s="325"/>
      <c r="AP115" s="325"/>
      <c r="AQ115" s="325"/>
      <c r="AR115" s="325"/>
      <c r="AS115" s="325"/>
      <c r="AT115" s="325"/>
      <c r="AU115" s="325"/>
      <c r="AV115" s="325"/>
      <c r="AW115" s="325"/>
      <c r="AX115" s="325"/>
      <c r="AY115" s="325"/>
      <c r="AZ115" s="325"/>
      <c r="BB115" s="287"/>
      <c r="BC115" s="351">
        <f ca="1">BC130+BC138</f>
        <v>-1113.0587276265935</v>
      </c>
      <c r="BD115" s="351">
        <f t="shared" ref="BD115:BF115" ca="1" si="359">BD130+BD138</f>
        <v>-1060.1661095971776</v>
      </c>
      <c r="BE115" s="351">
        <f t="shared" ca="1" si="359"/>
        <v>-1077.2718354271567</v>
      </c>
      <c r="BF115" s="351">
        <f t="shared" ca="1" si="359"/>
        <v>-1152.6388772903463</v>
      </c>
      <c r="BG115" s="351">
        <f t="shared" ref="BG115:BP115" ca="1" si="360">BG130+BG138</f>
        <v>-1227.8012631663371</v>
      </c>
      <c r="BH115" s="351">
        <f t="shared" ca="1" si="360"/>
        <v>-953.6644512200096</v>
      </c>
      <c r="BI115" s="351">
        <f t="shared" ca="1" si="360"/>
        <v>-286.09933536600295</v>
      </c>
      <c r="BJ115" s="351">
        <f t="shared" ca="1" si="360"/>
        <v>-85.829800609800927</v>
      </c>
      <c r="BK115" s="351">
        <f t="shared" ca="1" si="360"/>
        <v>-25.748940182940281</v>
      </c>
      <c r="BL115" s="351">
        <f t="shared" ca="1" si="360"/>
        <v>-7.7246820548820834</v>
      </c>
      <c r="BM115" s="351">
        <f t="shared" ca="1" si="360"/>
        <v>-2.3174046164646258</v>
      </c>
      <c r="BN115" s="351">
        <f t="shared" ca="1" si="360"/>
        <v>-0.69522138493938779</v>
      </c>
      <c r="BO115" s="351">
        <f t="shared" ca="1" si="360"/>
        <v>-0.20856641548181637</v>
      </c>
      <c r="BP115" s="351">
        <f t="shared" ca="1" si="360"/>
        <v>-6.2569924644544916E-2</v>
      </c>
    </row>
    <row r="116" spans="3:68" s="278" customFormat="1" ht="12">
      <c r="C116" s="318" t="s">
        <v>285</v>
      </c>
      <c r="D116" s="318"/>
      <c r="E116" s="331">
        <f ca="1">SUM(E114:E115)</f>
        <v>-663.83430810471964</v>
      </c>
      <c r="F116" s="331">
        <f t="shared" ref="F116:I116" ca="1" si="361">SUM(F114:F115)</f>
        <v>-737.35327357244887</v>
      </c>
      <c r="G116" s="331">
        <f t="shared" ca="1" si="361"/>
        <v>-447.32841832283157</v>
      </c>
      <c r="H116" s="331">
        <f ca="1">SUM(H114:H115)</f>
        <v>0</v>
      </c>
      <c r="I116" s="331">
        <f t="shared" ca="1" si="361"/>
        <v>0</v>
      </c>
      <c r="J116" s="331">
        <f ca="1">SUM(J114:J115)</f>
        <v>0</v>
      </c>
      <c r="K116" s="331">
        <f t="shared" ref="K116:S116" ca="1" si="362">SUM(K114:K115)</f>
        <v>0</v>
      </c>
      <c r="L116" s="331">
        <f t="shared" ca="1" si="362"/>
        <v>0</v>
      </c>
      <c r="M116" s="331">
        <f t="shared" ca="1" si="362"/>
        <v>0</v>
      </c>
      <c r="N116" s="331">
        <f t="shared" ca="1" si="362"/>
        <v>0</v>
      </c>
      <c r="O116" s="331">
        <f t="shared" ca="1" si="362"/>
        <v>0</v>
      </c>
      <c r="P116" s="331">
        <f t="shared" ca="1" si="362"/>
        <v>0</v>
      </c>
      <c r="Q116" s="331">
        <f t="shared" ca="1" si="362"/>
        <v>0</v>
      </c>
      <c r="R116" s="331">
        <f t="shared" ca="1" si="362"/>
        <v>0</v>
      </c>
      <c r="S116" s="331">
        <f t="shared" ca="1" si="362"/>
        <v>0</v>
      </c>
      <c r="T116" s="327"/>
      <c r="U116" s="352"/>
      <c r="V116" s="331">
        <f>SUM(V114:V115)</f>
        <v>59.231308669487575</v>
      </c>
      <c r="W116" s="331">
        <f t="shared" ref="W116:Z116" si="363">SUM(W114:W115)</f>
        <v>31.715747476824891</v>
      </c>
      <c r="X116" s="331">
        <f t="shared" si="363"/>
        <v>-0.23494465878176596</v>
      </c>
      <c r="Y116" s="331">
        <f t="shared" si="363"/>
        <v>-33.427923213607315</v>
      </c>
      <c r="Z116" s="331">
        <f t="shared" si="363"/>
        <v>-62.73818827392337</v>
      </c>
      <c r="AA116" s="331">
        <f t="shared" ref="AA116:AI116" si="364">SUM(AA114:AA115)</f>
        <v>0</v>
      </c>
      <c r="AB116" s="331">
        <f t="shared" si="364"/>
        <v>0</v>
      </c>
      <c r="AC116" s="331">
        <f t="shared" si="364"/>
        <v>0</v>
      </c>
      <c r="AD116" s="331">
        <f t="shared" si="364"/>
        <v>0</v>
      </c>
      <c r="AE116" s="331">
        <f t="shared" si="364"/>
        <v>0</v>
      </c>
      <c r="AF116" s="331">
        <f t="shared" si="364"/>
        <v>0</v>
      </c>
      <c r="AG116" s="331">
        <f t="shared" si="364"/>
        <v>0</v>
      </c>
      <c r="AH116" s="331">
        <f t="shared" si="364"/>
        <v>0</v>
      </c>
      <c r="AI116" s="331">
        <f t="shared" si="364"/>
        <v>0</v>
      </c>
      <c r="AJ116" s="331">
        <f t="shared" ref="AJ116" si="365">SUM(AJ114:AJ115)</f>
        <v>0</v>
      </c>
      <c r="AK116" s="327"/>
      <c r="AL116" s="353"/>
      <c r="AM116" s="353"/>
      <c r="AN116" s="353"/>
      <c r="AO116" s="353"/>
      <c r="AP116" s="353"/>
      <c r="AQ116" s="353"/>
      <c r="AR116" s="353"/>
      <c r="AS116" s="353"/>
      <c r="AT116" s="353"/>
      <c r="AU116" s="353"/>
      <c r="AV116" s="353"/>
      <c r="AW116" s="353"/>
      <c r="AX116" s="353"/>
      <c r="AY116" s="353"/>
      <c r="AZ116" s="353"/>
      <c r="BA116" s="327"/>
      <c r="BB116" s="331"/>
      <c r="BC116" s="331">
        <f t="shared" ref="BC116:BF116" ca="1" si="366">SUM(BC114:BC115)</f>
        <v>-1113.0587276265935</v>
      </c>
      <c r="BD116" s="331">
        <f t="shared" ca="1" si="366"/>
        <v>-1060.1661095971776</v>
      </c>
      <c r="BE116" s="331">
        <f t="shared" ca="1" si="366"/>
        <v>-1077.2718354271567</v>
      </c>
      <c r="BF116" s="331">
        <f t="shared" ca="1" si="366"/>
        <v>-1152.6388772903463</v>
      </c>
      <c r="BG116" s="331">
        <f t="shared" ref="BG116:BP116" ca="1" si="367">SUM(BG114:BG115)</f>
        <v>-1227.8012631663371</v>
      </c>
      <c r="BH116" s="331">
        <f t="shared" ca="1" si="367"/>
        <v>-953.6644512200096</v>
      </c>
      <c r="BI116" s="331">
        <f t="shared" ca="1" si="367"/>
        <v>-286.09933536600295</v>
      </c>
      <c r="BJ116" s="331">
        <f t="shared" ca="1" si="367"/>
        <v>-85.829800609800927</v>
      </c>
      <c r="BK116" s="331">
        <f t="shared" ca="1" si="367"/>
        <v>-25.748940182940281</v>
      </c>
      <c r="BL116" s="331">
        <f t="shared" ca="1" si="367"/>
        <v>-7.7246820548820834</v>
      </c>
      <c r="BM116" s="331">
        <f t="shared" ca="1" si="367"/>
        <v>-2.3174046164646258</v>
      </c>
      <c r="BN116" s="331">
        <f t="shared" ca="1" si="367"/>
        <v>-0.69522138493938779</v>
      </c>
      <c r="BO116" s="331">
        <f t="shared" ca="1" si="367"/>
        <v>-0.20856641548181637</v>
      </c>
      <c r="BP116" s="331">
        <f t="shared" ca="1" si="367"/>
        <v>-6.2569924644544916E-2</v>
      </c>
    </row>
    <row r="117" spans="3:68" ht="12">
      <c r="E117" s="330"/>
      <c r="F117" s="330"/>
      <c r="G117" s="330"/>
      <c r="H117" s="330"/>
      <c r="I117" s="330"/>
      <c r="J117" s="330"/>
      <c r="K117" s="330"/>
      <c r="L117" s="330"/>
      <c r="M117" s="330"/>
      <c r="N117" s="330"/>
      <c r="O117" s="330"/>
      <c r="P117" s="330"/>
      <c r="Q117" s="330"/>
      <c r="R117" s="330"/>
      <c r="S117" s="330"/>
      <c r="T117" s="327"/>
      <c r="U117" s="350"/>
      <c r="V117" s="330"/>
      <c r="W117" s="330"/>
      <c r="X117" s="330"/>
      <c r="Y117" s="330"/>
      <c r="Z117" s="330"/>
      <c r="AA117" s="330"/>
      <c r="AB117" s="330"/>
      <c r="AC117" s="330"/>
      <c r="AD117" s="330"/>
      <c r="AE117" s="330"/>
      <c r="AF117" s="330"/>
      <c r="AG117" s="330"/>
      <c r="AH117" s="330"/>
      <c r="AI117" s="330"/>
      <c r="AJ117" s="330"/>
      <c r="AK117" s="327"/>
      <c r="AL117" s="325"/>
      <c r="AM117" s="325"/>
      <c r="AN117" s="325"/>
      <c r="AO117" s="325"/>
      <c r="AP117" s="325"/>
      <c r="AQ117" s="325"/>
      <c r="AR117" s="325"/>
      <c r="AS117" s="325"/>
      <c r="AT117" s="325"/>
      <c r="AU117" s="325"/>
      <c r="AV117" s="325"/>
      <c r="AW117" s="325"/>
      <c r="AX117" s="325"/>
      <c r="AY117" s="325"/>
      <c r="AZ117" s="325"/>
      <c r="BA117" s="327"/>
      <c r="BB117" s="330"/>
      <c r="BC117" s="330"/>
      <c r="BD117" s="330"/>
      <c r="BE117" s="330"/>
      <c r="BF117" s="330"/>
      <c r="BG117" s="330"/>
      <c r="BH117" s="330"/>
      <c r="BI117" s="330"/>
      <c r="BJ117" s="330"/>
      <c r="BK117" s="330"/>
      <c r="BL117" s="330"/>
      <c r="BM117" s="330"/>
      <c r="BN117" s="330"/>
      <c r="BO117" s="330"/>
      <c r="BP117" s="330"/>
    </row>
    <row r="118" spans="3:68" ht="12">
      <c r="C118" s="318" t="s">
        <v>286</v>
      </c>
      <c r="D118" s="348"/>
      <c r="E118" s="331">
        <f ca="1">E116+E111+E106</f>
        <v>284.50041775916566</v>
      </c>
      <c r="F118" s="331">
        <f t="shared" ref="F118:I118" ca="1" si="368">F116+F111+F106</f>
        <v>316.0085458167639</v>
      </c>
      <c r="G118" s="331">
        <f t="shared" ca="1" si="368"/>
        <v>710.04771376661392</v>
      </c>
      <c r="H118" s="331">
        <f t="shared" ca="1" si="368"/>
        <v>1257.4908571605044</v>
      </c>
      <c r="I118" s="331">
        <f t="shared" ca="1" si="368"/>
        <v>1252.6640275019224</v>
      </c>
      <c r="J118" s="331">
        <f t="shared" ref="J118:S118" ca="1" si="369">J116+J111+J106</f>
        <v>1235.362537562806</v>
      </c>
      <c r="K118" s="331">
        <f t="shared" ca="1" si="369"/>
        <v>1316.3741817142318</v>
      </c>
      <c r="L118" s="331">
        <f t="shared" ca="1" si="369"/>
        <v>1273.4550495462552</v>
      </c>
      <c r="M118" s="331">
        <f t="shared" ca="1" si="369"/>
        <v>1250.4546132509042</v>
      </c>
      <c r="N118" s="331">
        <f t="shared" ca="1" si="369"/>
        <v>1197.5128049361952</v>
      </c>
      <c r="O118" s="331">
        <f t="shared" ca="1" si="369"/>
        <v>1131.4169762570759</v>
      </c>
      <c r="P118" s="331">
        <f t="shared" ca="1" si="369"/>
        <v>984.87460087182308</v>
      </c>
      <c r="Q118" s="331">
        <f t="shared" ca="1" si="369"/>
        <v>889.46764369790071</v>
      </c>
      <c r="R118" s="331">
        <f t="shared" ca="1" si="369"/>
        <v>718.9909475097586</v>
      </c>
      <c r="S118" s="331">
        <f t="shared" ca="1" si="369"/>
        <v>634.09431038357718</v>
      </c>
      <c r="T118" s="327"/>
      <c r="U118" s="354"/>
      <c r="V118" s="331">
        <f>V116+V111+V106</f>
        <v>0</v>
      </c>
      <c r="W118" s="331">
        <f t="shared" ref="W118:Z118" si="370">W116+W111+W106</f>
        <v>0</v>
      </c>
      <c r="X118" s="331">
        <f t="shared" si="370"/>
        <v>0.10069056804933041</v>
      </c>
      <c r="Y118" s="331">
        <f t="shared" si="370"/>
        <v>14.3262528058317</v>
      </c>
      <c r="Z118" s="331">
        <f t="shared" si="370"/>
        <v>46.246736329985282</v>
      </c>
      <c r="AA118" s="331">
        <f t="shared" ref="AA118:AI118" si="371">AA116+AA111+AA106</f>
        <v>182.67852600546803</v>
      </c>
      <c r="AB118" s="331">
        <f t="shared" si="371"/>
        <v>259.87396416391613</v>
      </c>
      <c r="AC118" s="331">
        <f t="shared" si="371"/>
        <v>338.39181263000921</v>
      </c>
      <c r="AD118" s="331">
        <f t="shared" si="371"/>
        <v>417.18758426155364</v>
      </c>
      <c r="AE118" s="331">
        <f t="shared" si="371"/>
        <v>432.43545282383911</v>
      </c>
      <c r="AF118" s="331">
        <f t="shared" si="371"/>
        <v>398.2199153820867</v>
      </c>
      <c r="AG118" s="331">
        <f t="shared" si="371"/>
        <v>386.58158600978135</v>
      </c>
      <c r="AH118" s="331">
        <f t="shared" si="371"/>
        <v>382.6744159148347</v>
      </c>
      <c r="AI118" s="331">
        <f t="shared" si="371"/>
        <v>372.98560652447509</v>
      </c>
      <c r="AJ118" s="331">
        <f t="shared" ref="AJ118" si="372">AJ116+AJ111+AJ106</f>
        <v>367.11141630023269</v>
      </c>
      <c r="AK118" s="327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27"/>
      <c r="BB118" s="331"/>
      <c r="BC118" s="331">
        <f ca="1">BC116+BC111+BC106</f>
        <v>-6.8679429290468761</v>
      </c>
      <c r="BD118" s="331">
        <f t="shared" ref="BD118:BF118" ca="1" si="373">BD116+BD111+BD106</f>
        <v>184.18628724261384</v>
      </c>
      <c r="BE118" s="331">
        <f t="shared" ca="1" si="373"/>
        <v>356.3873216040231</v>
      </c>
      <c r="BF118" s="331">
        <f t="shared" ca="1" si="373"/>
        <v>389.31586921407347</v>
      </c>
      <c r="BG118" s="331">
        <f t="shared" ref="BG118:BP118" ca="1" si="374">BG116+BG111+BG106</f>
        <v>423.18232509031259</v>
      </c>
      <c r="BH118" s="331">
        <f t="shared" ca="1" si="374"/>
        <v>901.85112704514677</v>
      </c>
      <c r="BI118" s="331">
        <f t="shared" ca="1" si="374"/>
        <v>1639.5021969991496</v>
      </c>
      <c r="BJ118" s="331">
        <f t="shared" ca="1" si="374"/>
        <v>1918.9595751017753</v>
      </c>
      <c r="BK118" s="331">
        <f t="shared" ca="1" si="374"/>
        <v>1964.8575645229603</v>
      </c>
      <c r="BL118" s="331">
        <f t="shared" ca="1" si="374"/>
        <v>1904.2015768853139</v>
      </c>
      <c r="BM118" s="331">
        <f t="shared" ca="1" si="374"/>
        <v>1758.4986830161024</v>
      </c>
      <c r="BN118" s="331">
        <f t="shared" ca="1" si="374"/>
        <v>1672.6457556629477</v>
      </c>
      <c r="BO118" s="331">
        <f t="shared" ca="1" si="374"/>
        <v>1493.4103239400765</v>
      </c>
      <c r="BP118" s="331">
        <f t="shared" ca="1" si="374"/>
        <v>1411.586583656348</v>
      </c>
    </row>
    <row r="119" spans="3:68">
      <c r="E119" s="325"/>
      <c r="F119" s="325"/>
      <c r="G119" s="325"/>
      <c r="H119" s="325"/>
      <c r="I119" s="325"/>
      <c r="U119" s="325"/>
      <c r="V119" s="325"/>
      <c r="W119" s="325"/>
      <c r="X119" s="325"/>
      <c r="Y119" s="325"/>
      <c r="Z119" s="325"/>
      <c r="AA119" s="325"/>
      <c r="AB119" s="325"/>
      <c r="AC119" s="325"/>
      <c r="AD119" s="325"/>
      <c r="AE119" s="325"/>
      <c r="AF119" s="325"/>
      <c r="AG119" s="325"/>
      <c r="AH119" s="325"/>
      <c r="AI119" s="325"/>
      <c r="AJ119" s="325"/>
      <c r="AL119" s="325"/>
      <c r="AM119" s="325"/>
      <c r="AN119" s="325"/>
      <c r="AO119" s="325"/>
      <c r="AP119" s="325"/>
      <c r="AQ119" s="325"/>
      <c r="AR119" s="325"/>
      <c r="AS119" s="325"/>
      <c r="AT119" s="325"/>
      <c r="AU119" s="325"/>
      <c r="AV119" s="325"/>
      <c r="AW119" s="325"/>
      <c r="AX119" s="325"/>
      <c r="AY119" s="325"/>
      <c r="AZ119" s="325"/>
      <c r="BB119" s="350"/>
      <c r="BC119" s="350"/>
      <c r="BD119" s="350"/>
      <c r="BE119" s="350"/>
      <c r="BF119" s="311"/>
      <c r="BG119" s="311"/>
      <c r="BH119" s="311"/>
      <c r="BI119" s="311"/>
      <c r="BJ119" s="311"/>
      <c r="BK119" s="311"/>
      <c r="BL119" s="311"/>
      <c r="BM119" s="311"/>
      <c r="BN119" s="311"/>
      <c r="BO119" s="311"/>
      <c r="BP119" s="311"/>
    </row>
    <row r="120" spans="3:68">
      <c r="E120" s="325"/>
      <c r="F120" s="325"/>
      <c r="G120" s="325"/>
      <c r="H120" s="325"/>
      <c r="I120" s="325"/>
      <c r="U120" s="325"/>
      <c r="V120" s="325"/>
      <c r="W120" s="325"/>
      <c r="X120" s="325"/>
      <c r="Y120" s="325"/>
      <c r="Z120" s="325"/>
      <c r="AA120" s="325"/>
      <c r="AB120" s="325"/>
      <c r="AC120" s="325"/>
      <c r="AD120" s="325"/>
      <c r="AE120" s="325"/>
      <c r="AF120" s="325"/>
      <c r="AG120" s="325"/>
      <c r="AH120" s="325"/>
      <c r="AI120" s="325"/>
      <c r="AJ120" s="325"/>
      <c r="AL120" s="325"/>
      <c r="AM120" s="325"/>
      <c r="AN120" s="325"/>
      <c r="AO120" s="325"/>
      <c r="AP120" s="325"/>
      <c r="AQ120" s="325"/>
      <c r="AR120" s="325"/>
      <c r="AS120" s="325"/>
      <c r="AT120" s="325"/>
      <c r="AU120" s="325"/>
      <c r="AV120" s="325"/>
      <c r="AW120" s="325"/>
      <c r="AX120" s="325"/>
      <c r="AY120" s="325"/>
      <c r="AZ120" s="325"/>
      <c r="BB120" s="350"/>
      <c r="BC120" s="350"/>
      <c r="BD120" s="350"/>
      <c r="BE120" s="350"/>
      <c r="BF120" s="311"/>
      <c r="BG120" s="311"/>
      <c r="BH120" s="311"/>
      <c r="BI120" s="311"/>
      <c r="BJ120" s="311"/>
      <c r="BK120" s="311"/>
      <c r="BL120" s="311"/>
      <c r="BM120" s="311"/>
      <c r="BN120" s="311"/>
      <c r="BO120" s="311"/>
      <c r="BP120" s="311"/>
    </row>
    <row r="121" spans="3:68" s="356" customFormat="1" ht="12">
      <c r="C121" s="355" t="s">
        <v>287</v>
      </c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5"/>
      <c r="T121" s="355"/>
      <c r="U121" s="355"/>
      <c r="V121" s="355"/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355"/>
      <c r="AH121" s="355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5"/>
      <c r="AT121" s="355"/>
      <c r="AU121" s="355"/>
      <c r="AV121" s="355"/>
      <c r="AW121" s="355"/>
      <c r="AX121" s="355"/>
      <c r="AY121" s="355"/>
      <c r="AZ121" s="355"/>
      <c r="BA121" s="355"/>
      <c r="BB121" s="355"/>
      <c r="BC121" s="355"/>
      <c r="BD121" s="355"/>
      <c r="BE121" s="355"/>
      <c r="BF121" s="355"/>
      <c r="BG121" s="355"/>
      <c r="BH121" s="355"/>
      <c r="BI121" s="355"/>
      <c r="BJ121" s="355"/>
      <c r="BK121" s="355"/>
      <c r="BL121" s="355"/>
      <c r="BM121" s="355"/>
      <c r="BN121" s="355"/>
      <c r="BO121" s="355"/>
      <c r="BP121" s="355"/>
    </row>
    <row r="122" spans="3:68" s="311" customFormat="1">
      <c r="E122" s="350"/>
      <c r="F122" s="350"/>
      <c r="G122" s="350"/>
      <c r="H122" s="350"/>
      <c r="I122" s="350"/>
      <c r="J122" s="350"/>
      <c r="K122" s="350"/>
      <c r="L122" s="350"/>
      <c r="M122" s="350"/>
      <c r="N122" s="350"/>
      <c r="O122" s="350"/>
      <c r="P122" s="350"/>
      <c r="Q122" s="350"/>
      <c r="R122" s="350"/>
      <c r="S122" s="350"/>
      <c r="U122" s="350"/>
      <c r="V122" s="350"/>
      <c r="W122" s="350"/>
      <c r="X122" s="350"/>
      <c r="Y122" s="350"/>
      <c r="Z122" s="350"/>
      <c r="AA122" s="350"/>
      <c r="AB122" s="350"/>
      <c r="AC122" s="350"/>
      <c r="AD122" s="350"/>
      <c r="AE122" s="350"/>
      <c r="AF122" s="350"/>
      <c r="AG122" s="350"/>
      <c r="AH122" s="350"/>
      <c r="AI122" s="350"/>
      <c r="AJ122" s="350"/>
      <c r="AL122" s="350"/>
      <c r="AM122" s="350"/>
      <c r="AN122" s="350"/>
      <c r="AO122" s="350"/>
      <c r="AP122" s="350"/>
      <c r="AQ122" s="350"/>
      <c r="AR122" s="350"/>
      <c r="AS122" s="350"/>
      <c r="AT122" s="350"/>
      <c r="AU122" s="350"/>
      <c r="AV122" s="350"/>
      <c r="AW122" s="350"/>
      <c r="AX122" s="350"/>
      <c r="AY122" s="350"/>
      <c r="AZ122" s="350"/>
      <c r="BB122" s="350"/>
      <c r="BC122" s="350"/>
      <c r="BD122" s="350"/>
      <c r="BE122" s="350"/>
    </row>
    <row r="123" spans="3:68" s="311" customFormat="1">
      <c r="C123" s="311" t="s">
        <v>288</v>
      </c>
      <c r="E123" s="324">
        <f ca="1">E106+E111</f>
        <v>948.3347258638853</v>
      </c>
      <c r="F123" s="324">
        <f t="shared" ref="F123:I123" ca="1" si="375">F106+F111</f>
        <v>1053.3618193892128</v>
      </c>
      <c r="G123" s="324">
        <f t="shared" ca="1" si="375"/>
        <v>1157.3761320894455</v>
      </c>
      <c r="H123" s="324">
        <f t="shared" ca="1" si="375"/>
        <v>1257.4908571605044</v>
      </c>
      <c r="I123" s="324">
        <f t="shared" ca="1" si="375"/>
        <v>1252.6640275019224</v>
      </c>
      <c r="J123" s="324">
        <f t="shared" ref="J123:S123" ca="1" si="376">J106+J111</f>
        <v>1235.362537562806</v>
      </c>
      <c r="K123" s="324">
        <f t="shared" ca="1" si="376"/>
        <v>1316.3741817142318</v>
      </c>
      <c r="L123" s="324">
        <f t="shared" ca="1" si="376"/>
        <v>1273.4550495462552</v>
      </c>
      <c r="M123" s="324">
        <f t="shared" ca="1" si="376"/>
        <v>1250.4546132509042</v>
      </c>
      <c r="N123" s="324">
        <f t="shared" ca="1" si="376"/>
        <v>1197.5128049361952</v>
      </c>
      <c r="O123" s="324">
        <f t="shared" ca="1" si="376"/>
        <v>1131.4169762570759</v>
      </c>
      <c r="P123" s="324">
        <f t="shared" ca="1" si="376"/>
        <v>984.87460087182308</v>
      </c>
      <c r="Q123" s="324">
        <f t="shared" ca="1" si="376"/>
        <v>889.46764369790071</v>
      </c>
      <c r="R123" s="324">
        <f t="shared" ca="1" si="376"/>
        <v>718.9909475097586</v>
      </c>
      <c r="S123" s="324">
        <f t="shared" ca="1" si="376"/>
        <v>634.09431038357718</v>
      </c>
      <c r="U123" s="330"/>
      <c r="V123" s="324">
        <f>V106+V111</f>
        <v>-59.231308669487575</v>
      </c>
      <c r="W123" s="324">
        <f t="shared" ref="W123:Z123" si="377">W106+W111</f>
        <v>-31.715747476824891</v>
      </c>
      <c r="X123" s="324">
        <f t="shared" si="377"/>
        <v>0.33563522683109426</v>
      </c>
      <c r="Y123" s="324">
        <f t="shared" si="377"/>
        <v>47.754176019439022</v>
      </c>
      <c r="Z123" s="324">
        <f t="shared" si="377"/>
        <v>108.98492460390865</v>
      </c>
      <c r="AA123" s="324">
        <f t="shared" ref="AA123:AI123" si="378">AA106+AA111</f>
        <v>182.67852600546803</v>
      </c>
      <c r="AB123" s="324">
        <f t="shared" si="378"/>
        <v>259.87396416391613</v>
      </c>
      <c r="AC123" s="324">
        <f t="shared" si="378"/>
        <v>338.39181263000921</v>
      </c>
      <c r="AD123" s="324">
        <f t="shared" si="378"/>
        <v>417.18758426155364</v>
      </c>
      <c r="AE123" s="324">
        <f t="shared" si="378"/>
        <v>432.43545282383911</v>
      </c>
      <c r="AF123" s="324">
        <f t="shared" si="378"/>
        <v>398.2199153820867</v>
      </c>
      <c r="AG123" s="324">
        <f t="shared" si="378"/>
        <v>386.58158600978135</v>
      </c>
      <c r="AH123" s="324">
        <f t="shared" si="378"/>
        <v>382.6744159148347</v>
      </c>
      <c r="AI123" s="324">
        <f t="shared" si="378"/>
        <v>372.98560652447509</v>
      </c>
      <c r="AJ123" s="324">
        <f t="shared" ref="AJ123" si="379">AJ106+AJ111</f>
        <v>367.11141630023269</v>
      </c>
      <c r="AL123" s="330"/>
      <c r="AM123" s="330"/>
      <c r="AN123" s="330"/>
      <c r="AO123" s="330"/>
      <c r="AP123" s="330"/>
      <c r="AQ123" s="330"/>
      <c r="AR123" s="330"/>
      <c r="AS123" s="330"/>
      <c r="AT123" s="330"/>
      <c r="AU123" s="330"/>
      <c r="AV123" s="330"/>
      <c r="AW123" s="330"/>
      <c r="AX123" s="330"/>
      <c r="AY123" s="330"/>
      <c r="AZ123" s="330"/>
      <c r="BB123" s="350"/>
      <c r="BC123" s="324">
        <f ca="1">BC106+BC110</f>
        <v>1223.1414589303226</v>
      </c>
      <c r="BD123" s="324">
        <f t="shared" ref="BD123:BF123" ca="1" si="380">BD106+BD110</f>
        <v>1348.3598797187356</v>
      </c>
      <c r="BE123" s="324">
        <f t="shared" ca="1" si="380"/>
        <v>1538.9597648959384</v>
      </c>
      <c r="BF123" s="324">
        <f t="shared" ca="1" si="380"/>
        <v>1646.6269675576375</v>
      </c>
      <c r="BG123" s="324">
        <f t="shared" ref="BG123:BP123" ca="1" si="381">BG106+BG110</f>
        <v>1754.0018045233387</v>
      </c>
      <c r="BH123" s="324">
        <f t="shared" ca="1" si="381"/>
        <v>1956.8951113427806</v>
      </c>
      <c r="BI123" s="324">
        <f t="shared" ca="1" si="381"/>
        <v>2023.2515356977867</v>
      </c>
      <c r="BJ123" s="324">
        <f t="shared" ca="1" si="381"/>
        <v>2100.7360338172034</v>
      </c>
      <c r="BK123" s="324">
        <f t="shared" ca="1" si="381"/>
        <v>2081.9197593496133</v>
      </c>
      <c r="BL123" s="324">
        <f t="shared" ca="1" si="381"/>
        <v>1997.7145206747382</v>
      </c>
      <c r="BM123" s="324">
        <f t="shared" ca="1" si="381"/>
        <v>1833.8630443853369</v>
      </c>
      <c r="BN123" s="324">
        <f t="shared" ca="1" si="381"/>
        <v>1739.0397322697729</v>
      </c>
      <c r="BO123" s="324">
        <f t="shared" ca="1" si="381"/>
        <v>1544.5907125313338</v>
      </c>
      <c r="BP123" s="324">
        <f t="shared" ca="1" si="381"/>
        <v>1456.433300270706</v>
      </c>
    </row>
    <row r="124" spans="3:68" s="311" customFormat="1"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0"/>
      <c r="U124" s="330"/>
      <c r="V124" s="330"/>
      <c r="W124" s="330"/>
      <c r="X124" s="330"/>
      <c r="Y124" s="330"/>
      <c r="AL124" s="330"/>
      <c r="AM124" s="330"/>
      <c r="AN124" s="330"/>
      <c r="AO124" s="330"/>
      <c r="AP124" s="330"/>
      <c r="AQ124" s="330"/>
      <c r="AR124" s="330"/>
      <c r="AS124" s="330"/>
      <c r="AT124" s="330"/>
      <c r="AU124" s="330"/>
      <c r="AV124" s="330"/>
      <c r="AW124" s="330"/>
      <c r="AX124" s="330"/>
      <c r="AY124" s="330"/>
      <c r="AZ124" s="330"/>
      <c r="BB124" s="330"/>
      <c r="BC124" s="330"/>
      <c r="BD124" s="330"/>
      <c r="BE124" s="330"/>
      <c r="BF124" s="330"/>
      <c r="BG124" s="330"/>
      <c r="BH124" s="330"/>
      <c r="BI124" s="330"/>
      <c r="BJ124" s="330"/>
      <c r="BK124" s="330"/>
      <c r="BL124" s="330"/>
      <c r="BM124" s="330"/>
      <c r="BN124" s="330"/>
      <c r="BO124" s="330"/>
      <c r="BP124" s="330"/>
    </row>
    <row r="125" spans="3:68" s="311" customFormat="1">
      <c r="C125" s="311" t="s">
        <v>289</v>
      </c>
      <c r="E125" s="330">
        <f ca="1">E123*$M$25</f>
        <v>663.83430810471964</v>
      </c>
      <c r="F125" s="330">
        <f ca="1">F123*$M$25</f>
        <v>737.35327357244887</v>
      </c>
      <c r="G125" s="330">
        <f ca="1">G123*$M$25</f>
        <v>810.16329246261182</v>
      </c>
      <c r="H125" s="330">
        <f ca="1">H123*$M$25</f>
        <v>880.24360001235311</v>
      </c>
      <c r="I125" s="330">
        <f ca="1">I123*$M$25</f>
        <v>876.86481925134569</v>
      </c>
      <c r="J125" s="330">
        <f t="shared" ref="J125:S125" ca="1" si="382">J123*$M$25</f>
        <v>864.75377629396417</v>
      </c>
      <c r="K125" s="330">
        <f t="shared" ca="1" si="382"/>
        <v>921.46192719996213</v>
      </c>
      <c r="L125" s="330">
        <f t="shared" ca="1" si="382"/>
        <v>891.41853468237855</v>
      </c>
      <c r="M125" s="330">
        <f t="shared" ca="1" si="382"/>
        <v>875.31822927563292</v>
      </c>
      <c r="N125" s="330">
        <f t="shared" ca="1" si="382"/>
        <v>838.25896345533658</v>
      </c>
      <c r="O125" s="330">
        <f t="shared" ca="1" si="382"/>
        <v>791.99188337995315</v>
      </c>
      <c r="P125" s="330">
        <f t="shared" ca="1" si="382"/>
        <v>689.41222061027611</v>
      </c>
      <c r="Q125" s="330">
        <f t="shared" ca="1" si="382"/>
        <v>622.62735058853048</v>
      </c>
      <c r="R125" s="330">
        <f t="shared" ca="1" si="382"/>
        <v>503.293663256831</v>
      </c>
      <c r="S125" s="330">
        <f t="shared" ca="1" si="382"/>
        <v>443.86601726850398</v>
      </c>
      <c r="U125" s="330"/>
      <c r="V125" s="330">
        <f>V123*$M$25</f>
        <v>-41.461916068641301</v>
      </c>
      <c r="W125" s="330">
        <f>W123*$M$25</f>
        <v>-22.201023233777423</v>
      </c>
      <c r="X125" s="330">
        <f>X123*$M$25</f>
        <v>0.23494465878176596</v>
      </c>
      <c r="Y125" s="330">
        <f>Y123*$M$25</f>
        <v>33.427923213607315</v>
      </c>
      <c r="Z125" s="330">
        <f>Z123*$M$25</f>
        <v>76.289447222736058</v>
      </c>
      <c r="AA125" s="330">
        <f t="shared" ref="AA125:AH125" si="383">AA123*$M$25</f>
        <v>127.87496820382761</v>
      </c>
      <c r="AB125" s="330">
        <f t="shared" si="383"/>
        <v>181.91177491474127</v>
      </c>
      <c r="AC125" s="330">
        <f t="shared" si="383"/>
        <v>236.87426884100643</v>
      </c>
      <c r="AD125" s="330">
        <f t="shared" si="383"/>
        <v>292.03130898308751</v>
      </c>
      <c r="AE125" s="330">
        <f t="shared" si="383"/>
        <v>302.70481697668737</v>
      </c>
      <c r="AF125" s="330">
        <f t="shared" si="383"/>
        <v>278.75394076746068</v>
      </c>
      <c r="AG125" s="330">
        <f t="shared" si="383"/>
        <v>270.60711020684693</v>
      </c>
      <c r="AH125" s="330">
        <f t="shared" si="383"/>
        <v>267.87209114038427</v>
      </c>
      <c r="AI125" s="330">
        <f>AI123*$M$25</f>
        <v>261.08992456713253</v>
      </c>
      <c r="AJ125" s="330">
        <f t="shared" ref="AJ125" si="384">AJ123*$M$25</f>
        <v>256.97799141016287</v>
      </c>
      <c r="AL125" s="330"/>
      <c r="AM125" s="330"/>
      <c r="AN125" s="330"/>
      <c r="AO125" s="330"/>
      <c r="AP125" s="330"/>
      <c r="AQ125" s="330"/>
      <c r="AR125" s="330"/>
      <c r="AS125" s="330"/>
      <c r="AT125" s="330"/>
      <c r="AU125" s="330"/>
      <c r="AV125" s="330"/>
      <c r="AW125" s="330"/>
      <c r="AX125" s="330"/>
      <c r="AY125" s="330"/>
      <c r="AZ125" s="330"/>
      <c r="BB125" s="330"/>
      <c r="BC125" s="330">
        <f ca="1">BC123*$M$25</f>
        <v>856.19902125122576</v>
      </c>
      <c r="BD125" s="330">
        <f ca="1">BD123*$M$25</f>
        <v>943.85191580311482</v>
      </c>
      <c r="BE125" s="330">
        <f ca="1">BE123*$M$25</f>
        <v>1077.2718354271567</v>
      </c>
      <c r="BF125" s="330">
        <f ca="1">BF123*$M$25</f>
        <v>1152.6388772903463</v>
      </c>
      <c r="BG125" s="330">
        <f t="shared" ref="BG125:BP125" ca="1" si="385">BG123*$M$25</f>
        <v>1227.8012631663371</v>
      </c>
      <c r="BH125" s="330">
        <f t="shared" ca="1" si="385"/>
        <v>1369.8265779399464</v>
      </c>
      <c r="BI125" s="330">
        <f t="shared" ca="1" si="385"/>
        <v>1416.2760749884505</v>
      </c>
      <c r="BJ125" s="330">
        <f t="shared" ca="1" si="385"/>
        <v>1470.5152236720423</v>
      </c>
      <c r="BK125" s="330">
        <f t="shared" ca="1" si="385"/>
        <v>1457.3438315447293</v>
      </c>
      <c r="BL125" s="330">
        <f t="shared" ca="1" si="385"/>
        <v>1398.4001644723166</v>
      </c>
      <c r="BM125" s="330">
        <f t="shared" ca="1" si="385"/>
        <v>1283.7041310697357</v>
      </c>
      <c r="BN125" s="330">
        <f t="shared" ca="1" si="385"/>
        <v>1217.327812588841</v>
      </c>
      <c r="BO125" s="330">
        <f t="shared" ca="1" si="385"/>
        <v>1081.2134987719335</v>
      </c>
      <c r="BP125" s="330">
        <f t="shared" ca="1" si="385"/>
        <v>1019.5033101894942</v>
      </c>
    </row>
    <row r="126" spans="3:68" s="311" customFormat="1">
      <c r="E126" s="330"/>
      <c r="F126" s="330"/>
      <c r="G126" s="330"/>
      <c r="H126" s="330"/>
      <c r="I126" s="330"/>
      <c r="J126" s="330"/>
      <c r="K126" s="330"/>
      <c r="L126" s="330"/>
      <c r="M126" s="330"/>
      <c r="N126" s="330"/>
      <c r="O126" s="330"/>
      <c r="P126" s="330"/>
      <c r="Q126" s="330"/>
      <c r="R126" s="330"/>
      <c r="S126" s="330"/>
      <c r="U126" s="330"/>
      <c r="V126" s="330"/>
      <c r="W126" s="330"/>
      <c r="X126" s="330"/>
      <c r="Y126" s="330"/>
      <c r="Z126" s="330"/>
      <c r="AA126" s="330"/>
      <c r="AB126" s="330"/>
      <c r="AC126" s="330"/>
      <c r="AD126" s="330"/>
      <c r="AE126" s="330"/>
      <c r="AF126" s="330"/>
      <c r="AG126" s="330"/>
      <c r="AH126" s="330"/>
      <c r="AI126" s="330"/>
      <c r="AJ126" s="330"/>
      <c r="AL126" s="330"/>
      <c r="AM126" s="330"/>
      <c r="AN126" s="330"/>
      <c r="AO126" s="330"/>
      <c r="AP126" s="330"/>
      <c r="AQ126" s="330"/>
      <c r="AR126" s="330"/>
      <c r="AS126" s="330"/>
      <c r="AT126" s="330"/>
      <c r="AU126" s="330"/>
      <c r="AV126" s="330"/>
      <c r="AW126" s="330"/>
      <c r="AX126" s="330"/>
      <c r="AY126" s="330"/>
      <c r="AZ126" s="330"/>
      <c r="BB126" s="330"/>
      <c r="BC126" s="330"/>
      <c r="BD126" s="330"/>
      <c r="BE126" s="330"/>
      <c r="BF126" s="330"/>
      <c r="BG126" s="330"/>
      <c r="BH126" s="330"/>
      <c r="BI126" s="330"/>
      <c r="BJ126" s="330"/>
      <c r="BK126" s="330"/>
      <c r="BL126" s="330"/>
      <c r="BM126" s="330"/>
      <c r="BN126" s="330"/>
      <c r="BO126" s="330"/>
      <c r="BP126" s="330"/>
    </row>
    <row r="127" spans="3:68" s="311" customFormat="1" ht="12">
      <c r="C127" s="357" t="s">
        <v>290</v>
      </c>
      <c r="E127" s="330"/>
      <c r="F127" s="330"/>
      <c r="G127" s="330"/>
      <c r="H127" s="330"/>
      <c r="I127" s="330"/>
      <c r="J127" s="330"/>
      <c r="K127" s="330"/>
      <c r="L127" s="330"/>
      <c r="M127" s="330"/>
      <c r="N127" s="330"/>
      <c r="O127" s="330"/>
      <c r="P127" s="330"/>
      <c r="Q127" s="330"/>
      <c r="R127" s="330"/>
      <c r="S127" s="330"/>
      <c r="U127" s="330"/>
      <c r="V127" s="330"/>
      <c r="W127" s="330"/>
      <c r="X127" s="330"/>
      <c r="Y127" s="330"/>
      <c r="Z127" s="330"/>
      <c r="AA127" s="330"/>
      <c r="AB127" s="330"/>
      <c r="AC127" s="330"/>
      <c r="AD127" s="330"/>
      <c r="AE127" s="330"/>
      <c r="AF127" s="330"/>
      <c r="AG127" s="330"/>
      <c r="AH127" s="330"/>
      <c r="AI127" s="330"/>
      <c r="AJ127" s="330"/>
      <c r="AL127" s="330"/>
      <c r="AM127" s="330"/>
      <c r="AN127" s="330"/>
      <c r="AO127" s="330"/>
      <c r="AP127" s="330"/>
      <c r="AQ127" s="330"/>
      <c r="AR127" s="330"/>
      <c r="AS127" s="330"/>
      <c r="AT127" s="330"/>
      <c r="AU127" s="330"/>
      <c r="AV127" s="330"/>
      <c r="AW127" s="330"/>
      <c r="AX127" s="330"/>
      <c r="AY127" s="330"/>
      <c r="AZ127" s="330"/>
      <c r="BB127" s="330"/>
      <c r="BC127" s="330"/>
      <c r="BD127" s="330"/>
      <c r="BE127" s="330"/>
      <c r="BF127" s="330"/>
      <c r="BG127" s="330"/>
      <c r="BH127" s="330"/>
      <c r="BI127" s="330"/>
      <c r="BJ127" s="330"/>
      <c r="BK127" s="330"/>
      <c r="BL127" s="330"/>
      <c r="BM127" s="330"/>
      <c r="BN127" s="330"/>
      <c r="BO127" s="330"/>
      <c r="BP127" s="330"/>
    </row>
    <row r="128" spans="3:68" s="311" customFormat="1"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0"/>
      <c r="U128" s="330"/>
      <c r="V128" s="330"/>
      <c r="W128" s="330"/>
      <c r="X128" s="330"/>
      <c r="Y128" s="330"/>
      <c r="Z128" s="330"/>
      <c r="AA128" s="330"/>
      <c r="AB128" s="330"/>
      <c r="AC128" s="330"/>
      <c r="AD128" s="330"/>
      <c r="AE128" s="330"/>
      <c r="AF128" s="330"/>
      <c r="AG128" s="330"/>
      <c r="AH128" s="330"/>
      <c r="AI128" s="330"/>
      <c r="AJ128" s="330"/>
      <c r="AL128" s="330"/>
      <c r="AM128" s="330"/>
      <c r="AN128" s="330"/>
      <c r="AO128" s="330"/>
      <c r="AP128" s="330"/>
      <c r="AQ128" s="330"/>
      <c r="AR128" s="330"/>
      <c r="AS128" s="330"/>
      <c r="AT128" s="330"/>
      <c r="AU128" s="330"/>
      <c r="AV128" s="330"/>
      <c r="AW128" s="330"/>
      <c r="AX128" s="330"/>
      <c r="AY128" s="330"/>
      <c r="AZ128" s="330"/>
      <c r="BB128" s="330"/>
      <c r="BC128" s="330"/>
      <c r="BD128" s="330"/>
      <c r="BE128" s="330"/>
      <c r="BF128" s="330"/>
      <c r="BG128" s="330"/>
      <c r="BH128" s="330"/>
      <c r="BI128" s="330"/>
      <c r="BJ128" s="330"/>
      <c r="BK128" s="330"/>
      <c r="BL128" s="330"/>
      <c r="BM128" s="330"/>
      <c r="BN128" s="330"/>
      <c r="BO128" s="330"/>
      <c r="BP128" s="330"/>
    </row>
    <row r="129" spans="3:68" s="311" customFormat="1">
      <c r="C129" s="358" t="s">
        <v>291</v>
      </c>
      <c r="E129" s="330">
        <f>D131</f>
        <v>1848.5160000000001</v>
      </c>
      <c r="F129" s="330">
        <f ca="1">E131</f>
        <v>1184.6816918952804</v>
      </c>
      <c r="G129" s="330">
        <f ca="1">F131</f>
        <v>447.32841832283157</v>
      </c>
      <c r="H129" s="330">
        <f t="shared" ref="H129" ca="1" si="386">G131</f>
        <v>0</v>
      </c>
      <c r="I129" s="330">
        <f ca="1">H131</f>
        <v>0</v>
      </c>
      <c r="J129" s="330">
        <f t="shared" ref="J129:S129" ca="1" si="387">I131</f>
        <v>0</v>
      </c>
      <c r="K129" s="330">
        <f t="shared" ca="1" si="387"/>
        <v>0</v>
      </c>
      <c r="L129" s="330">
        <f t="shared" ca="1" si="387"/>
        <v>0</v>
      </c>
      <c r="M129" s="330">
        <f t="shared" ca="1" si="387"/>
        <v>0</v>
      </c>
      <c r="N129" s="330">
        <f t="shared" ca="1" si="387"/>
        <v>0</v>
      </c>
      <c r="O129" s="330">
        <f t="shared" ca="1" si="387"/>
        <v>0</v>
      </c>
      <c r="P129" s="330">
        <f t="shared" ca="1" si="387"/>
        <v>0</v>
      </c>
      <c r="Q129" s="330">
        <f t="shared" ca="1" si="387"/>
        <v>0</v>
      </c>
      <c r="R129" s="330">
        <f t="shared" ca="1" si="387"/>
        <v>0</v>
      </c>
      <c r="S129" s="330">
        <f t="shared" ca="1" si="387"/>
        <v>0</v>
      </c>
      <c r="U129" s="330"/>
      <c r="V129" s="330">
        <f>U131</f>
        <v>5.4539999999999997</v>
      </c>
      <c r="W129" s="330">
        <f t="shared" ref="W129:Z129" si="388">V131</f>
        <v>64.685308669487569</v>
      </c>
      <c r="X129" s="330">
        <f t="shared" si="388"/>
        <v>96.401056146312456</v>
      </c>
      <c r="Y129" s="330">
        <f t="shared" si="388"/>
        <v>96.166111487530685</v>
      </c>
      <c r="Z129" s="330">
        <f t="shared" si="388"/>
        <v>62.73818827392337</v>
      </c>
      <c r="AA129" s="330">
        <f t="shared" ref="AA129" si="389">Z131</f>
        <v>0</v>
      </c>
      <c r="AB129" s="330">
        <f t="shared" ref="AB129" si="390">AA131</f>
        <v>0</v>
      </c>
      <c r="AC129" s="330">
        <f t="shared" ref="AC129" si="391">AB131</f>
        <v>0</v>
      </c>
      <c r="AD129" s="330">
        <f t="shared" ref="AD129" si="392">AC131</f>
        <v>0</v>
      </c>
      <c r="AE129" s="330">
        <f t="shared" ref="AE129" si="393">AD131</f>
        <v>0</v>
      </c>
      <c r="AF129" s="330">
        <f t="shared" ref="AF129" si="394">AE131</f>
        <v>0</v>
      </c>
      <c r="AG129" s="330">
        <f t="shared" ref="AG129" si="395">AF131</f>
        <v>0</v>
      </c>
      <c r="AH129" s="330">
        <f t="shared" ref="AH129" si="396">AG131</f>
        <v>0</v>
      </c>
      <c r="AI129" s="330">
        <f t="shared" ref="AI129" si="397">AH131</f>
        <v>0</v>
      </c>
      <c r="AJ129" s="330">
        <f t="shared" ref="AJ129" si="398">AI131</f>
        <v>0</v>
      </c>
      <c r="AL129" s="330"/>
      <c r="AM129" s="330"/>
      <c r="AN129" s="330"/>
      <c r="AO129" s="330"/>
      <c r="AP129" s="330"/>
      <c r="AQ129" s="330"/>
      <c r="AR129" s="330"/>
      <c r="AS129" s="330"/>
      <c r="AT129" s="330"/>
      <c r="AU129" s="330"/>
      <c r="AV129" s="330"/>
      <c r="AW129" s="330"/>
      <c r="AX129" s="330"/>
      <c r="AY129" s="330"/>
      <c r="AZ129" s="330"/>
      <c r="BB129" s="359">
        <v>0</v>
      </c>
      <c r="BC129" s="330">
        <f t="shared" ref="BC129:BF129" ca="1" si="399">BB131</f>
        <v>1243.913000564768</v>
      </c>
      <c r="BD129" s="330">
        <f t="shared" ca="1" si="399"/>
        <v>387.71397931354227</v>
      </c>
      <c r="BE129" s="330">
        <f t="shared" ca="1" si="399"/>
        <v>0</v>
      </c>
      <c r="BF129" s="330">
        <f t="shared" ca="1" si="399"/>
        <v>0</v>
      </c>
      <c r="BG129" s="330">
        <f t="shared" ref="BG129" ca="1" si="400">BF131</f>
        <v>0</v>
      </c>
      <c r="BH129" s="330">
        <f t="shared" ref="BH129" ca="1" si="401">BG131</f>
        <v>0</v>
      </c>
      <c r="BI129" s="330">
        <f t="shared" ref="BI129" ca="1" si="402">BH131</f>
        <v>0</v>
      </c>
      <c r="BJ129" s="330">
        <f t="shared" ref="BJ129" ca="1" si="403">BI131</f>
        <v>0</v>
      </c>
      <c r="BK129" s="330">
        <f t="shared" ref="BK129" ca="1" si="404">BJ131</f>
        <v>0</v>
      </c>
      <c r="BL129" s="330">
        <f t="shared" ref="BL129" ca="1" si="405">BK131</f>
        <v>0</v>
      </c>
      <c r="BM129" s="330">
        <f t="shared" ref="BM129" ca="1" si="406">BL131</f>
        <v>0</v>
      </c>
      <c r="BN129" s="330">
        <f t="shared" ref="BN129" ca="1" si="407">BM131</f>
        <v>0</v>
      </c>
      <c r="BO129" s="330">
        <f t="shared" ref="BO129" ca="1" si="408">BN131</f>
        <v>0</v>
      </c>
      <c r="BP129" s="330">
        <f t="shared" ref="BP129" ca="1" si="409">BO131</f>
        <v>0</v>
      </c>
    </row>
    <row r="130" spans="3:68" s="311" customFormat="1">
      <c r="C130" s="360" t="s">
        <v>284</v>
      </c>
      <c r="E130" s="330">
        <f ca="1">IF(E123&lt;0,-E123,-MIN(E125,E129))</f>
        <v>-663.83430810471964</v>
      </c>
      <c r="F130" s="330">
        <f ca="1">IF(F123&lt;0,-F123,-MIN(F125,F129))</f>
        <v>-737.35327357244887</v>
      </c>
      <c r="G130" s="330">
        <f ca="1">IF(G123&lt;0,-G123,-MIN(G125,G129))</f>
        <v>-447.32841832283157</v>
      </c>
      <c r="H130" s="330">
        <f t="shared" ref="H130:I130" ca="1" si="410">IF(H123&lt;0,-H123,-MIN(H125,H129))</f>
        <v>0</v>
      </c>
      <c r="I130" s="330">
        <f t="shared" ca="1" si="410"/>
        <v>0</v>
      </c>
      <c r="J130" s="330">
        <f t="shared" ref="J130:S130" ca="1" si="411">IF(J123&lt;0,-J123,-MIN(J125,J129))</f>
        <v>0</v>
      </c>
      <c r="K130" s="330">
        <f t="shared" ca="1" si="411"/>
        <v>0</v>
      </c>
      <c r="L130" s="330">
        <f t="shared" ca="1" si="411"/>
        <v>0</v>
      </c>
      <c r="M130" s="330">
        <f t="shared" ca="1" si="411"/>
        <v>0</v>
      </c>
      <c r="N130" s="330">
        <f t="shared" ca="1" si="411"/>
        <v>0</v>
      </c>
      <c r="O130" s="330">
        <f t="shared" ca="1" si="411"/>
        <v>0</v>
      </c>
      <c r="P130" s="330">
        <f t="shared" ca="1" si="411"/>
        <v>0</v>
      </c>
      <c r="Q130" s="330">
        <f t="shared" ca="1" si="411"/>
        <v>0</v>
      </c>
      <c r="R130" s="330">
        <f t="shared" ca="1" si="411"/>
        <v>0</v>
      </c>
      <c r="S130" s="330">
        <f t="shared" ca="1" si="411"/>
        <v>0</v>
      </c>
      <c r="U130" s="330"/>
      <c r="V130" s="330">
        <f>IF(V123&lt;0,-V123,-MIN(V125,V129))</f>
        <v>59.231308669487575</v>
      </c>
      <c r="W130" s="330">
        <f t="shared" ref="W130:Z130" si="412">IF(W123&lt;0,-W123,-MIN(W125,W129))</f>
        <v>31.715747476824891</v>
      </c>
      <c r="X130" s="330">
        <f t="shared" si="412"/>
        <v>-0.23494465878176596</v>
      </c>
      <c r="Y130" s="330">
        <f t="shared" si="412"/>
        <v>-33.427923213607315</v>
      </c>
      <c r="Z130" s="330">
        <f t="shared" si="412"/>
        <v>-62.73818827392337</v>
      </c>
      <c r="AA130" s="330">
        <f t="shared" ref="AA130:AI130" si="413">IF(AA123&lt;0,-AA123,-MIN(AA125,AA129))</f>
        <v>0</v>
      </c>
      <c r="AB130" s="330">
        <f t="shared" si="413"/>
        <v>0</v>
      </c>
      <c r="AC130" s="330">
        <f t="shared" si="413"/>
        <v>0</v>
      </c>
      <c r="AD130" s="330">
        <f t="shared" si="413"/>
        <v>0</v>
      </c>
      <c r="AE130" s="330">
        <f t="shared" si="413"/>
        <v>0</v>
      </c>
      <c r="AF130" s="330">
        <f t="shared" si="413"/>
        <v>0</v>
      </c>
      <c r="AG130" s="330">
        <f t="shared" si="413"/>
        <v>0</v>
      </c>
      <c r="AH130" s="330">
        <f t="shared" si="413"/>
        <v>0</v>
      </c>
      <c r="AI130" s="330">
        <f t="shared" si="413"/>
        <v>0</v>
      </c>
      <c r="AJ130" s="330">
        <f t="shared" ref="AJ130" si="414">IF(AJ123&lt;0,-AJ123,-MIN(AJ125,AJ129))</f>
        <v>0</v>
      </c>
      <c r="AL130" s="330"/>
      <c r="AM130" s="330"/>
      <c r="AN130" s="330"/>
      <c r="AO130" s="330"/>
      <c r="AP130" s="330"/>
      <c r="AQ130" s="330"/>
      <c r="AR130" s="330"/>
      <c r="AS130" s="330"/>
      <c r="AT130" s="330"/>
      <c r="AU130" s="330"/>
      <c r="AV130" s="330"/>
      <c r="AW130" s="330"/>
      <c r="AX130" s="330"/>
      <c r="AY130" s="330"/>
      <c r="AZ130" s="330"/>
      <c r="BB130" s="330"/>
      <c r="BC130" s="330">
        <f ca="1">IF(BC123&lt;0,-BC123,-MIN(BC125,BC129))</f>
        <v>-856.19902125122576</v>
      </c>
      <c r="BD130" s="330">
        <f t="shared" ref="BD130:BF130" ca="1" si="415">IF(BD123&lt;0,-BD123,-MIN(BD125,BD129))</f>
        <v>-387.71397931354227</v>
      </c>
      <c r="BE130" s="330">
        <f t="shared" ca="1" si="415"/>
        <v>0</v>
      </c>
      <c r="BF130" s="330">
        <f t="shared" ca="1" si="415"/>
        <v>0</v>
      </c>
      <c r="BG130" s="330">
        <f t="shared" ref="BG130:BP130" ca="1" si="416">IF(BG123&lt;0,-BG123,-MIN(BG125,BG129))</f>
        <v>0</v>
      </c>
      <c r="BH130" s="330">
        <f t="shared" ca="1" si="416"/>
        <v>0</v>
      </c>
      <c r="BI130" s="330">
        <f t="shared" ca="1" si="416"/>
        <v>0</v>
      </c>
      <c r="BJ130" s="330">
        <f t="shared" ca="1" si="416"/>
        <v>0</v>
      </c>
      <c r="BK130" s="330">
        <f t="shared" ca="1" si="416"/>
        <v>0</v>
      </c>
      <c r="BL130" s="330">
        <f t="shared" ca="1" si="416"/>
        <v>0</v>
      </c>
      <c r="BM130" s="330">
        <f t="shared" ca="1" si="416"/>
        <v>0</v>
      </c>
      <c r="BN130" s="330">
        <f t="shared" ca="1" si="416"/>
        <v>0</v>
      </c>
      <c r="BO130" s="330">
        <f t="shared" ca="1" si="416"/>
        <v>0</v>
      </c>
      <c r="BP130" s="330">
        <f t="shared" ca="1" si="416"/>
        <v>0</v>
      </c>
    </row>
    <row r="131" spans="3:68" s="311" customFormat="1">
      <c r="C131" s="358" t="s">
        <v>292</v>
      </c>
      <c r="D131" s="330">
        <f>D85</f>
        <v>1848.5160000000001</v>
      </c>
      <c r="E131" s="330">
        <f ca="1">SUM(E129:E130)</f>
        <v>1184.6816918952804</v>
      </c>
      <c r="F131" s="330">
        <f ca="1">SUM(F129:F130)</f>
        <v>447.32841832283157</v>
      </c>
      <c r="G131" s="330">
        <f t="shared" ref="G131:I131" ca="1" si="417">SUM(G129:G130)</f>
        <v>0</v>
      </c>
      <c r="H131" s="330">
        <f t="shared" ca="1" si="417"/>
        <v>0</v>
      </c>
      <c r="I131" s="330">
        <f t="shared" ca="1" si="417"/>
        <v>0</v>
      </c>
      <c r="J131" s="330">
        <f t="shared" ref="J131:S131" ca="1" si="418">SUM(J129:J130)</f>
        <v>0</v>
      </c>
      <c r="K131" s="330">
        <f t="shared" ca="1" si="418"/>
        <v>0</v>
      </c>
      <c r="L131" s="330">
        <f t="shared" ca="1" si="418"/>
        <v>0</v>
      </c>
      <c r="M131" s="330">
        <f t="shared" ca="1" si="418"/>
        <v>0</v>
      </c>
      <c r="N131" s="330">
        <f t="shared" ca="1" si="418"/>
        <v>0</v>
      </c>
      <c r="O131" s="330">
        <f t="shared" ca="1" si="418"/>
        <v>0</v>
      </c>
      <c r="P131" s="330">
        <f t="shared" ca="1" si="418"/>
        <v>0</v>
      </c>
      <c r="Q131" s="330">
        <f t="shared" ca="1" si="418"/>
        <v>0</v>
      </c>
      <c r="R131" s="330">
        <f t="shared" ca="1" si="418"/>
        <v>0</v>
      </c>
      <c r="S131" s="330">
        <f t="shared" ca="1" si="418"/>
        <v>0</v>
      </c>
      <c r="U131" s="330">
        <f>U85</f>
        <v>5.4539999999999997</v>
      </c>
      <c r="V131" s="330">
        <f>SUM(V129:V130)</f>
        <v>64.685308669487569</v>
      </c>
      <c r="W131" s="330">
        <f t="shared" ref="W131:Z131" si="419">SUM(W129:W130)</f>
        <v>96.401056146312456</v>
      </c>
      <c r="X131" s="330">
        <f t="shared" si="419"/>
        <v>96.166111487530685</v>
      </c>
      <c r="Y131" s="330">
        <f t="shared" si="419"/>
        <v>62.73818827392337</v>
      </c>
      <c r="Z131" s="330">
        <f t="shared" si="419"/>
        <v>0</v>
      </c>
      <c r="AA131" s="330">
        <f t="shared" ref="AA131:AI131" si="420">SUM(AA129:AA130)</f>
        <v>0</v>
      </c>
      <c r="AB131" s="330">
        <f t="shared" si="420"/>
        <v>0</v>
      </c>
      <c r="AC131" s="330">
        <f t="shared" si="420"/>
        <v>0</v>
      </c>
      <c r="AD131" s="330">
        <f t="shared" si="420"/>
        <v>0</v>
      </c>
      <c r="AE131" s="330">
        <f t="shared" si="420"/>
        <v>0</v>
      </c>
      <c r="AF131" s="330">
        <f t="shared" si="420"/>
        <v>0</v>
      </c>
      <c r="AG131" s="330">
        <f t="shared" si="420"/>
        <v>0</v>
      </c>
      <c r="AH131" s="330">
        <f t="shared" si="420"/>
        <v>0</v>
      </c>
      <c r="AI131" s="330">
        <f t="shared" si="420"/>
        <v>0</v>
      </c>
      <c r="AJ131" s="330">
        <f t="shared" ref="AJ131" si="421">SUM(AJ129:AJ130)</f>
        <v>0</v>
      </c>
      <c r="AL131" s="324">
        <f>-U131</f>
        <v>-5.4539999999999997</v>
      </c>
      <c r="AM131" s="330"/>
      <c r="AN131" s="330"/>
      <c r="AO131" s="330"/>
      <c r="AP131" s="330"/>
      <c r="AQ131" s="330"/>
      <c r="AR131" s="330"/>
      <c r="AS131" s="330"/>
      <c r="AT131" s="330"/>
      <c r="AU131" s="330"/>
      <c r="AV131" s="330"/>
      <c r="AW131" s="330"/>
      <c r="AX131" s="330"/>
      <c r="AY131" s="330"/>
      <c r="AZ131" s="330"/>
      <c r="BB131" s="324">
        <f ca="1">E131+V131+AL131</f>
        <v>1243.913000564768</v>
      </c>
      <c r="BC131" s="330">
        <f t="shared" ref="BC131:BF131" ca="1" si="422">SUM(BC129:BC130)</f>
        <v>387.71397931354227</v>
      </c>
      <c r="BD131" s="330">
        <f t="shared" ca="1" si="422"/>
        <v>0</v>
      </c>
      <c r="BE131" s="330">
        <f t="shared" ca="1" si="422"/>
        <v>0</v>
      </c>
      <c r="BF131" s="330">
        <f t="shared" ca="1" si="422"/>
        <v>0</v>
      </c>
      <c r="BG131" s="330">
        <f t="shared" ref="BG131:BP131" ca="1" si="423">SUM(BG129:BG130)</f>
        <v>0</v>
      </c>
      <c r="BH131" s="330">
        <f t="shared" ca="1" si="423"/>
        <v>0</v>
      </c>
      <c r="BI131" s="330">
        <f t="shared" ca="1" si="423"/>
        <v>0</v>
      </c>
      <c r="BJ131" s="330">
        <f t="shared" ca="1" si="423"/>
        <v>0</v>
      </c>
      <c r="BK131" s="330">
        <f t="shared" ca="1" si="423"/>
        <v>0</v>
      </c>
      <c r="BL131" s="330">
        <f t="shared" ca="1" si="423"/>
        <v>0</v>
      </c>
      <c r="BM131" s="330">
        <f t="shared" ca="1" si="423"/>
        <v>0</v>
      </c>
      <c r="BN131" s="330">
        <f t="shared" ca="1" si="423"/>
        <v>0</v>
      </c>
      <c r="BO131" s="330">
        <f t="shared" ca="1" si="423"/>
        <v>0</v>
      </c>
      <c r="BP131" s="330">
        <f t="shared" ca="1" si="423"/>
        <v>0</v>
      </c>
    </row>
    <row r="132" spans="3:68"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287"/>
      <c r="U132" s="287"/>
      <c r="V132" s="287"/>
      <c r="W132" s="287"/>
      <c r="X132" s="287"/>
      <c r="Y132" s="287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B132" s="330"/>
      <c r="BC132" s="330"/>
      <c r="BD132" s="330"/>
      <c r="BE132" s="330"/>
      <c r="BF132" s="330"/>
      <c r="BG132" s="330"/>
      <c r="BH132" s="330"/>
      <c r="BI132" s="330"/>
      <c r="BJ132" s="330"/>
      <c r="BK132" s="330"/>
      <c r="BL132" s="330"/>
      <c r="BM132" s="330"/>
      <c r="BN132" s="330"/>
      <c r="BO132" s="330"/>
      <c r="BP132" s="330"/>
    </row>
    <row r="133" spans="3:68">
      <c r="C133" s="276" t="s">
        <v>293</v>
      </c>
      <c r="E133" s="287">
        <f ca="1">-AVERAGE(E131,E129)*$M$24</f>
        <v>-37.914971148691009</v>
      </c>
      <c r="F133" s="287">
        <f t="shared" ref="F133:I133" ca="1" si="424">-AVERAGE(F131,F129)*$M$24</f>
        <v>-20.400126377726401</v>
      </c>
      <c r="G133" s="287">
        <f ca="1">-AVERAGE(G131,G129)*$M$24</f>
        <v>-5.5916052290353946</v>
      </c>
      <c r="H133" s="287">
        <f t="shared" ca="1" si="424"/>
        <v>0</v>
      </c>
      <c r="I133" s="287">
        <f t="shared" ca="1" si="424"/>
        <v>0</v>
      </c>
      <c r="J133" s="287">
        <f t="shared" ref="J133:S133" ca="1" si="425">-AVERAGE(J131,J129)*$M$24</f>
        <v>0</v>
      </c>
      <c r="K133" s="287">
        <f t="shared" ca="1" si="425"/>
        <v>0</v>
      </c>
      <c r="L133" s="287">
        <f t="shared" ca="1" si="425"/>
        <v>0</v>
      </c>
      <c r="M133" s="287">
        <f t="shared" ca="1" si="425"/>
        <v>0</v>
      </c>
      <c r="N133" s="287">
        <f t="shared" ca="1" si="425"/>
        <v>0</v>
      </c>
      <c r="O133" s="287">
        <f t="shared" ca="1" si="425"/>
        <v>0</v>
      </c>
      <c r="P133" s="287">
        <f t="shared" ca="1" si="425"/>
        <v>0</v>
      </c>
      <c r="Q133" s="287">
        <f t="shared" ca="1" si="425"/>
        <v>0</v>
      </c>
      <c r="R133" s="287">
        <f t="shared" ca="1" si="425"/>
        <v>0</v>
      </c>
      <c r="S133" s="287">
        <f t="shared" ca="1" si="425"/>
        <v>0</v>
      </c>
      <c r="U133" s="325"/>
      <c r="V133" s="287">
        <f>-AVERAGE(V131,V129)*$M$24</f>
        <v>-0.87674135836859457</v>
      </c>
      <c r="W133" s="287">
        <f t="shared" ref="W133:Z133" si="426">-AVERAGE(W131,W129)*$M$24</f>
        <v>-2.0135795601975004</v>
      </c>
      <c r="X133" s="287">
        <f t="shared" si="426"/>
        <v>-2.4070895954230398</v>
      </c>
      <c r="Y133" s="287">
        <f t="shared" si="426"/>
        <v>-1.9863037470181759</v>
      </c>
      <c r="Z133" s="287">
        <f t="shared" si="426"/>
        <v>-0.78422735342404215</v>
      </c>
      <c r="AA133" s="287">
        <f t="shared" ref="AA133:AI133" si="427">-AVERAGE(AA131,AA129)*$M$24</f>
        <v>0</v>
      </c>
      <c r="AB133" s="287">
        <f t="shared" si="427"/>
        <v>0</v>
      </c>
      <c r="AC133" s="287">
        <f t="shared" si="427"/>
        <v>0</v>
      </c>
      <c r="AD133" s="287">
        <f t="shared" si="427"/>
        <v>0</v>
      </c>
      <c r="AE133" s="287">
        <f t="shared" si="427"/>
        <v>0</v>
      </c>
      <c r="AF133" s="287">
        <f t="shared" si="427"/>
        <v>0</v>
      </c>
      <c r="AG133" s="287">
        <f t="shared" si="427"/>
        <v>0</v>
      </c>
      <c r="AH133" s="287">
        <f t="shared" si="427"/>
        <v>0</v>
      </c>
      <c r="AI133" s="287">
        <f t="shared" si="427"/>
        <v>0</v>
      </c>
      <c r="AJ133" s="287">
        <f t="shared" ref="AJ133" si="428">-AVERAGE(AJ131,AJ129)*$M$24</f>
        <v>0</v>
      </c>
      <c r="AL133" s="325"/>
      <c r="AM133" s="325"/>
      <c r="AN133" s="325"/>
      <c r="AO133" s="325"/>
      <c r="AP133" s="325"/>
      <c r="AQ133" s="325"/>
      <c r="AR133" s="325"/>
      <c r="AS133" s="325"/>
      <c r="AT133" s="325"/>
      <c r="AU133" s="325"/>
      <c r="AV133" s="325"/>
      <c r="AW133" s="325"/>
      <c r="AX133" s="325"/>
      <c r="AY133" s="325"/>
      <c r="AZ133" s="325"/>
      <c r="BB133" s="287">
        <f ca="1">-AVERAGE(BB131,BB129)*$M$24</f>
        <v>-15.548912507059601</v>
      </c>
      <c r="BC133" s="287">
        <f ca="1">-AVERAGE(BC131,BC129)*$M$24</f>
        <v>-20.395337248478882</v>
      </c>
      <c r="BD133" s="287">
        <f t="shared" ref="BD133:BF133" ca="1" si="429">-AVERAGE(BD131,BD129)*$M$24</f>
        <v>-4.8464247414192787</v>
      </c>
      <c r="BE133" s="287">
        <f t="shared" ca="1" si="429"/>
        <v>0</v>
      </c>
      <c r="BF133" s="287">
        <f t="shared" ca="1" si="429"/>
        <v>0</v>
      </c>
      <c r="BG133" s="287">
        <f t="shared" ref="BG133:BP133" ca="1" si="430">-AVERAGE(BG131,BG129)*$M$24</f>
        <v>0</v>
      </c>
      <c r="BH133" s="287">
        <f t="shared" ca="1" si="430"/>
        <v>0</v>
      </c>
      <c r="BI133" s="287">
        <f t="shared" ca="1" si="430"/>
        <v>0</v>
      </c>
      <c r="BJ133" s="287">
        <f t="shared" ca="1" si="430"/>
        <v>0</v>
      </c>
      <c r="BK133" s="287">
        <f t="shared" ca="1" si="430"/>
        <v>0</v>
      </c>
      <c r="BL133" s="287">
        <f t="shared" ca="1" si="430"/>
        <v>0</v>
      </c>
      <c r="BM133" s="287">
        <f t="shared" ca="1" si="430"/>
        <v>0</v>
      </c>
      <c r="BN133" s="287">
        <f t="shared" ca="1" si="430"/>
        <v>0</v>
      </c>
      <c r="BO133" s="287">
        <f t="shared" ca="1" si="430"/>
        <v>0</v>
      </c>
      <c r="BP133" s="287">
        <f t="shared" ca="1" si="430"/>
        <v>0</v>
      </c>
    </row>
    <row r="134" spans="3:68">
      <c r="E134" s="325"/>
      <c r="F134" s="325"/>
      <c r="G134" s="325"/>
      <c r="H134" s="325"/>
      <c r="I134" s="325"/>
      <c r="J134" s="325"/>
      <c r="K134" s="325"/>
      <c r="L134" s="325"/>
      <c r="M134" s="325"/>
      <c r="N134" s="325"/>
      <c r="O134" s="325"/>
      <c r="P134" s="325"/>
      <c r="Q134" s="325"/>
      <c r="R134" s="325"/>
      <c r="S134" s="325"/>
      <c r="U134" s="325"/>
      <c r="V134" s="325"/>
      <c r="W134" s="325"/>
      <c r="X134" s="325"/>
      <c r="Y134" s="325"/>
      <c r="AL134" s="325"/>
      <c r="AM134" s="325"/>
      <c r="AN134" s="325"/>
      <c r="AO134" s="325"/>
      <c r="AP134" s="325"/>
      <c r="AQ134" s="325"/>
      <c r="AR134" s="325"/>
      <c r="AS134" s="325"/>
      <c r="AT134" s="325"/>
      <c r="AU134" s="325"/>
      <c r="AV134" s="325"/>
      <c r="AW134" s="325"/>
      <c r="AX134" s="325"/>
      <c r="AY134" s="325"/>
      <c r="AZ134" s="325"/>
      <c r="BB134" s="287"/>
      <c r="BC134" s="287"/>
      <c r="BD134" s="287"/>
      <c r="BE134" s="287"/>
      <c r="BF134" s="287"/>
      <c r="BG134" s="287"/>
      <c r="BH134" s="287"/>
      <c r="BI134" s="287"/>
      <c r="BJ134" s="287"/>
      <c r="BK134" s="287"/>
      <c r="BL134" s="287"/>
      <c r="BM134" s="287"/>
      <c r="BN134" s="287"/>
      <c r="BO134" s="287"/>
      <c r="BP134" s="287"/>
    </row>
    <row r="135" spans="3:68" ht="12">
      <c r="C135" s="357" t="s">
        <v>294</v>
      </c>
      <c r="E135" s="325"/>
      <c r="F135" s="325"/>
      <c r="G135" s="325"/>
      <c r="H135" s="325"/>
      <c r="I135" s="325"/>
      <c r="J135" s="325"/>
      <c r="K135" s="325"/>
      <c r="L135" s="325"/>
      <c r="M135" s="325"/>
      <c r="N135" s="325"/>
      <c r="O135" s="325"/>
      <c r="P135" s="325"/>
      <c r="Q135" s="325"/>
      <c r="R135" s="325"/>
      <c r="S135" s="325"/>
      <c r="U135" s="325"/>
      <c r="V135" s="325"/>
      <c r="W135" s="325"/>
      <c r="X135" s="325"/>
      <c r="Y135" s="325"/>
      <c r="AL135" s="325"/>
      <c r="AM135" s="325"/>
      <c r="AN135" s="325"/>
      <c r="AO135" s="325"/>
      <c r="AP135" s="325"/>
      <c r="AQ135" s="325"/>
      <c r="AR135" s="325"/>
      <c r="AS135" s="325"/>
      <c r="AT135" s="325"/>
      <c r="AU135" s="325"/>
      <c r="AV135" s="325"/>
      <c r="AW135" s="325"/>
      <c r="AX135" s="325"/>
      <c r="AY135" s="325"/>
      <c r="AZ135" s="325"/>
      <c r="BB135" s="287"/>
      <c r="BC135" s="287"/>
      <c r="BD135" s="287"/>
      <c r="BE135" s="287"/>
      <c r="BF135" s="287"/>
      <c r="BG135" s="287"/>
      <c r="BH135" s="287"/>
      <c r="BI135" s="287"/>
      <c r="BJ135" s="287"/>
      <c r="BK135" s="287"/>
      <c r="BL135" s="287"/>
      <c r="BM135" s="287"/>
      <c r="BN135" s="287"/>
      <c r="BO135" s="287"/>
      <c r="BP135" s="287"/>
    </row>
    <row r="136" spans="3:68"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5"/>
      <c r="U136" s="325"/>
      <c r="V136" s="325"/>
      <c r="W136" s="325"/>
      <c r="X136" s="325"/>
      <c r="Y136" s="325"/>
      <c r="AL136" s="325"/>
      <c r="AM136" s="325"/>
      <c r="AN136" s="325"/>
      <c r="AO136" s="325"/>
      <c r="AP136" s="325"/>
      <c r="AQ136" s="325"/>
      <c r="AR136" s="325"/>
      <c r="AS136" s="325"/>
      <c r="AT136" s="325"/>
      <c r="AU136" s="325"/>
      <c r="AV136" s="325"/>
      <c r="AW136" s="325"/>
      <c r="AX136" s="325"/>
      <c r="AY136" s="325"/>
      <c r="AZ136" s="325"/>
      <c r="BB136" s="287"/>
      <c r="BC136" s="287"/>
      <c r="BD136" s="287"/>
      <c r="BE136" s="287"/>
      <c r="BF136" s="287"/>
      <c r="BG136" s="287"/>
      <c r="BH136" s="287"/>
      <c r="BI136" s="287"/>
      <c r="BJ136" s="287"/>
      <c r="BK136" s="287"/>
      <c r="BL136" s="287"/>
      <c r="BM136" s="287"/>
      <c r="BN136" s="287"/>
      <c r="BO136" s="287"/>
      <c r="BP136" s="287"/>
    </row>
    <row r="137" spans="3:68">
      <c r="C137" s="358" t="s">
        <v>291</v>
      </c>
      <c r="E137" s="325"/>
      <c r="F137" s="325"/>
      <c r="G137" s="325"/>
      <c r="H137" s="325"/>
      <c r="I137" s="325"/>
      <c r="J137" s="325"/>
      <c r="K137" s="325"/>
      <c r="L137" s="325"/>
      <c r="M137" s="325"/>
      <c r="N137" s="325"/>
      <c r="O137" s="325"/>
      <c r="P137" s="325"/>
      <c r="Q137" s="325"/>
      <c r="R137" s="325"/>
      <c r="S137" s="325"/>
      <c r="U137" s="325"/>
      <c r="V137" s="325"/>
      <c r="W137" s="325"/>
      <c r="X137" s="325"/>
      <c r="Y137" s="325"/>
      <c r="Z137" s="325"/>
      <c r="AA137" s="325"/>
      <c r="AB137" s="325"/>
      <c r="AC137" s="325"/>
      <c r="AD137" s="325"/>
      <c r="AE137" s="325"/>
      <c r="AF137" s="325"/>
      <c r="AG137" s="325"/>
      <c r="AH137" s="325"/>
      <c r="AI137" s="325"/>
      <c r="AJ137" s="325"/>
      <c r="BB137" s="359">
        <v>0</v>
      </c>
      <c r="BC137" s="287">
        <f>BB139</f>
        <v>5749.4016000000001</v>
      </c>
      <c r="BD137" s="287">
        <f t="shared" ref="BD137:BF137" ca="1" si="431">BC139</f>
        <v>5492.5418936246324</v>
      </c>
      <c r="BE137" s="287">
        <f t="shared" ca="1" si="431"/>
        <v>4820.0897633409968</v>
      </c>
      <c r="BF137" s="287">
        <f t="shared" ca="1" si="431"/>
        <v>3742.8179279138403</v>
      </c>
      <c r="BG137" s="287">
        <f t="shared" ref="BG137" ca="1" si="432">BF139</f>
        <v>2590.1790506234938</v>
      </c>
      <c r="BH137" s="287">
        <f t="shared" ref="BH137" ca="1" si="433">BG139</f>
        <v>1362.3777874571567</v>
      </c>
      <c r="BI137" s="287">
        <f t="shared" ref="BI137" ca="1" si="434">BH139</f>
        <v>408.71333623714713</v>
      </c>
      <c r="BJ137" s="287">
        <f t="shared" ref="BJ137" ca="1" si="435">BI139</f>
        <v>122.61400087114419</v>
      </c>
      <c r="BK137" s="287">
        <f t="shared" ref="BK137" ca="1" si="436">BJ139</f>
        <v>36.784200261343258</v>
      </c>
      <c r="BL137" s="287">
        <f t="shared" ref="BL137" ca="1" si="437">BK139</f>
        <v>11.035260078402978</v>
      </c>
      <c r="BM137" s="287">
        <f t="shared" ref="BM137" ca="1" si="438">BL139</f>
        <v>3.3105780235208941</v>
      </c>
      <c r="BN137" s="287">
        <f t="shared" ref="BN137" ca="1" si="439">BM139</f>
        <v>0.99317340705626833</v>
      </c>
      <c r="BO137" s="287">
        <f t="shared" ref="BO137" ca="1" si="440">BN139</f>
        <v>0.29795202211688054</v>
      </c>
      <c r="BP137" s="287">
        <f t="shared" ref="BP137" ca="1" si="441">BO139</f>
        <v>8.9385606635064174E-2</v>
      </c>
    </row>
    <row r="138" spans="3:68">
      <c r="C138" s="360" t="s">
        <v>284</v>
      </c>
      <c r="E138" s="325"/>
      <c r="F138" s="325"/>
      <c r="G138" s="325"/>
      <c r="H138" s="325"/>
      <c r="I138" s="325"/>
      <c r="J138" s="325"/>
      <c r="K138" s="325"/>
      <c r="L138" s="325"/>
      <c r="M138" s="325"/>
      <c r="N138" s="325"/>
      <c r="O138" s="325"/>
      <c r="P138" s="325"/>
      <c r="Q138" s="325"/>
      <c r="R138" s="325"/>
      <c r="S138" s="325"/>
      <c r="U138" s="325"/>
      <c r="V138" s="325"/>
      <c r="W138" s="325"/>
      <c r="X138" s="325"/>
      <c r="Y138" s="325"/>
      <c r="Z138" s="325"/>
      <c r="AA138" s="325"/>
      <c r="AB138" s="325"/>
      <c r="AC138" s="325"/>
      <c r="AD138" s="325"/>
      <c r="AE138" s="325"/>
      <c r="AF138" s="325"/>
      <c r="AG138" s="325"/>
      <c r="AH138" s="325"/>
      <c r="AI138" s="325"/>
      <c r="AJ138" s="325"/>
      <c r="BB138" s="287"/>
      <c r="BC138" s="287">
        <f ca="1">IF((BC123+BC130)&lt;0,-(BC123+BC130),-MIN(BC123+BC130,BC137))*$M$28</f>
        <v>-256.85970637536781</v>
      </c>
      <c r="BD138" s="287">
        <f ca="1">IF((BD123+BD130)&lt;0,-(BD123+BD130),-MIN(BD123+BD130,BD137))*$M$28</f>
        <v>-672.45213028363526</v>
      </c>
      <c r="BE138" s="287">
        <f ca="1">IF((BE123+BE130)&lt;0,-(BE123+BE130),-MIN(BE123+BE130,BE137))*$M$28</f>
        <v>-1077.2718354271567</v>
      </c>
      <c r="BF138" s="287">
        <f ca="1">IF((BF123+BF130)&lt;0,-(BF123+BF130),-MIN(BF123+BF130,BF137))*$M$28</f>
        <v>-1152.6388772903463</v>
      </c>
      <c r="BG138" s="287">
        <f t="shared" ref="BG138:BP138" ca="1" si="442">IF((BG123+BG130)&lt;0,-(BG123+BG130),-MIN(BG123+BG130,BG137))*$M$28</f>
        <v>-1227.8012631663371</v>
      </c>
      <c r="BH138" s="287">
        <f t="shared" ca="1" si="442"/>
        <v>-953.6644512200096</v>
      </c>
      <c r="BI138" s="287">
        <f t="shared" ca="1" si="442"/>
        <v>-286.09933536600295</v>
      </c>
      <c r="BJ138" s="287">
        <f t="shared" ca="1" si="442"/>
        <v>-85.829800609800927</v>
      </c>
      <c r="BK138" s="287">
        <f t="shared" ca="1" si="442"/>
        <v>-25.748940182940281</v>
      </c>
      <c r="BL138" s="287">
        <f t="shared" ca="1" si="442"/>
        <v>-7.7246820548820834</v>
      </c>
      <c r="BM138" s="287">
        <f t="shared" ca="1" si="442"/>
        <v>-2.3174046164646258</v>
      </c>
      <c r="BN138" s="287">
        <f t="shared" ca="1" si="442"/>
        <v>-0.69522138493938779</v>
      </c>
      <c r="BO138" s="287">
        <f t="shared" ca="1" si="442"/>
        <v>-0.20856641548181637</v>
      </c>
      <c r="BP138" s="287">
        <f t="shared" ca="1" si="442"/>
        <v>-6.2569924644544916E-2</v>
      </c>
    </row>
    <row r="139" spans="3:68">
      <c r="C139" s="358" t="s">
        <v>292</v>
      </c>
      <c r="E139" s="325"/>
      <c r="F139" s="325"/>
      <c r="G139" s="325"/>
      <c r="H139" s="325"/>
      <c r="I139" s="325"/>
      <c r="J139" s="325"/>
      <c r="K139" s="325"/>
      <c r="L139" s="325"/>
      <c r="M139" s="325"/>
      <c r="N139" s="325"/>
      <c r="O139" s="325"/>
      <c r="P139" s="325"/>
      <c r="Q139" s="325"/>
      <c r="R139" s="325"/>
      <c r="S139" s="325"/>
      <c r="U139" s="325"/>
      <c r="V139" s="325"/>
      <c r="W139" s="325"/>
      <c r="X139" s="325"/>
      <c r="Y139" s="325"/>
      <c r="Z139" s="325"/>
      <c r="AA139" s="325"/>
      <c r="AB139" s="325"/>
      <c r="AC139" s="325"/>
      <c r="AD139" s="325"/>
      <c r="AE139" s="325"/>
      <c r="AF139" s="325"/>
      <c r="AG139" s="325"/>
      <c r="AH139" s="325"/>
      <c r="AI139" s="325"/>
      <c r="AJ139" s="325"/>
      <c r="BB139" s="324">
        <f>G17</f>
        <v>5749.4016000000001</v>
      </c>
      <c r="BC139" s="330">
        <f t="shared" ref="BC139:BF139" ca="1" si="443">SUM(BC137:BC138)</f>
        <v>5492.5418936246324</v>
      </c>
      <c r="BD139" s="330">
        <f t="shared" ca="1" si="443"/>
        <v>4820.0897633409968</v>
      </c>
      <c r="BE139" s="330">
        <f t="shared" ca="1" si="443"/>
        <v>3742.8179279138403</v>
      </c>
      <c r="BF139" s="330">
        <f t="shared" ca="1" si="443"/>
        <v>2590.1790506234938</v>
      </c>
      <c r="BG139" s="330">
        <f t="shared" ref="BG139:BP139" ca="1" si="444">SUM(BG137:BG138)</f>
        <v>1362.3777874571567</v>
      </c>
      <c r="BH139" s="330">
        <f t="shared" ca="1" si="444"/>
        <v>408.71333623714713</v>
      </c>
      <c r="BI139" s="330">
        <f t="shared" ca="1" si="444"/>
        <v>122.61400087114419</v>
      </c>
      <c r="BJ139" s="330">
        <f t="shared" ca="1" si="444"/>
        <v>36.784200261343258</v>
      </c>
      <c r="BK139" s="330">
        <f t="shared" ca="1" si="444"/>
        <v>11.035260078402978</v>
      </c>
      <c r="BL139" s="330">
        <f t="shared" ca="1" si="444"/>
        <v>3.3105780235208941</v>
      </c>
      <c r="BM139" s="330">
        <f t="shared" ca="1" si="444"/>
        <v>0.99317340705626833</v>
      </c>
      <c r="BN139" s="330">
        <f t="shared" ca="1" si="444"/>
        <v>0.29795202211688054</v>
      </c>
      <c r="BO139" s="330">
        <f t="shared" ca="1" si="444"/>
        <v>8.9385606635064174E-2</v>
      </c>
      <c r="BP139" s="330">
        <f t="shared" ca="1" si="444"/>
        <v>2.6815681990519258E-2</v>
      </c>
    </row>
    <row r="140" spans="3:68">
      <c r="E140" s="325"/>
      <c r="F140" s="325"/>
      <c r="G140" s="325"/>
      <c r="H140" s="325"/>
      <c r="I140" s="325"/>
      <c r="J140" s="325"/>
      <c r="K140" s="325"/>
      <c r="L140" s="325"/>
      <c r="M140" s="325"/>
      <c r="N140" s="325"/>
      <c r="O140" s="325"/>
      <c r="P140" s="325"/>
      <c r="Q140" s="325"/>
      <c r="R140" s="325"/>
      <c r="S140" s="325"/>
      <c r="U140" s="325"/>
      <c r="V140" s="325"/>
      <c r="W140" s="325"/>
      <c r="X140" s="325"/>
      <c r="Y140" s="325"/>
      <c r="Z140" s="325"/>
      <c r="AA140" s="325"/>
      <c r="AB140" s="325"/>
      <c r="AC140" s="325"/>
      <c r="AD140" s="325"/>
      <c r="AE140" s="325"/>
      <c r="AF140" s="325"/>
      <c r="AG140" s="325"/>
      <c r="AH140" s="325"/>
      <c r="AI140" s="325"/>
      <c r="AJ140" s="325"/>
      <c r="BB140" s="287"/>
      <c r="BC140" s="287"/>
      <c r="BD140" s="287"/>
      <c r="BE140" s="287"/>
      <c r="BF140" s="287"/>
      <c r="BG140" s="287"/>
      <c r="BH140" s="287"/>
      <c r="BI140" s="287"/>
      <c r="BJ140" s="287"/>
      <c r="BK140" s="287"/>
      <c r="BL140" s="287"/>
      <c r="BM140" s="287"/>
      <c r="BN140" s="287"/>
      <c r="BO140" s="287"/>
      <c r="BP140" s="287"/>
    </row>
    <row r="141" spans="3:68">
      <c r="C141" s="276" t="s">
        <v>293</v>
      </c>
      <c r="E141" s="325"/>
      <c r="F141" s="325"/>
      <c r="G141" s="325"/>
      <c r="H141" s="325"/>
      <c r="I141" s="325"/>
      <c r="J141" s="325"/>
      <c r="K141" s="325"/>
      <c r="L141" s="325"/>
      <c r="M141" s="325"/>
      <c r="N141" s="325"/>
      <c r="O141" s="325"/>
      <c r="P141" s="325"/>
      <c r="Q141" s="325"/>
      <c r="R141" s="325"/>
      <c r="S141" s="325"/>
      <c r="U141" s="325"/>
      <c r="V141" s="325"/>
      <c r="W141" s="325"/>
      <c r="X141" s="325"/>
      <c r="Y141" s="325"/>
      <c r="Z141" s="325"/>
      <c r="AA141" s="325"/>
      <c r="AB141" s="325"/>
      <c r="AC141" s="325"/>
      <c r="AD141" s="325"/>
      <c r="AE141" s="325"/>
      <c r="AF141" s="325"/>
      <c r="AG141" s="325"/>
      <c r="AH141" s="325"/>
      <c r="AI141" s="325"/>
      <c r="AJ141" s="325"/>
      <c r="BB141" s="287">
        <f>-AVERAGE(BB139,BB137)*$M$27</f>
        <v>-114.988032</v>
      </c>
      <c r="BC141" s="287">
        <f ca="1">-AVERAGE(BC139,BC137)*$M$27</f>
        <v>-224.83886987249267</v>
      </c>
      <c r="BD141" s="287">
        <f t="shared" ref="BD141:BF141" ca="1" si="445">-AVERAGE(BD139,BD137)*$M$27</f>
        <v>-206.25263313931259</v>
      </c>
      <c r="BE141" s="287">
        <f t="shared" ca="1" si="445"/>
        <v>-171.25815382509674</v>
      </c>
      <c r="BF141" s="287">
        <f t="shared" ca="1" si="445"/>
        <v>-126.65993957074669</v>
      </c>
      <c r="BG141" s="287">
        <f t="shared" ref="BG141:BP141" ca="1" si="446">-AVERAGE(BG139,BG137)*$M$27</f>
        <v>-79.051136761613023</v>
      </c>
      <c r="BH141" s="287">
        <f t="shared" ca="1" si="446"/>
        <v>-35.421822473886081</v>
      </c>
      <c r="BI141" s="287">
        <f t="shared" ca="1" si="446"/>
        <v>-10.626546742165827</v>
      </c>
      <c r="BJ141" s="287">
        <f t="shared" ca="1" si="446"/>
        <v>-3.1879640226497488</v>
      </c>
      <c r="BK141" s="287">
        <f t="shared" ca="1" si="446"/>
        <v>-0.95638920679492478</v>
      </c>
      <c r="BL141" s="287">
        <f t="shared" ca="1" si="446"/>
        <v>-0.28691676203847744</v>
      </c>
      <c r="BM141" s="287">
        <f t="shared" ca="1" si="446"/>
        <v>-8.6075028611543244E-2</v>
      </c>
      <c r="BN141" s="287">
        <f t="shared" ca="1" si="446"/>
        <v>-2.5822508583462977E-2</v>
      </c>
      <c r="BO141" s="287">
        <f t="shared" ca="1" si="446"/>
        <v>-7.746752575038895E-3</v>
      </c>
      <c r="BP141" s="287">
        <f t="shared" ca="1" si="446"/>
        <v>-2.3240257725116687E-3</v>
      </c>
    </row>
    <row r="142" spans="3:68">
      <c r="E142" s="325"/>
      <c r="F142" s="325"/>
      <c r="G142" s="325"/>
      <c r="H142" s="325"/>
      <c r="I142" s="325"/>
      <c r="V142" s="325"/>
      <c r="W142" s="325"/>
      <c r="X142" s="325"/>
      <c r="Y142" s="325"/>
      <c r="Z142" s="325"/>
      <c r="AA142" s="325"/>
      <c r="AB142" s="287"/>
      <c r="AC142" s="287"/>
      <c r="AD142" s="287"/>
      <c r="AE142" s="287"/>
      <c r="AF142" s="287"/>
      <c r="AG142" s="287"/>
      <c r="AH142" s="325"/>
      <c r="AI142" s="325"/>
      <c r="AJ142" s="325"/>
      <c r="AK142" s="325"/>
      <c r="AL142" s="325"/>
    </row>
    <row r="143" spans="3:68"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  <c r="T143" s="325"/>
      <c r="U143" s="325"/>
      <c r="V143" s="325"/>
      <c r="W143" s="325"/>
      <c r="X143" s="325"/>
      <c r="Y143" s="325"/>
      <c r="Z143" s="325"/>
    </row>
    <row r="144" spans="3:68"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5"/>
      <c r="T144" s="325"/>
      <c r="U144" s="325"/>
      <c r="V144" s="325"/>
      <c r="W144" s="325"/>
      <c r="X144" s="325"/>
      <c r="Y144" s="325"/>
      <c r="Z144" s="325"/>
    </row>
    <row r="145" spans="5:26">
      <c r="E145" s="325"/>
      <c r="F145" s="325"/>
      <c r="G145" s="325"/>
      <c r="H145" s="325"/>
      <c r="I145" s="325"/>
      <c r="J145" s="325"/>
      <c r="K145" s="325"/>
      <c r="L145" s="325"/>
      <c r="M145" s="325"/>
      <c r="N145" s="325"/>
      <c r="O145" s="325"/>
      <c r="P145" s="325"/>
      <c r="Q145" s="325"/>
      <c r="R145" s="325"/>
      <c r="S145" s="325"/>
      <c r="T145" s="325"/>
      <c r="U145" s="325"/>
      <c r="V145" s="325"/>
      <c r="W145" s="325"/>
      <c r="X145" s="325"/>
      <c r="Y145" s="325"/>
      <c r="Z145" s="325"/>
    </row>
    <row r="146" spans="5:26">
      <c r="E146" s="325"/>
      <c r="F146" s="325"/>
      <c r="G146" s="325"/>
      <c r="H146" s="325"/>
      <c r="I146" s="325"/>
      <c r="J146" s="325"/>
      <c r="K146" s="325"/>
      <c r="L146" s="325"/>
      <c r="M146" s="325"/>
      <c r="N146" s="325"/>
      <c r="O146" s="325"/>
      <c r="P146" s="325"/>
      <c r="Q146" s="325"/>
      <c r="R146" s="325"/>
      <c r="S146" s="325"/>
      <c r="T146" s="325"/>
      <c r="U146" s="325"/>
      <c r="V146" s="325"/>
      <c r="W146" s="325"/>
      <c r="X146" s="325"/>
      <c r="Y146" s="325"/>
      <c r="Z146" s="325"/>
    </row>
    <row r="147" spans="5:26">
      <c r="E147" s="325"/>
      <c r="F147" s="325"/>
      <c r="G147" s="325"/>
      <c r="H147" s="325"/>
      <c r="I147" s="325"/>
      <c r="J147" s="325"/>
      <c r="K147" s="325"/>
      <c r="L147" s="325"/>
      <c r="M147" s="325"/>
      <c r="N147" s="325"/>
      <c r="O147" s="325"/>
      <c r="P147" s="325"/>
      <c r="Q147" s="325"/>
      <c r="R147" s="325"/>
      <c r="S147" s="325"/>
      <c r="T147" s="325"/>
      <c r="U147" s="325"/>
      <c r="V147" s="325"/>
      <c r="W147" s="325"/>
      <c r="X147" s="325"/>
      <c r="Y147" s="325"/>
      <c r="Z147" s="325"/>
    </row>
    <row r="148" spans="5:26">
      <c r="E148" s="325"/>
      <c r="F148" s="325"/>
      <c r="G148" s="325"/>
      <c r="H148" s="325"/>
      <c r="I148" s="325"/>
      <c r="J148" s="325"/>
      <c r="K148" s="325"/>
      <c r="L148" s="325"/>
      <c r="M148" s="325"/>
      <c r="N148" s="325"/>
      <c r="O148" s="325"/>
      <c r="P148" s="325"/>
      <c r="Q148" s="325"/>
      <c r="R148" s="325"/>
      <c r="S148" s="325"/>
      <c r="T148" s="325"/>
      <c r="U148" s="325"/>
      <c r="V148" s="325"/>
      <c r="W148" s="325"/>
      <c r="X148" s="325"/>
      <c r="Y148" s="325"/>
      <c r="Z148" s="325"/>
    </row>
    <row r="149" spans="5:26">
      <c r="E149" s="325"/>
      <c r="F149" s="325"/>
      <c r="G149" s="325"/>
      <c r="H149" s="325"/>
      <c r="I149" s="325"/>
      <c r="J149" s="325"/>
      <c r="K149" s="325"/>
      <c r="L149" s="325"/>
      <c r="M149" s="325"/>
      <c r="N149" s="325"/>
      <c r="O149" s="325"/>
      <c r="P149" s="325"/>
      <c r="Q149" s="325"/>
      <c r="R149" s="325"/>
      <c r="S149" s="325"/>
      <c r="T149" s="325"/>
      <c r="U149" s="325"/>
      <c r="V149" s="325"/>
      <c r="W149" s="325"/>
      <c r="X149" s="325"/>
      <c r="Y149" s="325"/>
      <c r="Z149" s="325"/>
    </row>
    <row r="150" spans="5:26">
      <c r="E150" s="325"/>
      <c r="F150" s="325"/>
      <c r="G150" s="325"/>
      <c r="H150" s="325"/>
      <c r="I150" s="325"/>
      <c r="J150" s="325"/>
      <c r="K150" s="325"/>
      <c r="L150" s="325"/>
      <c r="M150" s="325"/>
      <c r="N150" s="325"/>
      <c r="O150" s="325"/>
      <c r="P150" s="325"/>
      <c r="Q150" s="325"/>
      <c r="R150" s="325"/>
      <c r="S150" s="325"/>
      <c r="T150" s="325"/>
      <c r="U150" s="325"/>
      <c r="V150" s="325"/>
      <c r="W150" s="325"/>
      <c r="X150" s="325"/>
      <c r="Y150" s="325"/>
      <c r="Z150" s="325"/>
    </row>
    <row r="151" spans="5:26">
      <c r="E151" s="325"/>
      <c r="F151" s="325"/>
      <c r="G151" s="325"/>
      <c r="H151" s="325"/>
      <c r="I151" s="325"/>
      <c r="J151" s="325"/>
      <c r="K151" s="325"/>
      <c r="L151" s="325"/>
      <c r="M151" s="325"/>
      <c r="N151" s="325"/>
      <c r="O151" s="325"/>
      <c r="P151" s="325"/>
      <c r="Q151" s="325"/>
      <c r="R151" s="325"/>
      <c r="S151" s="325"/>
      <c r="T151" s="325"/>
      <c r="U151" s="325"/>
      <c r="V151" s="325"/>
      <c r="W151" s="325"/>
      <c r="X151" s="325"/>
      <c r="Y151" s="325"/>
      <c r="Z151" s="325"/>
    </row>
    <row r="152" spans="5:26"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5"/>
      <c r="T152" s="325"/>
      <c r="U152" s="325"/>
      <c r="V152" s="325"/>
      <c r="W152" s="325"/>
      <c r="X152" s="325"/>
      <c r="Y152" s="325"/>
      <c r="Z152" s="325"/>
    </row>
    <row r="153" spans="5:26">
      <c r="E153" s="325"/>
      <c r="F153" s="325"/>
      <c r="G153" s="325"/>
      <c r="H153" s="325"/>
      <c r="I153" s="325"/>
      <c r="J153" s="325"/>
      <c r="K153" s="325"/>
      <c r="L153" s="325"/>
      <c r="M153" s="325"/>
      <c r="N153" s="325"/>
      <c r="O153" s="325"/>
      <c r="P153" s="325"/>
      <c r="Q153" s="325"/>
      <c r="R153" s="325"/>
      <c r="S153" s="325"/>
      <c r="T153" s="325"/>
      <c r="U153" s="325"/>
      <c r="V153" s="325"/>
      <c r="W153" s="325"/>
      <c r="X153" s="325"/>
      <c r="Y153" s="325"/>
      <c r="Z153" s="325"/>
    </row>
    <row r="154" spans="5:26">
      <c r="E154" s="325"/>
      <c r="F154" s="325"/>
      <c r="G154" s="325"/>
      <c r="H154" s="325"/>
      <c r="I154" s="325"/>
      <c r="J154" s="325"/>
      <c r="K154" s="325"/>
      <c r="L154" s="325"/>
      <c r="M154" s="325"/>
      <c r="N154" s="325"/>
      <c r="O154" s="325"/>
      <c r="P154" s="325"/>
      <c r="Q154" s="325"/>
      <c r="R154" s="325"/>
      <c r="S154" s="325"/>
      <c r="T154" s="325"/>
      <c r="U154" s="325"/>
      <c r="V154" s="325"/>
      <c r="W154" s="325"/>
      <c r="X154" s="325"/>
      <c r="Y154" s="325"/>
      <c r="Z154" s="325"/>
    </row>
    <row r="155" spans="5:26">
      <c r="E155" s="325"/>
      <c r="F155" s="325"/>
      <c r="G155" s="325"/>
      <c r="H155" s="325"/>
      <c r="I155" s="325"/>
      <c r="J155" s="325"/>
      <c r="K155" s="325"/>
      <c r="L155" s="325"/>
      <c r="M155" s="325"/>
      <c r="N155" s="325"/>
      <c r="O155" s="325"/>
      <c r="P155" s="325"/>
      <c r="Q155" s="325"/>
      <c r="R155" s="325"/>
      <c r="S155" s="325"/>
      <c r="T155" s="325"/>
      <c r="U155" s="325"/>
      <c r="V155" s="325"/>
      <c r="W155" s="325"/>
      <c r="X155" s="325"/>
      <c r="Y155" s="325"/>
      <c r="Z155" s="325"/>
    </row>
    <row r="156" spans="5:26">
      <c r="E156" s="325"/>
      <c r="F156" s="325"/>
      <c r="G156" s="325"/>
      <c r="H156" s="325"/>
      <c r="I156" s="325"/>
      <c r="J156" s="325"/>
      <c r="K156" s="325"/>
      <c r="L156" s="325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</row>
    <row r="157" spans="5:26">
      <c r="E157" s="325"/>
      <c r="F157" s="325"/>
      <c r="G157" s="325"/>
      <c r="H157" s="325"/>
      <c r="I157" s="325"/>
      <c r="J157" s="325"/>
      <c r="K157" s="325"/>
      <c r="L157" s="325"/>
      <c r="M157" s="325"/>
      <c r="N157" s="325"/>
      <c r="O157" s="325"/>
      <c r="P157" s="325"/>
      <c r="Q157" s="325"/>
      <c r="R157" s="325"/>
      <c r="S157" s="325"/>
      <c r="T157" s="325"/>
      <c r="U157" s="325"/>
      <c r="V157" s="325"/>
      <c r="W157" s="325"/>
      <c r="X157" s="325"/>
      <c r="Y157" s="325"/>
      <c r="Z157" s="325"/>
    </row>
    <row r="158" spans="5:26">
      <c r="E158" s="325"/>
      <c r="F158" s="325"/>
      <c r="G158" s="325"/>
      <c r="H158" s="325"/>
      <c r="I158" s="325"/>
      <c r="J158" s="325"/>
      <c r="K158" s="325"/>
      <c r="L158" s="325"/>
      <c r="M158" s="325"/>
      <c r="N158" s="325"/>
      <c r="O158" s="325"/>
      <c r="P158" s="325"/>
      <c r="Q158" s="325"/>
      <c r="R158" s="325"/>
      <c r="S158" s="325"/>
      <c r="T158" s="325"/>
      <c r="U158" s="325"/>
      <c r="V158" s="325"/>
      <c r="W158" s="325"/>
      <c r="X158" s="325"/>
      <c r="Y158" s="325"/>
      <c r="Z158" s="325"/>
    </row>
    <row r="159" spans="5:26">
      <c r="E159" s="325"/>
      <c r="F159" s="325"/>
      <c r="G159" s="325"/>
      <c r="H159" s="325"/>
      <c r="I159" s="325"/>
      <c r="J159" s="325"/>
      <c r="K159" s="325"/>
      <c r="L159" s="325"/>
      <c r="M159" s="325"/>
      <c r="N159" s="325"/>
      <c r="O159" s="325"/>
      <c r="P159" s="325"/>
      <c r="Q159" s="325"/>
      <c r="R159" s="325"/>
      <c r="S159" s="325"/>
      <c r="T159" s="325"/>
      <c r="U159" s="325"/>
      <c r="V159" s="325"/>
      <c r="W159" s="325"/>
      <c r="X159" s="325"/>
      <c r="Y159" s="325"/>
      <c r="Z159" s="325"/>
    </row>
    <row r="160" spans="5:26"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5"/>
      <c r="T160" s="325"/>
      <c r="U160" s="325"/>
      <c r="V160" s="325"/>
      <c r="W160" s="325"/>
      <c r="X160" s="325"/>
      <c r="Y160" s="325"/>
      <c r="Z160" s="325"/>
    </row>
    <row r="161" spans="5:26">
      <c r="E161" s="325"/>
      <c r="F161" s="325"/>
      <c r="G161" s="325"/>
      <c r="H161" s="325"/>
      <c r="I161" s="325"/>
      <c r="J161" s="325"/>
      <c r="K161" s="325"/>
      <c r="L161" s="325"/>
      <c r="M161" s="325"/>
      <c r="N161" s="325"/>
      <c r="O161" s="325"/>
      <c r="P161" s="325"/>
      <c r="Q161" s="325"/>
      <c r="R161" s="325"/>
      <c r="S161" s="325"/>
      <c r="T161" s="325"/>
      <c r="U161" s="325"/>
      <c r="V161" s="325"/>
      <c r="W161" s="325"/>
      <c r="X161" s="325"/>
      <c r="Y161" s="325"/>
      <c r="Z161" s="325"/>
    </row>
    <row r="162" spans="5:26">
      <c r="E162" s="325"/>
      <c r="F162" s="325"/>
      <c r="G162" s="325"/>
      <c r="H162" s="325"/>
      <c r="I162" s="325"/>
      <c r="J162" s="325"/>
      <c r="K162" s="325"/>
      <c r="L162" s="325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</row>
    <row r="163" spans="5:26">
      <c r="E163" s="325"/>
      <c r="F163" s="325"/>
      <c r="G163" s="325"/>
      <c r="H163" s="325"/>
      <c r="I163" s="325"/>
      <c r="J163" s="325"/>
      <c r="K163" s="325"/>
      <c r="L163" s="325"/>
      <c r="M163" s="325"/>
      <c r="N163" s="325"/>
      <c r="O163" s="325"/>
      <c r="P163" s="325"/>
      <c r="Q163" s="325"/>
      <c r="R163" s="325"/>
      <c r="S163" s="325"/>
      <c r="T163" s="325"/>
      <c r="U163" s="325"/>
      <c r="V163" s="325"/>
      <c r="W163" s="325"/>
      <c r="X163" s="325"/>
      <c r="Y163" s="325"/>
      <c r="Z163" s="325"/>
    </row>
    <row r="164" spans="5:26">
      <c r="E164" s="325"/>
      <c r="F164" s="325"/>
      <c r="G164" s="325"/>
      <c r="H164" s="325"/>
      <c r="I164" s="325"/>
      <c r="J164" s="325"/>
      <c r="K164" s="325"/>
      <c r="L164" s="325"/>
      <c r="M164" s="325"/>
      <c r="N164" s="325"/>
      <c r="O164" s="325"/>
      <c r="P164" s="325"/>
      <c r="Q164" s="325"/>
      <c r="R164" s="325"/>
      <c r="S164" s="325"/>
      <c r="T164" s="325"/>
      <c r="U164" s="325"/>
      <c r="V164" s="325"/>
      <c r="W164" s="325"/>
      <c r="X164" s="325"/>
      <c r="Y164" s="325"/>
      <c r="Z164" s="325"/>
    </row>
    <row r="165" spans="5:26">
      <c r="E165" s="325"/>
      <c r="F165" s="325"/>
      <c r="G165" s="325"/>
      <c r="H165" s="325"/>
      <c r="I165" s="325"/>
      <c r="J165" s="325"/>
      <c r="K165" s="325"/>
      <c r="L165" s="325"/>
      <c r="M165" s="325"/>
      <c r="N165" s="325"/>
      <c r="O165" s="325"/>
      <c r="P165" s="325"/>
      <c r="Q165" s="325"/>
      <c r="R165" s="325"/>
      <c r="S165" s="325"/>
      <c r="T165" s="325"/>
      <c r="U165" s="325"/>
      <c r="V165" s="325"/>
      <c r="W165" s="325"/>
      <c r="X165" s="325"/>
      <c r="Y165" s="325"/>
      <c r="Z165" s="325"/>
    </row>
    <row r="166" spans="5:26">
      <c r="E166" s="325"/>
      <c r="F166" s="325"/>
      <c r="G166" s="325"/>
      <c r="H166" s="325"/>
      <c r="I166" s="325"/>
      <c r="J166" s="325"/>
      <c r="K166" s="325"/>
      <c r="L166" s="325"/>
      <c r="M166" s="325"/>
      <c r="N166" s="325"/>
      <c r="O166" s="325"/>
      <c r="P166" s="325"/>
      <c r="Q166" s="325"/>
      <c r="R166" s="325"/>
      <c r="S166" s="325"/>
      <c r="T166" s="325"/>
      <c r="U166" s="325"/>
      <c r="V166" s="325"/>
      <c r="W166" s="325"/>
      <c r="X166" s="325"/>
      <c r="Y166" s="325"/>
      <c r="Z166" s="325"/>
    </row>
    <row r="167" spans="5:26">
      <c r="E167" s="325"/>
      <c r="F167" s="325"/>
      <c r="G167" s="325"/>
      <c r="H167" s="325"/>
      <c r="I167" s="325"/>
      <c r="J167" s="325"/>
      <c r="K167" s="325"/>
      <c r="L167" s="325"/>
      <c r="M167" s="325"/>
      <c r="N167" s="325"/>
      <c r="O167" s="325"/>
      <c r="P167" s="325"/>
      <c r="Q167" s="325"/>
      <c r="R167" s="325"/>
      <c r="S167" s="325"/>
      <c r="T167" s="325"/>
      <c r="U167" s="325"/>
      <c r="V167" s="325"/>
      <c r="W167" s="325"/>
      <c r="X167" s="325"/>
      <c r="Y167" s="325"/>
      <c r="Z167" s="325"/>
    </row>
    <row r="168" spans="5:26">
      <c r="E168" s="325"/>
      <c r="F168" s="325"/>
      <c r="G168" s="325"/>
      <c r="H168" s="325"/>
      <c r="I168" s="325"/>
      <c r="J168" s="325"/>
      <c r="K168" s="325"/>
      <c r="L168" s="325"/>
      <c r="M168" s="325"/>
      <c r="N168" s="325"/>
      <c r="O168" s="325"/>
      <c r="P168" s="325"/>
      <c r="Q168" s="325"/>
      <c r="R168" s="325"/>
      <c r="S168" s="325"/>
      <c r="T168" s="325"/>
      <c r="U168" s="325"/>
      <c r="V168" s="325"/>
      <c r="W168" s="325"/>
      <c r="X168" s="325"/>
      <c r="Y168" s="325"/>
      <c r="Z168" s="325"/>
    </row>
    <row r="169" spans="5:26">
      <c r="E169" s="325"/>
      <c r="F169" s="325"/>
      <c r="G169" s="325"/>
      <c r="H169" s="325"/>
      <c r="I169" s="325"/>
      <c r="J169" s="325"/>
      <c r="K169" s="325"/>
      <c r="L169" s="325"/>
      <c r="M169" s="325"/>
      <c r="N169" s="325"/>
      <c r="O169" s="325"/>
      <c r="P169" s="325"/>
      <c r="Q169" s="325"/>
      <c r="R169" s="325"/>
      <c r="S169" s="325"/>
      <c r="T169" s="325"/>
      <c r="U169" s="325"/>
      <c r="V169" s="325"/>
      <c r="W169" s="325"/>
      <c r="X169" s="325"/>
      <c r="Y169" s="325"/>
      <c r="Z169" s="325"/>
    </row>
    <row r="170" spans="5:26">
      <c r="E170" s="325"/>
      <c r="F170" s="325"/>
      <c r="G170" s="325"/>
      <c r="H170" s="325"/>
      <c r="I170" s="325"/>
      <c r="J170" s="325"/>
      <c r="K170" s="325"/>
      <c r="L170" s="325"/>
      <c r="M170" s="325"/>
      <c r="N170" s="325"/>
      <c r="O170" s="325"/>
      <c r="P170" s="325"/>
      <c r="Q170" s="325"/>
      <c r="R170" s="325"/>
      <c r="S170" s="325"/>
      <c r="T170" s="325"/>
      <c r="U170" s="325"/>
      <c r="V170" s="325"/>
      <c r="W170" s="325"/>
      <c r="X170" s="325"/>
      <c r="Y170" s="325"/>
      <c r="Z170" s="325"/>
    </row>
    <row r="171" spans="5:26">
      <c r="E171" s="325"/>
      <c r="F171" s="325"/>
      <c r="G171" s="325"/>
      <c r="H171" s="325"/>
      <c r="I171" s="325"/>
      <c r="J171" s="325"/>
      <c r="K171" s="325"/>
      <c r="L171" s="325"/>
      <c r="M171" s="325"/>
      <c r="N171" s="325"/>
      <c r="O171" s="325"/>
      <c r="P171" s="325"/>
      <c r="Q171" s="325"/>
      <c r="R171" s="325"/>
      <c r="S171" s="325"/>
      <c r="T171" s="325"/>
      <c r="U171" s="325"/>
      <c r="V171" s="325"/>
      <c r="W171" s="325"/>
      <c r="X171" s="325"/>
      <c r="Y171" s="325"/>
      <c r="Z171" s="325"/>
    </row>
    <row r="172" spans="5:26">
      <c r="E172" s="325"/>
      <c r="F172" s="325"/>
      <c r="G172" s="325"/>
      <c r="H172" s="325"/>
      <c r="I172" s="325"/>
      <c r="J172" s="325"/>
      <c r="K172" s="325"/>
      <c r="L172" s="325"/>
      <c r="M172" s="325"/>
      <c r="N172" s="325"/>
      <c r="O172" s="325"/>
      <c r="P172" s="325"/>
      <c r="Q172" s="325"/>
      <c r="R172" s="325"/>
      <c r="S172" s="325"/>
      <c r="T172" s="325"/>
      <c r="U172" s="325"/>
      <c r="V172" s="325"/>
      <c r="W172" s="325"/>
      <c r="X172" s="325"/>
      <c r="Y172" s="325"/>
      <c r="Z172" s="325"/>
    </row>
    <row r="173" spans="5:26">
      <c r="E173" s="325"/>
      <c r="F173" s="325"/>
      <c r="G173" s="325"/>
      <c r="H173" s="325"/>
      <c r="I173" s="325"/>
      <c r="J173" s="325"/>
      <c r="K173" s="325"/>
      <c r="L173" s="325"/>
      <c r="M173" s="325"/>
      <c r="N173" s="325"/>
      <c r="O173" s="325"/>
      <c r="P173" s="325"/>
      <c r="Q173" s="325"/>
      <c r="R173" s="325"/>
      <c r="S173" s="325"/>
      <c r="T173" s="325"/>
      <c r="U173" s="325"/>
      <c r="V173" s="325"/>
      <c r="W173" s="325"/>
      <c r="X173" s="325"/>
      <c r="Y173" s="325"/>
      <c r="Z173" s="325"/>
    </row>
    <row r="174" spans="5:26">
      <c r="E174" s="325"/>
      <c r="F174" s="325"/>
      <c r="G174" s="325"/>
      <c r="H174" s="325"/>
      <c r="I174" s="325"/>
      <c r="J174" s="325"/>
      <c r="K174" s="325"/>
      <c r="L174" s="325"/>
      <c r="M174" s="325"/>
      <c r="N174" s="325"/>
      <c r="O174" s="325"/>
      <c r="P174" s="325"/>
      <c r="Q174" s="325"/>
      <c r="R174" s="325"/>
      <c r="S174" s="325"/>
      <c r="T174" s="325"/>
      <c r="U174" s="325"/>
      <c r="V174" s="325"/>
      <c r="W174" s="325"/>
      <c r="X174" s="325"/>
      <c r="Y174" s="325"/>
      <c r="Z174" s="325"/>
    </row>
    <row r="175" spans="5:26">
      <c r="E175" s="325"/>
      <c r="F175" s="325"/>
      <c r="G175" s="325"/>
      <c r="H175" s="325"/>
      <c r="I175" s="325"/>
      <c r="J175" s="325"/>
      <c r="K175" s="325"/>
      <c r="L175" s="325"/>
      <c r="M175" s="325"/>
      <c r="N175" s="325"/>
      <c r="O175" s="325"/>
      <c r="P175" s="325"/>
      <c r="Q175" s="325"/>
      <c r="R175" s="325"/>
      <c r="S175" s="325"/>
      <c r="T175" s="325"/>
      <c r="U175" s="325"/>
      <c r="V175" s="325"/>
      <c r="W175" s="325"/>
      <c r="X175" s="325"/>
      <c r="Y175" s="325"/>
      <c r="Z175" s="325"/>
    </row>
    <row r="176" spans="5:26">
      <c r="E176" s="325"/>
      <c r="F176" s="325"/>
      <c r="G176" s="325"/>
      <c r="H176" s="325"/>
      <c r="I176" s="325"/>
      <c r="J176" s="325"/>
      <c r="K176" s="325"/>
      <c r="L176" s="325"/>
      <c r="M176" s="325"/>
      <c r="N176" s="325"/>
      <c r="O176" s="325"/>
      <c r="P176" s="325"/>
      <c r="Q176" s="325"/>
      <c r="R176" s="325"/>
      <c r="S176" s="325"/>
      <c r="T176" s="325"/>
      <c r="U176" s="325"/>
      <c r="V176" s="325"/>
      <c r="W176" s="325"/>
      <c r="X176" s="325"/>
      <c r="Y176" s="325"/>
      <c r="Z176" s="325"/>
    </row>
    <row r="177" spans="5:26">
      <c r="E177" s="325"/>
      <c r="F177" s="325"/>
      <c r="G177" s="325"/>
      <c r="H177" s="325"/>
      <c r="I177" s="325"/>
      <c r="J177" s="325"/>
      <c r="K177" s="325"/>
      <c r="L177" s="325"/>
      <c r="M177" s="325"/>
      <c r="N177" s="325"/>
      <c r="O177" s="325"/>
      <c r="P177" s="325"/>
      <c r="Q177" s="325"/>
      <c r="R177" s="325"/>
      <c r="S177" s="325"/>
      <c r="T177" s="325"/>
      <c r="U177" s="325"/>
      <c r="V177" s="325"/>
      <c r="W177" s="325"/>
      <c r="X177" s="325"/>
      <c r="Y177" s="325"/>
      <c r="Z177" s="325"/>
    </row>
  </sheetData>
  <phoneticPr fontId="43" type="noConversion"/>
  <dataValidations disablePrompts="1" count="1">
    <dataValidation type="list" allowBlank="1" showInputMessage="1" showErrorMessage="1" sqref="P15" xr:uid="{96682AA1-AE99-8D4C-94DD-3BD0A4604AFE}">
      <formula1>$AK$9:$AK$11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A7811-B651-407D-9C5E-EE4DD1942752}">
  <dimension ref="B1:U65"/>
  <sheetViews>
    <sheetView showGridLines="0" tabSelected="1" zoomScale="116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13" sqref="D13"/>
    </sheetView>
  </sheetViews>
  <sheetFormatPr defaultColWidth="8" defaultRowHeight="13.8"/>
  <cols>
    <col min="1" max="2" width="0.6640625" style="1" customWidth="1"/>
    <col min="3" max="3" width="35.109375" style="1" customWidth="1"/>
    <col min="4" max="6" width="11.33203125" style="1" customWidth="1"/>
    <col min="7" max="7" width="12.77734375" style="1" customWidth="1"/>
    <col min="8" max="260" width="11.33203125" style="1" customWidth="1"/>
    <col min="261" max="16384" width="8" style="1"/>
  </cols>
  <sheetData>
    <row r="1" spans="2:19" ht="4.5" customHeight="1"/>
    <row r="2" spans="2:19" hidden="1">
      <c r="C2" s="134"/>
      <c r="D2" s="125">
        <v>44196</v>
      </c>
      <c r="E2" s="125">
        <v>44561</v>
      </c>
      <c r="F2" s="125">
        <v>44926</v>
      </c>
      <c r="G2" s="125">
        <v>45291</v>
      </c>
      <c r="H2" s="125">
        <v>45657</v>
      </c>
      <c r="I2" s="125">
        <v>46022</v>
      </c>
      <c r="J2" s="125">
        <v>46387</v>
      </c>
      <c r="K2" s="125">
        <v>46752</v>
      </c>
      <c r="L2" s="125">
        <v>47118</v>
      </c>
      <c r="M2" s="125">
        <v>47483</v>
      </c>
      <c r="N2" s="125">
        <v>47848</v>
      </c>
      <c r="O2" s="125">
        <v>48213</v>
      </c>
      <c r="P2" s="125">
        <v>48579</v>
      </c>
      <c r="Q2" s="125">
        <v>48944</v>
      </c>
      <c r="R2" s="125">
        <v>49309</v>
      </c>
      <c r="S2" s="125">
        <v>49674</v>
      </c>
    </row>
    <row r="3" spans="2:19" ht="14.4">
      <c r="B3" s="179"/>
      <c r="C3" s="180" t="s">
        <v>97</v>
      </c>
      <c r="D3" s="178" t="s">
        <v>358</v>
      </c>
      <c r="E3" s="178" t="s">
        <v>341</v>
      </c>
      <c r="F3" s="178" t="s">
        <v>342</v>
      </c>
      <c r="G3" s="178" t="s">
        <v>343</v>
      </c>
      <c r="H3" s="178" t="s">
        <v>344</v>
      </c>
      <c r="I3" s="178" t="s">
        <v>345</v>
      </c>
      <c r="J3" s="178" t="s">
        <v>346</v>
      </c>
      <c r="K3" s="178" t="s">
        <v>347</v>
      </c>
      <c r="L3" s="178" t="s">
        <v>348</v>
      </c>
      <c r="M3" s="178" t="s">
        <v>349</v>
      </c>
      <c r="N3" s="178" t="s">
        <v>350</v>
      </c>
      <c r="O3" s="178" t="s">
        <v>351</v>
      </c>
      <c r="P3" s="178" t="s">
        <v>352</v>
      </c>
      <c r="Q3" s="178" t="s">
        <v>353</v>
      </c>
      <c r="R3" s="178" t="s">
        <v>354</v>
      </c>
      <c r="S3" s="178" t="s">
        <v>355</v>
      </c>
    </row>
    <row r="4" spans="2:19">
      <c r="B4" s="188"/>
      <c r="C4" s="186" t="s">
        <v>42</v>
      </c>
      <c r="D4" s="6">
        <f>'Cintas PNL'!BA3</f>
        <v>2363.567</v>
      </c>
      <c r="E4" s="6">
        <f>'Cintas PNL'!BF3</f>
        <v>2504.75103352203</v>
      </c>
      <c r="F4" s="6">
        <f>'Cintas PNL'!BG3</f>
        <v>2754.7041387817476</v>
      </c>
      <c r="G4" s="6">
        <f>'Cintas PNL'!BH3</f>
        <v>2449.8349020257542</v>
      </c>
      <c r="H4" s="6">
        <f>'Cintas PNL'!BI3</f>
        <v>2480.2936982127299</v>
      </c>
      <c r="I4" s="6">
        <f>'Cintas PNL'!BJ3</f>
        <v>2465.4924175714405</v>
      </c>
      <c r="J4" s="6">
        <f>'Cintas PNL'!BK3</f>
        <v>2426.5333105726531</v>
      </c>
      <c r="K4" s="6">
        <f>'Cintas PNL'!BL3</f>
        <v>2387.9350947634398</v>
      </c>
      <c r="L4" s="6">
        <f>'Cintas PNL'!BM3</f>
        <v>2300.0882217835965</v>
      </c>
      <c r="M4" s="6">
        <f>'Cintas PNL'!BN3</f>
        <v>2259.9669298167764</v>
      </c>
      <c r="N4" s="6">
        <f>'Cintas PNL'!BO3</f>
        <v>2150.8298446574599</v>
      </c>
      <c r="O4" s="6">
        <f>'Cintas PNL'!BP3</f>
        <v>2020.6918960438559</v>
      </c>
      <c r="P4" s="6">
        <f>'Cintas PNL'!BQ3</f>
        <v>1720.5779736827976</v>
      </c>
      <c r="Q4" s="6">
        <f>'Cintas PNL'!BR3</f>
        <v>1547.4954215511214</v>
      </c>
      <c r="R4" s="6">
        <f>'Cintas PNL'!BS3</f>
        <v>1200.6112015171661</v>
      </c>
      <c r="S4" s="6">
        <f>'Cintas PNL'!BT3</f>
        <v>1054.8641557415517</v>
      </c>
    </row>
    <row r="5" spans="2:19">
      <c r="B5" s="189"/>
      <c r="C5" s="187" t="s">
        <v>43</v>
      </c>
      <c r="D5" s="6">
        <f>'Cintas PNL'!BA4</f>
        <v>12.456114586005855</v>
      </c>
      <c r="E5" s="6">
        <f ca="1">'Cintas PNL'!BF4</f>
        <v>11.786561061084024</v>
      </c>
      <c r="F5" s="6">
        <f ca="1">'Cintas PNL'!BG4</f>
        <v>13.398841359576833</v>
      </c>
      <c r="G5" s="6">
        <f ca="1">'Cintas PNL'!BH4</f>
        <v>15.130726941158965</v>
      </c>
      <c r="H5" s="6">
        <f ca="1">'Cintas PNL'!BI4</f>
        <v>17.152689025313613</v>
      </c>
      <c r="I5" s="6">
        <f ca="1">'Cintas PNL'!BJ4</f>
        <v>17.046322141608862</v>
      </c>
      <c r="J5" s="6">
        <f ca="1">'Cintas PNL'!BK4</f>
        <v>16.766349151175806</v>
      </c>
      <c r="K5" s="6">
        <f ca="1">'Cintas PNL'!BL4</f>
        <v>18.24648660089316</v>
      </c>
      <c r="L5" s="6">
        <f ca="1">'Cintas PNL'!BM4</f>
        <v>17.55053482428993</v>
      </c>
      <c r="M5" s="6">
        <f ca="1">'Cintas PNL'!BN4</f>
        <v>17.232680773522155</v>
      </c>
      <c r="N5" s="6">
        <f ca="1">'Cintas PNL'!BO4</f>
        <v>16.368060944341067</v>
      </c>
      <c r="O5" s="6">
        <f ca="1">'Cintas PNL'!BP4</f>
        <v>15.33706537820499</v>
      </c>
      <c r="P5" s="6">
        <f ca="1">'Cintas PNL'!BQ4</f>
        <v>12.95946432804049</v>
      </c>
      <c r="Q5" s="6">
        <f ca="1">'Cintas PNL'!BR4</f>
        <v>11.588247509853908</v>
      </c>
      <c r="R5" s="6">
        <f ca="1">'Cintas PNL'!BS4</f>
        <v>8.8401168021888683</v>
      </c>
      <c r="S5" s="6">
        <f ca="1">'Cintas PNL'!BT4</f>
        <v>7.6854608423178172</v>
      </c>
    </row>
    <row r="7" spans="2:19">
      <c r="C7" s="118" t="s">
        <v>190</v>
      </c>
      <c r="D7" s="267">
        <v>44196</v>
      </c>
      <c r="E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</row>
    <row r="8" spans="2:19">
      <c r="C8" s="118" t="s">
        <v>329</v>
      </c>
      <c r="D8" s="392">
        <v>0.09</v>
      </c>
      <c r="E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</row>
    <row r="9" spans="2:19">
      <c r="C9" s="118" t="s">
        <v>385</v>
      </c>
      <c r="D9" s="392">
        <v>0.03</v>
      </c>
      <c r="E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</row>
    <row r="10" spans="2:19">
      <c r="C10" s="118"/>
      <c r="D10" s="267"/>
      <c r="E10" s="135"/>
      <c r="G10" s="135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</row>
    <row r="11" spans="2:19">
      <c r="C11" s="443" t="str">
        <f>'Merger Model_Updated'!P15</f>
        <v>Base</v>
      </c>
      <c r="D11" s="267"/>
      <c r="E11" s="135"/>
      <c r="G11" s="135"/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</row>
    <row r="12" spans="2:19"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</row>
    <row r="13" spans="2:19">
      <c r="C13" s="118" t="s">
        <v>303</v>
      </c>
      <c r="D13" s="389">
        <f>'Merger Model_Updated'!D36+'Merger Model_Updated'!U36</f>
        <v>5432.2049999999999</v>
      </c>
      <c r="E13" s="43">
        <f ca="1">'Merger Model_Updated'!BB36</f>
        <v>3156.9636398058637</v>
      </c>
      <c r="F13" s="43">
        <f>'Merger Model_Updated'!BC36</f>
        <v>7435.843514514303</v>
      </c>
      <c r="G13" s="43">
        <f>'Merger Model_Updated'!BD36</f>
        <v>7987.6130619436262</v>
      </c>
      <c r="H13" s="43">
        <f>'Merger Model_Updated'!BE36</f>
        <v>8111.4304269714194</v>
      </c>
      <c r="I13" s="43">
        <f>'Merger Model_Updated'!BF36</f>
        <v>8293.0841344158307</v>
      </c>
      <c r="J13" s="43">
        <f>'Merger Model_Updated'!BG36</f>
        <v>9141.1082047247328</v>
      </c>
      <c r="K13" s="43">
        <f>'Merger Model_Updated'!BH36</f>
        <v>9218.1216089743975</v>
      </c>
      <c r="L13" s="43">
        <f>'Merger Model_Updated'!BI36</f>
        <v>1428.1295723712483</v>
      </c>
      <c r="M13" s="43">
        <f>'Merger Model_Updated'!BJ36</f>
        <v>1472.3756399806971</v>
      </c>
      <c r="N13" s="43">
        <f>'Merger Model_Updated'!BK36</f>
        <v>1241.5915372730499</v>
      </c>
      <c r="O13" s="43">
        <f>'Merger Model_Updated'!BL36</f>
        <v>3082.6596354210833</v>
      </c>
      <c r="P13" s="43">
        <f>'Merger Model_Updated'!BM36</f>
        <v>2696.920766503792</v>
      </c>
      <c r="Q13" s="43">
        <f>'Merger Model_Updated'!BN36</f>
        <v>2450.9191390097208</v>
      </c>
      <c r="R13" s="43">
        <f>'Merger Model_Updated'!BO36</f>
        <v>2022.4493309322031</v>
      </c>
      <c r="S13" s="43">
        <f>'Merger Model_Updated'!BP36</f>
        <v>1818.9377641887181</v>
      </c>
    </row>
    <row r="14" spans="2:19">
      <c r="C14" s="447" t="s">
        <v>395</v>
      </c>
      <c r="D14" s="390"/>
      <c r="E14" s="448">
        <f ca="1">E13/D13-1</f>
        <v>-0.4188430591618203</v>
      </c>
      <c r="F14" s="448">
        <f t="shared" ref="F14:S14" ca="1" si="0">F13/E13-1</f>
        <v>0.10839973231723099</v>
      </c>
      <c r="G14" s="448">
        <f t="shared" si="0"/>
        <v>7.4204028951430079E-2</v>
      </c>
      <c r="H14" s="448">
        <f t="shared" si="0"/>
        <v>1.5501172135855112E-2</v>
      </c>
      <c r="I14" s="448">
        <f t="shared" si="0"/>
        <v>2.239478093042524E-2</v>
      </c>
      <c r="J14" s="448">
        <f t="shared" si="0"/>
        <v>0.10225677884897499</v>
      </c>
      <c r="K14" s="448">
        <f t="shared" si="0"/>
        <v>8.4249526999209401E-3</v>
      </c>
      <c r="L14" s="448">
        <f t="shared" si="0"/>
        <v>-0.84507368930988302</v>
      </c>
      <c r="M14" s="448">
        <f t="shared" si="0"/>
        <v>3.0981829986184817E-2</v>
      </c>
      <c r="N14" s="448">
        <f t="shared" si="0"/>
        <v>-0.15674267927352614</v>
      </c>
      <c r="O14" s="448">
        <f t="shared" si="0"/>
        <v>1.4828291292896814</v>
      </c>
      <c r="P14" s="448">
        <f t="shared" si="0"/>
        <v>-0.12513183891110968</v>
      </c>
      <c r="Q14" s="448">
        <f t="shared" si="0"/>
        <v>-9.1215741503959946E-2</v>
      </c>
      <c r="R14" s="448">
        <f t="shared" si="0"/>
        <v>-0.17482005067316841</v>
      </c>
      <c r="S14" s="448">
        <f t="shared" si="0"/>
        <v>-0.10062628696348153</v>
      </c>
    </row>
    <row r="15" spans="2:19">
      <c r="C15" s="367" t="s">
        <v>304</v>
      </c>
      <c r="D15" s="389">
        <f>'Cintas PNL'!BA29+'Vestis Corporation PNL'!R17</f>
        <v>843.02499999999986</v>
      </c>
      <c r="E15" s="43">
        <f ca="1">'Merger Model_Updated'!BB45</f>
        <v>940.04774384152233</v>
      </c>
      <c r="F15" s="43">
        <f>'Merger Model_Updated'!BC45</f>
        <v>1381.9845345956912</v>
      </c>
      <c r="G15" s="43">
        <f>'Merger Model_Updated'!BD45</f>
        <v>1527.5340167668719</v>
      </c>
      <c r="H15" s="43">
        <f>'Merger Model_Updated'!BE45</f>
        <v>1712.1605073576798</v>
      </c>
      <c r="I15" s="43">
        <f>'Merger Model_Updated'!BF45</f>
        <v>1779.947292534725</v>
      </c>
      <c r="J15" s="43">
        <f>'Merger Model_Updated'!BG45</f>
        <v>1914.5037899997842</v>
      </c>
      <c r="K15" s="43">
        <f>'Merger Model_Updated'!BH45</f>
        <v>2092.713681696333</v>
      </c>
      <c r="L15" s="43">
        <f>'Merger Model_Updated'!BI45</f>
        <v>1347.5139032019097</v>
      </c>
      <c r="M15" s="43">
        <f>'Merger Model_Updated'!BJ45</f>
        <v>1412.3151349836758</v>
      </c>
      <c r="N15" s="43">
        <f>'Merger Model_Updated'!BK45</f>
        <v>1340.6042359424141</v>
      </c>
      <c r="O15" s="43">
        <f>'Merger Model_Updated'!BL45</f>
        <v>1438.6455526361424</v>
      </c>
      <c r="P15" s="43">
        <f>'Merger Model_Updated'!BM45</f>
        <v>1249.914926702251</v>
      </c>
      <c r="Q15" s="43">
        <f>'Merger Model_Updated'!BN45</f>
        <v>1139.1119713849962</v>
      </c>
      <c r="R15" s="43">
        <f>'Merger Model_Updated'!BO45</f>
        <v>914.47398515777479</v>
      </c>
      <c r="S15" s="43">
        <f>'Merger Model_Updated'!BP45</f>
        <v>819.51285302840051</v>
      </c>
    </row>
    <row r="16" spans="2:19">
      <c r="C16" s="136" t="s">
        <v>306</v>
      </c>
      <c r="D16" s="391">
        <f>'Cintas PNL'!BA53</f>
        <v>0.1711808250463687</v>
      </c>
      <c r="E16" s="375">
        <f ca="1">'Cintas PNL'!BF53</f>
        <v>0.16807866913135311</v>
      </c>
      <c r="F16" s="375">
        <f ca="1">'Cintas PNL'!BG53</f>
        <v>0.16807866913135311</v>
      </c>
      <c r="G16" s="375">
        <f ca="1">'Cintas PNL'!BH53</f>
        <v>0.16807866913135311</v>
      </c>
      <c r="H16" s="375">
        <f ca="1">'Cintas PNL'!BI53</f>
        <v>0.16807866913135311</v>
      </c>
      <c r="I16" s="375">
        <f ca="1">'Cintas PNL'!BJ53</f>
        <v>0.16807866913135311</v>
      </c>
      <c r="J16" s="375">
        <f ca="1">'Cintas PNL'!BK53</f>
        <v>0.16807866913135311</v>
      </c>
      <c r="K16" s="375">
        <f ca="1">'Cintas PNL'!BL53</f>
        <v>0.16807866913135311</v>
      </c>
      <c r="L16" s="375">
        <f ca="1">'Cintas PNL'!BM53</f>
        <v>0.16807866913135311</v>
      </c>
      <c r="M16" s="375">
        <f ca="1">'Cintas PNL'!BN53</f>
        <v>0.16807866913135311</v>
      </c>
      <c r="N16" s="375">
        <f ca="1">'Cintas PNL'!BO53</f>
        <v>0.16807866913135311</v>
      </c>
      <c r="O16" s="375">
        <f ca="1">'Cintas PNL'!BP53</f>
        <v>0.16807866913135311</v>
      </c>
      <c r="P16" s="375">
        <f ca="1">'Cintas PNL'!BQ53</f>
        <v>0.16807866913135311</v>
      </c>
      <c r="Q16" s="375">
        <f ca="1">'Cintas PNL'!BR53</f>
        <v>0.16807866913135311</v>
      </c>
      <c r="R16" s="375">
        <f ca="1">'Cintas PNL'!BS53</f>
        <v>0.16807866913135311</v>
      </c>
      <c r="S16" s="375">
        <f ca="1">'Cintas PNL'!BT53</f>
        <v>0.16807866913135311</v>
      </c>
    </row>
    <row r="17" spans="3:21">
      <c r="C17" s="136"/>
      <c r="D17" s="390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</row>
    <row r="18" spans="3:21">
      <c r="C18" s="118" t="s">
        <v>305</v>
      </c>
      <c r="D18" s="389">
        <f>D15*(1-D16)</f>
        <v>698.71528496528492</v>
      </c>
      <c r="E18" s="43">
        <f ca="1">E15*(1-E16)</f>
        <v>782.04577013670803</v>
      </c>
      <c r="F18" s="43">
        <f t="shared" ref="F18:S18" ca="1" si="1">F15*(1-F16)</f>
        <v>781.26532923512616</v>
      </c>
      <c r="G18" s="43">
        <f t="shared" ca="1" si="1"/>
        <v>883.40636887801361</v>
      </c>
      <c r="H18" s="43">
        <f t="shared" ca="1" si="1"/>
        <v>1041.298357322888</v>
      </c>
      <c r="I18" s="43">
        <f t="shared" ca="1" si="1"/>
        <v>1093.8621894374139</v>
      </c>
      <c r="J18" s="43">
        <f t="shared" ca="1" si="1"/>
        <v>1141.1558245892375</v>
      </c>
      <c r="K18" s="43">
        <f t="shared" ca="1" si="1"/>
        <v>1286.7387049444797</v>
      </c>
      <c r="L18" s="43">
        <f t="shared" ca="1" si="1"/>
        <v>1312.3748051738887</v>
      </c>
      <c r="M18" s="43">
        <f t="shared" ca="1" si="1"/>
        <v>1362.9465562987821</v>
      </c>
      <c r="N18" s="43">
        <f t="shared" ca="1" si="1"/>
        <v>1294.2093828173024</v>
      </c>
      <c r="O18" s="43">
        <f t="shared" ca="1" si="1"/>
        <v>1196.8399227973196</v>
      </c>
      <c r="P18" s="43">
        <f t="shared" ca="1" si="1"/>
        <v>1039.8308892947239</v>
      </c>
      <c r="Q18" s="43">
        <f t="shared" ca="1" si="1"/>
        <v>947.65154724301397</v>
      </c>
      <c r="R18" s="43">
        <f t="shared" ca="1" si="1"/>
        <v>760.77041477721116</v>
      </c>
      <c r="S18" s="43">
        <f t="shared" ca="1" si="1"/>
        <v>681.77022335534878</v>
      </c>
    </row>
    <row r="19" spans="3:21" s="118" customFormat="1">
      <c r="C19" s="136" t="s">
        <v>337</v>
      </c>
      <c r="D19" s="390">
        <f>'Cintas CF'!M11+'Cintas CF'!M12+'Vestis Corporation PNL'!R26</f>
        <v>291.01</v>
      </c>
      <c r="E19" s="18">
        <f>-'Merger Model_Updated'!BB42</f>
        <v>309.15602094872253</v>
      </c>
      <c r="F19" s="18">
        <f>-'Merger Model_Updated'!BC42</f>
        <v>565.73925417719352</v>
      </c>
      <c r="G19" s="18">
        <f>-'Merger Model_Updated'!BD42</f>
        <v>533.93443303814581</v>
      </c>
      <c r="H19" s="18">
        <f>-'Merger Model_Updated'!BE42</f>
        <v>541.38664046048609</v>
      </c>
      <c r="I19" s="18">
        <f>-'Merger Model_Updated'!BF42</f>
        <v>543.71571281985098</v>
      </c>
      <c r="J19" s="18">
        <f>-'Merger Model_Updated'!BG42</f>
        <v>542.14099221004108</v>
      </c>
      <c r="K19" s="18">
        <f>-'Merger Model_Updated'!BH42</f>
        <v>539.89623643689902</v>
      </c>
      <c r="L19" s="18">
        <f>-'Merger Model_Updated'!BI42</f>
        <v>531.23231110921881</v>
      </c>
      <c r="M19" s="18">
        <f>-'Merger Model_Updated'!BJ42</f>
        <v>527.75356299858811</v>
      </c>
      <c r="N19" s="18">
        <f>-'Merger Model_Updated'!BK42</f>
        <v>508.83164080858927</v>
      </c>
      <c r="O19" s="18">
        <f>-'Merger Model_Updated'!BL42</f>
        <v>488.84310167890749</v>
      </c>
      <c r="P19" s="18">
        <f>-'Merger Model_Updated'!BM42</f>
        <v>451.59923745286414</v>
      </c>
      <c r="Q19" s="18">
        <f>-'Merger Model_Updated'!BN42</f>
        <v>429.48580095702715</v>
      </c>
      <c r="R19" s="18">
        <f>-'Merger Model_Updated'!BO42</f>
        <v>386.90605991030372</v>
      </c>
      <c r="S19" s="18">
        <f>-'Merger Model_Updated'!BP42</f>
        <v>368.38307888858208</v>
      </c>
      <c r="T19" s="80"/>
      <c r="U19" s="80"/>
    </row>
    <row r="20" spans="3:21" s="118" customFormat="1">
      <c r="C20" s="136" t="s">
        <v>338</v>
      </c>
      <c r="D20" s="390">
        <f>'Cintas CF'!M26+'Vestis Corporation PNL'!R70*-1</f>
        <v>-43.011000000000003</v>
      </c>
      <c r="E20" s="18">
        <f>'Cintas CF'!N26+'Vestis Corporation PNL'!W70*-1</f>
        <v>-47.63913651532387</v>
      </c>
      <c r="F20" s="18">
        <f>'Cintas CF'!O26+'Vestis Corporation PNL'!X70*-1</f>
        <v>-53.751900558405637</v>
      </c>
      <c r="G20" s="18">
        <f>'Cintas CF'!P26+'Vestis Corporation PNL'!Y70*-1</f>
        <v>-58.764362509335832</v>
      </c>
      <c r="H20" s="18">
        <f>'Cintas CF'!Q26+'Vestis Corporation PNL'!Z70*-1</f>
        <v>-66.197783537847343</v>
      </c>
      <c r="I20" s="18">
        <f>'Cintas CF'!R26+'Vestis Corporation PNL'!AA70*-1</f>
        <v>-73.630161226220238</v>
      </c>
      <c r="J20" s="18">
        <f>'Cintas CF'!S26+'Vestis Corporation PNL'!AB70*-1</f>
        <v>-78.891660099672578</v>
      </c>
      <c r="K20" s="18">
        <f>'Cintas CF'!T26+'Vestis Corporation PNL'!AC70*-1</f>
        <v>-82.833691017300495</v>
      </c>
      <c r="L20" s="18">
        <f>'Cintas CF'!U26+'Vestis Corporation PNL'!AD70*-1</f>
        <v>-85.207007949263996</v>
      </c>
      <c r="M20" s="18">
        <f>'Cintas CF'!V26+'Vestis Corporation PNL'!AE70*-1</f>
        <v>-87.178583577935512</v>
      </c>
      <c r="N20" s="18">
        <f>'Cintas CF'!W26+'Vestis Corporation PNL'!AF70*-1</f>
        <v>-74.984555931597257</v>
      </c>
      <c r="O20" s="18">
        <f>'Cintas CF'!X26+'Vestis Corporation PNL'!AG70*-1</f>
        <v>-65.222538345124519</v>
      </c>
      <c r="P20" s="18">
        <f>'Cintas CF'!Y26+'Vestis Corporation PNL'!AH70*-1</f>
        <v>-59.140607483146525</v>
      </c>
      <c r="Q20" s="18">
        <f>'Cintas CF'!Z26+'Vestis Corporation PNL'!AI70*-1</f>
        <v>-54.456158402236703</v>
      </c>
      <c r="R20" s="18">
        <f>'Cintas CF'!AA26+'Vestis Corporation PNL'!AJ70*-1</f>
        <v>-48.295573679854847</v>
      </c>
      <c r="S20" s="18">
        <f>'Cintas CF'!AB26+'Vestis Corporation PNL'!AK70*-1</f>
        <v>-44.532865356807633</v>
      </c>
      <c r="T20" s="80"/>
      <c r="U20" s="80"/>
    </row>
    <row r="21" spans="3:21" s="137" customFormat="1" ht="14.4">
      <c r="C21" s="136" t="s">
        <v>339</v>
      </c>
      <c r="D21" s="390">
        <f>SUM('Cintas CF'!M17:M22)-'Vestis Corporation PNL'!R68</f>
        <v>-110.97699999999998</v>
      </c>
      <c r="E21" s="18">
        <f>SUM('Cintas CF'!N17:N22)-'Vestis Corporation PNL'!W68</f>
        <v>-15.389008312121394</v>
      </c>
      <c r="F21" s="18">
        <f>SUM('Cintas CF'!O17:O22)-'Vestis Corporation PNL'!X68</f>
        <v>-20.154637102002326</v>
      </c>
      <c r="G21" s="18">
        <f>SUM('Cintas CF'!P17:P22)-'Vestis Corporation PNL'!Y68</f>
        <v>2.8054497916600525</v>
      </c>
      <c r="H21" s="18">
        <f>SUM('Cintas CF'!Q17:Q22)-'Vestis Corporation PNL'!Z68</f>
        <v>-14.138331678744823</v>
      </c>
      <c r="I21" s="18">
        <f>SUM('Cintas CF'!R17:R22)-'Vestis Corporation PNL'!AA68</f>
        <v>-12.420295100120999</v>
      </c>
      <c r="J21" s="18">
        <f>SUM('Cintas CF'!S17:S22)-'Vestis Corporation PNL'!AB68</f>
        <v>-7.7125541985862718</v>
      </c>
      <c r="K21" s="18">
        <f>SUM('Cintas CF'!T17:T22)-'Vestis Corporation PNL'!AC68</f>
        <v>-5.4216288920317766</v>
      </c>
      <c r="L21" s="18">
        <f>SUM('Cintas CF'!U17:U22)-'Vestis Corporation PNL'!AD68</f>
        <v>-0.81422371314193498</v>
      </c>
      <c r="M21" s="18">
        <f>SUM('Cintas CF'!V17:V22)-'Vestis Corporation PNL'!AE68</f>
        <v>-1.9222376461672575</v>
      </c>
      <c r="N21" s="18">
        <f>SUM('Cintas CF'!W17:W22)-'Vestis Corporation PNL'!AF68</f>
        <v>25.4367028185438</v>
      </c>
      <c r="O21" s="18">
        <f>SUM('Cintas CF'!X17:X22)-'Vestis Corporation PNL'!AG68</f>
        <v>21.985234474829436</v>
      </c>
      <c r="P21" s="18">
        <f>SUM('Cintas CF'!Y17:Y22)-'Vestis Corporation PNL'!AH68</f>
        <v>22.00282838135432</v>
      </c>
      <c r="Q21" s="18">
        <f>SUM('Cintas CF'!Z17:Z22)-'Vestis Corporation PNL'!AI68</f>
        <v>14.745062660721757</v>
      </c>
      <c r="R21" s="18">
        <f>SUM('Cintas CF'!AA17:AA22)-'Vestis Corporation PNL'!AJ68</f>
        <v>23.913687071466597</v>
      </c>
      <c r="S21" s="18">
        <f>SUM('Cintas CF'!AB17:AB22)-'Vestis Corporation PNL'!AK68</f>
        <v>12.098597762021058</v>
      </c>
      <c r="T21" s="138"/>
      <c r="U21" s="138"/>
    </row>
    <row r="22" spans="3:21" s="118" customFormat="1">
      <c r="C22" s="118" t="s">
        <v>340</v>
      </c>
      <c r="D22" s="389">
        <f>SUM(D18:D21)</f>
        <v>835.73728496528497</v>
      </c>
      <c r="E22" s="43">
        <f ca="1">SUM(E18:E21)</f>
        <v>1028.1736462579854</v>
      </c>
      <c r="F22" s="43">
        <f t="shared" ref="F22:S22" ca="1" si="2">SUM(F18:F21)</f>
        <v>1273.0980457519117</v>
      </c>
      <c r="G22" s="43">
        <f t="shared" ca="1" si="2"/>
        <v>1361.3818891984836</v>
      </c>
      <c r="H22" s="43">
        <f t="shared" ca="1" si="2"/>
        <v>1502.3488825667819</v>
      </c>
      <c r="I22" s="43">
        <f t="shared" ca="1" si="2"/>
        <v>1551.5274459309237</v>
      </c>
      <c r="J22" s="43">
        <f t="shared" ca="1" si="2"/>
        <v>1596.6926025010196</v>
      </c>
      <c r="K22" s="43">
        <f t="shared" ca="1" si="2"/>
        <v>1738.3796214720464</v>
      </c>
      <c r="L22" s="43">
        <f t="shared" ca="1" si="2"/>
        <v>1757.5858846207018</v>
      </c>
      <c r="M22" s="43">
        <f t="shared" ca="1" si="2"/>
        <v>1801.5992980732674</v>
      </c>
      <c r="N22" s="43">
        <f t="shared" ca="1" si="2"/>
        <v>1753.4931705128383</v>
      </c>
      <c r="O22" s="43">
        <f t="shared" ca="1" si="2"/>
        <v>1642.4457206059319</v>
      </c>
      <c r="P22" s="43">
        <f t="shared" ca="1" si="2"/>
        <v>1454.2923476457956</v>
      </c>
      <c r="Q22" s="43">
        <f t="shared" ca="1" si="2"/>
        <v>1337.4262524585261</v>
      </c>
      <c r="R22" s="43">
        <f t="shared" ca="1" si="2"/>
        <v>1123.2945880791267</v>
      </c>
      <c r="S22" s="43">
        <f t="shared" ca="1" si="2"/>
        <v>1017.7190346491442</v>
      </c>
      <c r="T22" s="80"/>
      <c r="U22" s="80"/>
    </row>
    <row r="23" spans="3:21" s="118" customFormat="1"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80"/>
      <c r="U23" s="80"/>
    </row>
    <row r="24" spans="3:21" s="118" customFormat="1">
      <c r="C24" s="1" t="s">
        <v>330</v>
      </c>
      <c r="D24" s="376"/>
      <c r="E24" s="18">
        <v>1</v>
      </c>
      <c r="F24" s="18">
        <f>E24+1</f>
        <v>2</v>
      </c>
      <c r="G24" s="18">
        <f t="shared" ref="G24:S24" si="3">F24+1</f>
        <v>3</v>
      </c>
      <c r="H24" s="18">
        <f t="shared" si="3"/>
        <v>4</v>
      </c>
      <c r="I24" s="18">
        <f t="shared" si="3"/>
        <v>5</v>
      </c>
      <c r="J24" s="18">
        <f t="shared" si="3"/>
        <v>6</v>
      </c>
      <c r="K24" s="18">
        <f t="shared" si="3"/>
        <v>7</v>
      </c>
      <c r="L24" s="18">
        <f t="shared" si="3"/>
        <v>8</v>
      </c>
      <c r="M24" s="18">
        <f t="shared" si="3"/>
        <v>9</v>
      </c>
      <c r="N24" s="18">
        <f t="shared" si="3"/>
        <v>10</v>
      </c>
      <c r="O24" s="18">
        <f t="shared" si="3"/>
        <v>11</v>
      </c>
      <c r="P24" s="18">
        <f t="shared" si="3"/>
        <v>12</v>
      </c>
      <c r="Q24" s="18">
        <f t="shared" si="3"/>
        <v>13</v>
      </c>
      <c r="R24" s="18">
        <f t="shared" si="3"/>
        <v>14</v>
      </c>
      <c r="S24" s="18">
        <f t="shared" si="3"/>
        <v>15</v>
      </c>
      <c r="T24" s="80"/>
      <c r="U24" s="80"/>
    </row>
    <row r="25" spans="3:21" ht="14.4">
      <c r="C25" s="1" t="s">
        <v>331</v>
      </c>
      <c r="D25" s="377"/>
      <c r="E25" s="393">
        <f>1/(1+$D$8)^E24</f>
        <v>0.9174311926605504</v>
      </c>
      <c r="F25" s="393">
        <f t="shared" ref="F25:S25" si="4">1/(1+$D$8)^F24</f>
        <v>0.84167999326655996</v>
      </c>
      <c r="G25" s="393">
        <f t="shared" si="4"/>
        <v>0.77218348006106419</v>
      </c>
      <c r="H25" s="393">
        <f t="shared" si="4"/>
        <v>0.7084252110651964</v>
      </c>
      <c r="I25" s="393">
        <f t="shared" si="4"/>
        <v>0.64993138629834524</v>
      </c>
      <c r="J25" s="393">
        <f t="shared" si="4"/>
        <v>0.5962673268792158</v>
      </c>
      <c r="K25" s="393">
        <f t="shared" si="4"/>
        <v>0.54703424484331731</v>
      </c>
      <c r="L25" s="393">
        <f t="shared" si="4"/>
        <v>0.50186627967276809</v>
      </c>
      <c r="M25" s="393">
        <f t="shared" si="4"/>
        <v>0.46042777951630098</v>
      </c>
      <c r="N25" s="393">
        <f t="shared" si="4"/>
        <v>0.42241080689568894</v>
      </c>
      <c r="O25" s="393">
        <f t="shared" si="4"/>
        <v>0.38753285036301738</v>
      </c>
      <c r="P25" s="393">
        <f t="shared" si="4"/>
        <v>0.35553472510368567</v>
      </c>
      <c r="Q25" s="393">
        <f t="shared" si="4"/>
        <v>0.32617864688411524</v>
      </c>
      <c r="R25" s="393">
        <f t="shared" si="4"/>
        <v>0.29924646503129837</v>
      </c>
      <c r="S25" s="393">
        <f t="shared" si="4"/>
        <v>0.27453804131311776</v>
      </c>
      <c r="T25" s="69"/>
      <c r="U25" s="69"/>
    </row>
    <row r="26" spans="3:21">
      <c r="C26" s="118" t="s">
        <v>332</v>
      </c>
      <c r="D26" s="378"/>
      <c r="E26" s="43">
        <f ca="1">E22*E25</f>
        <v>943.27857454861044</v>
      </c>
      <c r="F26" s="43">
        <f t="shared" ref="F26:S26" ca="1" si="5">F22*F25</f>
        <v>1071.5411545761397</v>
      </c>
      <c r="G26" s="43">
        <f t="shared" ca="1" si="5"/>
        <v>1051.2366048933911</v>
      </c>
      <c r="H26" s="43">
        <f t="shared" ca="1" si="5"/>
        <v>1064.3018242259343</v>
      </c>
      <c r="I26" s="43">
        <f t="shared" ca="1" si="5"/>
        <v>1008.3863838138161</v>
      </c>
      <c r="J26" s="43">
        <f t="shared" ca="1" si="5"/>
        <v>952.05562994110119</v>
      </c>
      <c r="K26" s="43">
        <f t="shared" ca="1" si="5"/>
        <v>950.95318348297269</v>
      </c>
      <c r="L26" s="43">
        <f t="shared" ca="1" si="5"/>
        <v>882.07308911996267</v>
      </c>
      <c r="M26" s="43">
        <f t="shared" ca="1" si="5"/>
        <v>829.50636439000095</v>
      </c>
      <c r="N26" s="43">
        <f t="shared" ca="1" si="5"/>
        <v>740.69446504240796</v>
      </c>
      <c r="O26" s="43">
        <f t="shared" ca="1" si="5"/>
        <v>636.50167167295683</v>
      </c>
      <c r="P26" s="43">
        <f t="shared" ca="1" si="5"/>
        <v>517.05143004064166</v>
      </c>
      <c r="Q26" s="43">
        <f t="shared" ca="1" si="5"/>
        <v>436.23988533421516</v>
      </c>
      <c r="R26" s="43">
        <f t="shared" ca="1" si="5"/>
        <v>336.14193467146708</v>
      </c>
      <c r="S26" s="43">
        <f t="shared" ca="1" si="5"/>
        <v>279.40259037965308</v>
      </c>
      <c r="T26" s="69"/>
      <c r="U26" s="69"/>
    </row>
    <row r="27" spans="3:21">
      <c r="C27" s="1" t="s">
        <v>333</v>
      </c>
      <c r="D27" s="380"/>
      <c r="E27" s="18"/>
      <c r="G27" s="18"/>
      <c r="H27" s="18"/>
      <c r="I27" s="18"/>
      <c r="J27" s="18"/>
      <c r="K27" s="18"/>
      <c r="L27" s="18"/>
      <c r="M27" s="139"/>
      <c r="N27" s="379"/>
      <c r="O27" s="379"/>
      <c r="P27" s="381"/>
      <c r="Q27" s="379"/>
      <c r="R27" s="379"/>
      <c r="S27" s="18">
        <f ca="1">S22*(1+$D$9)/($D$8-$D$9)</f>
        <v>17470.843428143646</v>
      </c>
      <c r="T27" s="69"/>
      <c r="U27" s="69"/>
    </row>
    <row r="28" spans="3:21">
      <c r="C28" s="118" t="s">
        <v>334</v>
      </c>
      <c r="D28" s="382"/>
      <c r="E28" s="18"/>
      <c r="F28" s="393"/>
      <c r="G28" s="18"/>
      <c r="H28" s="18"/>
      <c r="I28" s="18"/>
      <c r="J28" s="18"/>
      <c r="K28" s="18"/>
      <c r="L28" s="18"/>
      <c r="M28" s="139"/>
      <c r="N28" s="379"/>
      <c r="O28" s="379"/>
      <c r="P28" s="381"/>
      <c r="Q28" s="379"/>
      <c r="R28" s="379"/>
      <c r="S28" s="43">
        <f ca="1">S27*S25</f>
        <v>4796.4111348507122</v>
      </c>
      <c r="T28" s="69"/>
      <c r="U28" s="69"/>
    </row>
    <row r="29" spans="3:21">
      <c r="C29" s="118" t="s">
        <v>335</v>
      </c>
      <c r="D29" s="535">
        <f ca="1">SUM(E26:S26,S28)</f>
        <v>16495.775920983982</v>
      </c>
      <c r="E29" s="394"/>
      <c r="F29" s="394"/>
      <c r="G29" s="394"/>
      <c r="H29" s="394"/>
      <c r="I29" s="394"/>
      <c r="J29" s="394"/>
      <c r="K29" s="394"/>
      <c r="L29" s="394"/>
      <c r="M29" s="139"/>
      <c r="N29" s="379"/>
      <c r="O29" s="379"/>
      <c r="P29" s="384"/>
      <c r="Q29" s="379"/>
      <c r="R29" s="379"/>
      <c r="S29" s="379"/>
    </row>
    <row r="30" spans="3:21">
      <c r="C30" s="206"/>
      <c r="D30" s="395"/>
      <c r="E30" s="396"/>
      <c r="F30" s="394"/>
      <c r="G30" s="543"/>
      <c r="H30" s="543"/>
      <c r="I30" s="543"/>
      <c r="J30" s="543"/>
      <c r="K30" s="543"/>
      <c r="L30" s="397"/>
      <c r="M30" s="139"/>
      <c r="N30" s="379"/>
      <c r="O30" s="379"/>
      <c r="P30" s="381"/>
      <c r="Q30" s="379"/>
      <c r="R30" s="379"/>
      <c r="S30" s="379"/>
    </row>
    <row r="31" spans="3:21" ht="14.25" customHeight="1">
      <c r="C31" s="206"/>
      <c r="D31" s="398"/>
      <c r="E31" s="397"/>
      <c r="F31" s="399"/>
      <c r="G31" s="400"/>
      <c r="H31" s="400"/>
      <c r="I31" s="400"/>
      <c r="J31" s="400"/>
      <c r="K31" s="400"/>
      <c r="L31" s="397"/>
      <c r="M31" s="139"/>
      <c r="N31" s="379"/>
      <c r="O31" s="379"/>
      <c r="P31" s="385"/>
      <c r="Q31" s="381"/>
      <c r="R31" s="379"/>
      <c r="S31" s="379"/>
    </row>
    <row r="32" spans="3:21" ht="14.25" customHeight="1">
      <c r="C32" s="401" t="s">
        <v>336</v>
      </c>
      <c r="D32" s="402"/>
      <c r="E32" s="402"/>
      <c r="F32" s="402"/>
      <c r="G32" s="402"/>
      <c r="H32" s="402"/>
      <c r="I32" s="403"/>
      <c r="K32" s="206"/>
      <c r="L32" s="404"/>
      <c r="M32" s="139"/>
      <c r="N32" s="379"/>
      <c r="O32" s="379"/>
      <c r="P32" s="381"/>
      <c r="Q32" s="379"/>
      <c r="R32" s="379"/>
      <c r="S32" s="379"/>
    </row>
    <row r="33" spans="3:19" ht="14.25" customHeight="1">
      <c r="C33" s="411"/>
      <c r="D33" s="412"/>
      <c r="E33" s="417"/>
      <c r="F33" s="413"/>
      <c r="G33" s="431" t="str">
        <f>C9</f>
        <v>Terminal Growth Rate</v>
      </c>
      <c r="H33" s="413"/>
      <c r="I33" s="414"/>
      <c r="K33" s="206"/>
      <c r="L33" s="394"/>
      <c r="M33" s="379"/>
      <c r="N33" s="379"/>
      <c r="O33" s="379"/>
      <c r="P33" s="379"/>
      <c r="Q33" s="379"/>
      <c r="R33" s="379"/>
      <c r="S33" s="379"/>
    </row>
    <row r="34" spans="3:19">
      <c r="C34" s="415"/>
      <c r="D34" s="416">
        <f ca="1">D29</f>
        <v>16495.775920983982</v>
      </c>
      <c r="E34" s="449">
        <v>0.02</v>
      </c>
      <c r="F34" s="449">
        <v>2.5000000000000001E-2</v>
      </c>
      <c r="G34" s="449">
        <v>0.03</v>
      </c>
      <c r="H34" s="449">
        <v>3.5000000000000003E-2</v>
      </c>
      <c r="I34" s="450">
        <v>0.04</v>
      </c>
      <c r="K34" s="206"/>
      <c r="L34" s="407"/>
      <c r="M34" s="386"/>
      <c r="N34" s="379"/>
      <c r="O34" s="379"/>
      <c r="P34" s="387"/>
      <c r="Q34" s="387"/>
      <c r="R34" s="379"/>
      <c r="S34" s="379"/>
    </row>
    <row r="35" spans="3:19" ht="14.25" customHeight="1">
      <c r="C35" s="408"/>
      <c r="D35" s="409">
        <v>7.9999999999999988E-2</v>
      </c>
      <c r="E35" s="451">
        <f t="dataTable" ref="E35:I39" dt2D="1" dtr="1" r1="D9" r2="D8" ca="1"/>
        <v>16495.775920983982</v>
      </c>
      <c r="F35" s="452">
        <v>16495.775920983982</v>
      </c>
      <c r="G35" s="452">
        <v>16495.775920983982</v>
      </c>
      <c r="H35" s="452">
        <v>16495.775920983982</v>
      </c>
      <c r="I35" s="453">
        <v>16495.775920983982</v>
      </c>
      <c r="K35" s="206"/>
      <c r="L35" s="394"/>
      <c r="M35" s="388"/>
      <c r="N35" s="379"/>
      <c r="O35" s="379"/>
      <c r="P35" s="385"/>
      <c r="Q35" s="385"/>
      <c r="R35" s="381"/>
      <c r="S35" s="381"/>
    </row>
    <row r="36" spans="3:19" ht="14.25" customHeight="1">
      <c r="C36" s="408"/>
      <c r="D36" s="409">
        <v>8.4999999999999992E-2</v>
      </c>
      <c r="E36" s="454">
        <v>16495.775920983982</v>
      </c>
      <c r="F36" s="455">
        <v>16495.775920983982</v>
      </c>
      <c r="G36" s="455">
        <v>16495.775920983982</v>
      </c>
      <c r="H36" s="455">
        <v>16495.775920983982</v>
      </c>
      <c r="I36" s="456">
        <v>16495.775920983982</v>
      </c>
      <c r="K36" s="206"/>
      <c r="L36" s="394"/>
      <c r="M36" s="388"/>
      <c r="N36" s="379"/>
      <c r="O36" s="379"/>
      <c r="P36" s="385"/>
      <c r="Q36" s="385"/>
      <c r="R36" s="381"/>
      <c r="S36" s="381"/>
    </row>
    <row r="37" spans="3:19">
      <c r="C37" s="418" t="s">
        <v>329</v>
      </c>
      <c r="D37" s="409">
        <v>0.09</v>
      </c>
      <c r="E37" s="457">
        <v>16495.775920983982</v>
      </c>
      <c r="F37" s="455">
        <v>16495.775920983982</v>
      </c>
      <c r="G37" s="458">
        <v>16495.775920983982</v>
      </c>
      <c r="H37" s="455">
        <v>16495.775920983982</v>
      </c>
      <c r="I37" s="459">
        <v>16495.775920983982</v>
      </c>
      <c r="K37" s="206"/>
      <c r="L37" s="394"/>
      <c r="M37" s="388"/>
      <c r="N37" s="379"/>
      <c r="O37" s="379"/>
      <c r="P37" s="385"/>
      <c r="Q37" s="385"/>
      <c r="R37" s="381"/>
      <c r="S37" s="381"/>
    </row>
    <row r="38" spans="3:19">
      <c r="C38" s="408"/>
      <c r="D38" s="409">
        <v>9.5000000000000001E-2</v>
      </c>
      <c r="E38" s="460">
        <v>16495.775920983982</v>
      </c>
      <c r="F38" s="455">
        <v>16495.775920983982</v>
      </c>
      <c r="G38" s="455">
        <v>16495.775920983982</v>
      </c>
      <c r="H38" s="455">
        <v>16495.775920983982</v>
      </c>
      <c r="I38" s="459">
        <v>16495.775920983982</v>
      </c>
      <c r="K38" s="206"/>
      <c r="L38" s="394"/>
      <c r="M38" s="383"/>
      <c r="N38" s="383"/>
      <c r="O38" s="383"/>
      <c r="P38" s="383"/>
      <c r="Q38" s="383"/>
      <c r="R38" s="383"/>
      <c r="S38" s="383"/>
    </row>
    <row r="39" spans="3:19">
      <c r="C39" s="405"/>
      <c r="D39" s="406">
        <v>0.1</v>
      </c>
      <c r="E39" s="461">
        <v>16495.775920983982</v>
      </c>
      <c r="F39" s="461">
        <v>16495.775920983982</v>
      </c>
      <c r="G39" s="461">
        <v>16495.775920983982</v>
      </c>
      <c r="H39" s="461">
        <v>16495.775920983982</v>
      </c>
      <c r="I39" s="462">
        <v>16495.775920983982</v>
      </c>
      <c r="K39" s="206"/>
      <c r="L39" s="394"/>
      <c r="M39" s="383"/>
      <c r="N39" s="383"/>
      <c r="O39" s="383"/>
      <c r="P39" s="383"/>
      <c r="Q39" s="383"/>
      <c r="R39" s="383"/>
      <c r="S39" s="383"/>
    </row>
    <row r="40" spans="3:19">
      <c r="C40" s="445"/>
      <c r="D40" s="446"/>
      <c r="E40" s="410"/>
      <c r="F40" s="410"/>
      <c r="G40" s="410"/>
      <c r="H40" s="410"/>
      <c r="I40" s="410"/>
      <c r="K40" s="206"/>
      <c r="L40" s="394"/>
      <c r="M40" s="383"/>
      <c r="N40" s="383"/>
      <c r="O40" s="383"/>
      <c r="P40" s="383"/>
      <c r="Q40" s="383"/>
      <c r="R40" s="383"/>
      <c r="S40" s="383"/>
    </row>
    <row r="41" spans="3:19">
      <c r="C41" s="206"/>
      <c r="D41" s="394"/>
      <c r="E41" s="394"/>
      <c r="F41" s="394"/>
      <c r="G41" s="394"/>
      <c r="H41" s="394"/>
      <c r="I41" s="394"/>
      <c r="J41" s="394"/>
      <c r="K41" s="394"/>
      <c r="L41" s="394"/>
      <c r="M41" s="383"/>
      <c r="N41" s="383"/>
      <c r="O41" s="383"/>
      <c r="P41" s="383"/>
      <c r="Q41" s="383"/>
      <c r="R41" s="383"/>
      <c r="S41" s="383"/>
    </row>
    <row r="42" spans="3:19">
      <c r="C42" s="401" t="s">
        <v>394</v>
      </c>
      <c r="D42" s="402"/>
      <c r="E42" s="402"/>
      <c r="F42" s="402"/>
      <c r="G42" s="402"/>
      <c r="H42" s="402"/>
      <c r="I42" s="403"/>
      <c r="J42" s="394"/>
      <c r="K42" s="394"/>
      <c r="L42" s="394"/>
      <c r="M42" s="383"/>
      <c r="N42" s="383"/>
      <c r="O42" s="383"/>
      <c r="P42" s="383"/>
      <c r="Q42" s="383"/>
      <c r="R42" s="383"/>
      <c r="S42" s="383"/>
    </row>
    <row r="43" spans="3:19">
      <c r="C43" s="411"/>
      <c r="D43" s="412"/>
      <c r="E43" s="417"/>
      <c r="F43" s="413"/>
      <c r="G43" s="431" t="str">
        <f>C9</f>
        <v>Terminal Growth Rate</v>
      </c>
      <c r="H43" s="413"/>
      <c r="I43" s="414"/>
      <c r="J43" s="394"/>
      <c r="K43" s="394"/>
      <c r="L43" s="394"/>
      <c r="M43" s="383"/>
      <c r="N43" s="383"/>
      <c r="O43" s="383"/>
      <c r="P43" s="383"/>
      <c r="Q43" s="383"/>
      <c r="R43" s="383"/>
      <c r="S43" s="383"/>
    </row>
    <row r="44" spans="3:19">
      <c r="C44" s="415"/>
      <c r="D44" s="416">
        <f>D38</f>
        <v>9.5000000000000001E-2</v>
      </c>
      <c r="E44" s="449">
        <v>0.02</v>
      </c>
      <c r="F44" s="449">
        <v>2.5000000000000001E-2</v>
      </c>
      <c r="G44" s="449">
        <v>0.03</v>
      </c>
      <c r="H44" s="449">
        <v>3.5000000000000003E-2</v>
      </c>
      <c r="I44" s="450">
        <v>0.04</v>
      </c>
      <c r="J44" s="394"/>
      <c r="K44" s="394"/>
      <c r="L44" s="394"/>
      <c r="M44" s="383"/>
      <c r="N44" s="383"/>
      <c r="O44" s="383"/>
      <c r="P44" s="383"/>
      <c r="Q44" s="383"/>
      <c r="R44" s="383"/>
      <c r="S44" s="383"/>
    </row>
    <row r="45" spans="3:19">
      <c r="C45" s="408"/>
      <c r="D45" s="409">
        <v>7.9999999999999988E-2</v>
      </c>
      <c r="E45" s="451">
        <f>(E35-$D$58+$D$59-$D$60)/$D$65</f>
        <v>180.8065371017756</v>
      </c>
      <c r="F45" s="452">
        <f t="shared" ref="F45:I45" si="6">(F35-$D$58+$D$59-$D$60)/$D$65</f>
        <v>180.8065371017756</v>
      </c>
      <c r="G45" s="452">
        <f t="shared" si="6"/>
        <v>180.8065371017756</v>
      </c>
      <c r="H45" s="452">
        <f t="shared" si="6"/>
        <v>180.8065371017756</v>
      </c>
      <c r="I45" s="453">
        <f t="shared" si="6"/>
        <v>180.8065371017756</v>
      </c>
      <c r="J45" s="394"/>
      <c r="K45" s="394"/>
      <c r="L45" s="394"/>
      <c r="M45" s="383"/>
      <c r="N45" s="383"/>
      <c r="O45" s="383"/>
      <c r="P45" s="383"/>
      <c r="Q45" s="383"/>
      <c r="R45" s="383"/>
      <c r="S45" s="383"/>
    </row>
    <row r="46" spans="3:19">
      <c r="C46" s="408"/>
      <c r="D46" s="409">
        <v>8.4999999999999992E-2</v>
      </c>
      <c r="E46" s="454">
        <f t="shared" ref="E46:I46" si="7">(E36-$D$58+$D$59-$D$60)/$D$65</f>
        <v>180.8065371017756</v>
      </c>
      <c r="F46" s="455">
        <f t="shared" si="7"/>
        <v>180.8065371017756</v>
      </c>
      <c r="G46" s="455">
        <f t="shared" si="7"/>
        <v>180.8065371017756</v>
      </c>
      <c r="H46" s="455">
        <f t="shared" si="7"/>
        <v>180.8065371017756</v>
      </c>
      <c r="I46" s="456">
        <f t="shared" si="7"/>
        <v>180.8065371017756</v>
      </c>
      <c r="J46" s="394"/>
      <c r="K46" s="394"/>
      <c r="L46" s="394"/>
      <c r="M46" s="383"/>
      <c r="N46" s="383"/>
      <c r="O46" s="383"/>
      <c r="P46" s="383"/>
      <c r="Q46" s="383"/>
      <c r="R46" s="383"/>
      <c r="S46" s="383"/>
    </row>
    <row r="47" spans="3:19">
      <c r="C47" s="418" t="s">
        <v>329</v>
      </c>
      <c r="D47" s="409">
        <v>0.09</v>
      </c>
      <c r="E47" s="457">
        <f>(E37-$D$58+$D$59-$D$60)/$D$65</f>
        <v>180.8065371017756</v>
      </c>
      <c r="F47" s="455">
        <f>(F37-$D$58+$D$59-$D$60)/$D$65</f>
        <v>180.8065371017756</v>
      </c>
      <c r="G47" s="458">
        <f>(G37-$D$58+$D$59-$D$60)/$D$65</f>
        <v>180.8065371017756</v>
      </c>
      <c r="H47" s="455">
        <f>(H37-$D$58+$D$59-$D$60)/$D$65</f>
        <v>180.8065371017756</v>
      </c>
      <c r="I47" s="459">
        <f>(I37-$D$58+$D$59-$D$60)/$D$65</f>
        <v>180.8065371017756</v>
      </c>
      <c r="J47" s="394"/>
      <c r="K47" s="394"/>
      <c r="L47" s="394"/>
      <c r="M47" s="383"/>
      <c r="N47" s="383"/>
      <c r="O47" s="383"/>
      <c r="P47" s="383"/>
      <c r="Q47" s="383"/>
      <c r="R47" s="383"/>
      <c r="S47" s="383"/>
    </row>
    <row r="48" spans="3:19">
      <c r="C48" s="408"/>
      <c r="D48" s="409">
        <v>9.5000000000000001E-2</v>
      </c>
      <c r="E48" s="460">
        <f t="shared" ref="E48:I48" si="8">(E38-$D$58+$D$59-$D$60)/$D$65</f>
        <v>180.8065371017756</v>
      </c>
      <c r="F48" s="455">
        <f t="shared" si="8"/>
        <v>180.8065371017756</v>
      </c>
      <c r="G48" s="455">
        <f t="shared" si="8"/>
        <v>180.8065371017756</v>
      </c>
      <c r="H48" s="455">
        <f t="shared" si="8"/>
        <v>180.8065371017756</v>
      </c>
      <c r="I48" s="459">
        <f t="shared" si="8"/>
        <v>180.8065371017756</v>
      </c>
      <c r="J48" s="383"/>
      <c r="K48" s="383"/>
      <c r="L48" s="383"/>
      <c r="M48" s="383"/>
      <c r="N48" s="383"/>
      <c r="O48" s="383"/>
      <c r="P48" s="383"/>
      <c r="Q48" s="383"/>
      <c r="R48" s="383"/>
      <c r="S48" s="383"/>
    </row>
    <row r="49" spans="3:19">
      <c r="C49" s="405"/>
      <c r="D49" s="406">
        <v>0.1</v>
      </c>
      <c r="E49" s="461">
        <f t="shared" ref="E49:I49" si="9">(E39-$D$58+$D$59-$D$60)/$D$65</f>
        <v>180.8065371017756</v>
      </c>
      <c r="F49" s="461">
        <f t="shared" si="9"/>
        <v>180.8065371017756</v>
      </c>
      <c r="G49" s="461">
        <f t="shared" si="9"/>
        <v>180.8065371017756</v>
      </c>
      <c r="H49" s="461">
        <f t="shared" si="9"/>
        <v>180.8065371017756</v>
      </c>
      <c r="I49" s="462">
        <f t="shared" si="9"/>
        <v>180.8065371017756</v>
      </c>
      <c r="J49" s="383"/>
      <c r="K49" s="383"/>
      <c r="L49" s="383"/>
      <c r="M49" s="383"/>
      <c r="N49" s="383"/>
      <c r="O49" s="383"/>
      <c r="P49" s="383"/>
      <c r="Q49" s="383"/>
      <c r="R49" s="383"/>
      <c r="S49" s="383"/>
    </row>
    <row r="50" spans="3:19">
      <c r="D50" s="383"/>
      <c r="E50" s="383"/>
      <c r="F50" s="383"/>
      <c r="G50" s="383"/>
      <c r="H50" s="383"/>
      <c r="I50" s="383"/>
      <c r="J50" s="383"/>
      <c r="K50" s="383"/>
      <c r="L50" s="383"/>
      <c r="M50" s="383"/>
      <c r="N50" s="383"/>
      <c r="O50" s="383"/>
      <c r="P50" s="383"/>
      <c r="Q50" s="383"/>
      <c r="R50" s="383"/>
      <c r="S50" s="383"/>
    </row>
    <row r="51" spans="3:19">
      <c r="D51" s="383"/>
      <c r="E51" s="383"/>
      <c r="F51" s="383"/>
      <c r="G51" s="383"/>
      <c r="H51" s="383"/>
      <c r="I51" s="383"/>
      <c r="J51" s="383"/>
      <c r="K51" s="383"/>
      <c r="L51" s="383"/>
      <c r="M51" s="383"/>
      <c r="N51" s="383"/>
      <c r="O51" s="383"/>
      <c r="P51" s="383"/>
      <c r="Q51" s="383"/>
      <c r="R51" s="383"/>
      <c r="S51" s="383"/>
    </row>
    <row r="52" spans="3:19">
      <c r="C52" s="401" t="s">
        <v>366</v>
      </c>
      <c r="D52" s="401"/>
      <c r="E52" s="383"/>
      <c r="F52" s="383"/>
      <c r="G52" s="383"/>
      <c r="H52" s="383"/>
      <c r="I52" s="383"/>
      <c r="J52" s="383"/>
      <c r="K52" s="383"/>
      <c r="L52" s="383"/>
      <c r="M52" s="383"/>
      <c r="N52" s="383"/>
      <c r="O52" s="383"/>
      <c r="P52" s="383"/>
      <c r="Q52" s="383"/>
      <c r="R52" s="383"/>
      <c r="S52" s="383"/>
    </row>
    <row r="53" spans="3:19">
      <c r="C53" s="421" t="s">
        <v>367</v>
      </c>
      <c r="D53" s="422">
        <f>D8</f>
        <v>0.09</v>
      </c>
      <c r="E53" s="383"/>
      <c r="F53" s="383"/>
      <c r="G53" s="383"/>
      <c r="H53" s="383"/>
      <c r="I53" s="383"/>
      <c r="J53" s="383"/>
      <c r="K53" s="383"/>
      <c r="L53" s="383"/>
      <c r="M53" s="383"/>
      <c r="N53" s="383"/>
      <c r="O53" s="383"/>
      <c r="P53" s="383"/>
      <c r="Q53" s="383"/>
      <c r="R53" s="383"/>
      <c r="S53" s="383"/>
    </row>
    <row r="54" spans="3:19">
      <c r="C54" s="421" t="s">
        <v>368</v>
      </c>
      <c r="D54" s="422">
        <f>D9</f>
        <v>0.03</v>
      </c>
      <c r="E54" s="383"/>
      <c r="F54" s="383"/>
      <c r="G54" s="383"/>
      <c r="H54" s="383"/>
      <c r="I54" s="383"/>
      <c r="J54" s="383"/>
      <c r="K54" s="383"/>
      <c r="L54" s="383"/>
      <c r="M54" s="383"/>
      <c r="N54" s="383"/>
      <c r="O54" s="383"/>
      <c r="P54" s="383"/>
      <c r="Q54" s="383"/>
      <c r="R54" s="383"/>
      <c r="S54" s="383"/>
    </row>
    <row r="55" spans="3:19">
      <c r="C55" s="421" t="s">
        <v>369</v>
      </c>
      <c r="D55" s="423">
        <f ca="1">SUM(E26:S26)</f>
        <v>11699.36478613327</v>
      </c>
    </row>
    <row r="56" spans="3:19">
      <c r="C56" s="421" t="s">
        <v>370</v>
      </c>
      <c r="D56" s="423">
        <f ca="1">S28</f>
        <v>4796.4111348507122</v>
      </c>
    </row>
    <row r="57" spans="3:19">
      <c r="C57" s="421" t="s">
        <v>371</v>
      </c>
      <c r="D57" s="423">
        <f ca="1">D55+D56</f>
        <v>16495.775920983982</v>
      </c>
    </row>
    <row r="58" spans="3:19">
      <c r="C58" s="424" t="s">
        <v>377</v>
      </c>
      <c r="D58" s="423">
        <f>-'Merger Model_Updated'!L9</f>
        <v>7838.7856000000011</v>
      </c>
    </row>
    <row r="59" spans="3:19">
      <c r="C59" s="424" t="s">
        <v>378</v>
      </c>
      <c r="D59" s="423">
        <f>'Merger Model_Updated'!L10</f>
        <v>1900.8458000000001</v>
      </c>
    </row>
    <row r="60" spans="3:19">
      <c r="C60" s="424" t="s">
        <v>214</v>
      </c>
      <c r="D60" s="423">
        <f>'Merger Model_Updated'!L11</f>
        <v>0</v>
      </c>
    </row>
    <row r="61" spans="3:19">
      <c r="C61" s="421" t="s">
        <v>372</v>
      </c>
      <c r="D61" s="423">
        <f ca="1">D57-D58+D59-D60</f>
        <v>10557.836120983982</v>
      </c>
    </row>
    <row r="62" spans="3:19">
      <c r="C62" s="425" t="s">
        <v>373</v>
      </c>
      <c r="D62" s="426">
        <f ca="1">D61/D65</f>
        <v>180.8065371017756</v>
      </c>
    </row>
    <row r="63" spans="3:19">
      <c r="C63" s="421" t="s">
        <v>374</v>
      </c>
      <c r="D63" s="427">
        <v>165.05</v>
      </c>
    </row>
    <row r="64" spans="3:19">
      <c r="C64" s="425" t="s">
        <v>375</v>
      </c>
      <c r="D64" s="428">
        <f ca="1">D62/D63-1</f>
        <v>9.5465235393975112E-2</v>
      </c>
    </row>
    <row r="65" spans="3:4">
      <c r="C65" s="429" t="s">
        <v>376</v>
      </c>
      <c r="D65" s="430">
        <f>'[3]JAZZ PNL'!BB68</f>
        <v>58.393000000000001</v>
      </c>
    </row>
  </sheetData>
  <mergeCells count="1">
    <mergeCell ref="G30:K30"/>
  </mergeCells>
  <phoneticPr fontId="43" type="noConversion"/>
  <conditionalFormatting sqref="E32:I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2:I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:M32">
    <cfRule type="expression" dxfId="0" priority="4">
      <formula>_xlfn.ISFORMULA(M27)</formula>
    </cfRule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88826-B680-A040-B00D-36880B82F500}">
  <sheetPr>
    <tabColor theme="5"/>
  </sheetPr>
  <dimension ref="A1:P53"/>
  <sheetViews>
    <sheetView showGridLines="0" topLeftCell="D1" zoomScale="125" zoomScaleNormal="69" workbookViewId="0">
      <selection activeCell="J10" sqref="J10"/>
    </sheetView>
  </sheetViews>
  <sheetFormatPr defaultColWidth="11.44140625" defaultRowHeight="14.4"/>
  <cols>
    <col min="1" max="1" width="31.6640625" customWidth="1"/>
  </cols>
  <sheetData>
    <row r="1" spans="1:16" ht="19.95" customHeight="1" thickBot="1">
      <c r="A1" s="443" t="str">
        <f>'Pro-Forma DCF Valuation_Updated'!C11</f>
        <v>Base</v>
      </c>
      <c r="B1" s="544" t="s">
        <v>247</v>
      </c>
      <c r="C1" s="545"/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  <c r="P1" s="546"/>
    </row>
    <row r="2" spans="1:16" s="511" customFormat="1" ht="15" thickBot="1">
      <c r="A2" s="505" t="str">
        <f>'Merger Model_Updated'!C62</f>
        <v>Accretion/Dilution analysis</v>
      </c>
      <c r="B2" s="513">
        <v>2021</v>
      </c>
      <c r="C2" s="513">
        <v>2022</v>
      </c>
      <c r="D2" s="513">
        <v>2023</v>
      </c>
      <c r="E2" s="513">
        <v>2024</v>
      </c>
      <c r="F2" s="520">
        <v>2025</v>
      </c>
      <c r="G2" s="513">
        <v>2026</v>
      </c>
      <c r="H2" s="513">
        <v>2027</v>
      </c>
      <c r="I2" s="513">
        <v>2028</v>
      </c>
      <c r="J2" s="513">
        <v>2029</v>
      </c>
      <c r="K2" s="513">
        <v>2030</v>
      </c>
      <c r="L2" s="513">
        <v>2031</v>
      </c>
      <c r="M2" s="513">
        <v>2032</v>
      </c>
      <c r="N2" s="513">
        <v>2033</v>
      </c>
      <c r="O2" s="513">
        <v>2034</v>
      </c>
      <c r="P2" s="514">
        <v>2035</v>
      </c>
    </row>
    <row r="3" spans="1:16" ht="15" thickBot="1">
      <c r="A3" s="506" t="str">
        <f>'Merger Model_Updated'!C63</f>
        <v>EPS Accretion/(Dilution)</v>
      </c>
      <c r="B3" s="507"/>
      <c r="C3" s="508">
        <f ca="1">'Merger Model_Updated'!BC63</f>
        <v>-0.24418846343271583</v>
      </c>
      <c r="D3" s="508">
        <f ca="1">'Merger Model_Updated'!BD63</f>
        <v>-0.17818183322427672</v>
      </c>
      <c r="E3" s="508">
        <f ca="1">'Merger Model_Updated'!BE63</f>
        <v>-7.4302290315474306E-2</v>
      </c>
      <c r="F3" s="521">
        <f ca="1">'Merger Model_Updated'!BF63</f>
        <v>3.9574341521772638E-2</v>
      </c>
      <c r="G3" s="509">
        <f ca="1">'Merger Model_Updated'!BG63</f>
        <v>0.1653060353350353</v>
      </c>
      <c r="H3" s="509">
        <f ca="1">'Merger Model_Updated'!BH63</f>
        <v>0.2588296707068225</v>
      </c>
      <c r="I3" s="509">
        <f ca="1">'Merger Model_Updated'!BI63</f>
        <v>0.37756340996940319</v>
      </c>
      <c r="J3" s="509">
        <f ca="1">'Merger Model_Updated'!BJ63</f>
        <v>0.48389639620291458</v>
      </c>
      <c r="K3" s="509">
        <f ca="1">'Merger Model_Updated'!BK63</f>
        <v>0.52229126639710155</v>
      </c>
      <c r="L3" s="509">
        <f ca="1">'Merger Model_Updated'!BL63</f>
        <v>0.54831996682431439</v>
      </c>
      <c r="M3" s="509">
        <f ca="1">'Merger Model_Updated'!BM63</f>
        <v>0.66246458797294694</v>
      </c>
      <c r="N3" s="509">
        <f ca="1">'Merger Model_Updated'!BN63</f>
        <v>0.75875270436014652</v>
      </c>
      <c r="O3" s="509">
        <f ca="1">'Merger Model_Updated'!BO63</f>
        <v>0.99165991240599505</v>
      </c>
      <c r="P3" s="510">
        <f ca="1">'Merger Model_Updated'!BP63</f>
        <v>1.1579270601765579</v>
      </c>
    </row>
    <row r="4" spans="1:16">
      <c r="A4" s="482"/>
      <c r="B4" s="276"/>
      <c r="C4" s="276"/>
      <c r="D4" s="276"/>
      <c r="E4" s="276"/>
      <c r="F4" s="504"/>
      <c r="G4" s="276"/>
      <c r="H4" s="276"/>
      <c r="I4" s="276"/>
      <c r="J4" s="276"/>
      <c r="K4" s="276"/>
      <c r="L4" s="276"/>
      <c r="M4" s="276"/>
      <c r="N4" s="276"/>
      <c r="O4" s="276"/>
      <c r="P4" s="483"/>
    </row>
    <row r="5" spans="1:16" s="511" customFormat="1">
      <c r="A5" s="512" t="str">
        <f>'Merger Model_Updated'!C65</f>
        <v>Balance Sheet</v>
      </c>
      <c r="B5" s="515">
        <v>2021</v>
      </c>
      <c r="C5" s="516">
        <v>2022</v>
      </c>
      <c r="D5" s="516">
        <v>2023</v>
      </c>
      <c r="E5" s="516">
        <v>2024</v>
      </c>
      <c r="F5" s="515">
        <v>2025</v>
      </c>
      <c r="G5" s="516">
        <v>2026</v>
      </c>
      <c r="H5" s="516">
        <v>2027</v>
      </c>
      <c r="I5" s="516">
        <v>2028</v>
      </c>
      <c r="J5" s="516">
        <v>2029</v>
      </c>
      <c r="K5" s="516">
        <v>2030</v>
      </c>
      <c r="L5" s="516">
        <v>2031</v>
      </c>
      <c r="M5" s="516">
        <v>2032</v>
      </c>
      <c r="N5" s="516">
        <v>2033</v>
      </c>
      <c r="O5" s="516">
        <v>2034</v>
      </c>
      <c r="P5" s="517">
        <v>2035</v>
      </c>
    </row>
    <row r="6" spans="1:16">
      <c r="A6" s="482"/>
      <c r="B6" s="287"/>
      <c r="C6" s="287"/>
      <c r="D6" s="287"/>
      <c r="E6" s="287"/>
      <c r="F6" s="522"/>
      <c r="G6" s="287"/>
      <c r="H6" s="287"/>
      <c r="I6" s="287"/>
      <c r="J6" s="287"/>
      <c r="K6" s="287"/>
      <c r="L6" s="287"/>
      <c r="M6" s="287"/>
      <c r="N6" s="287"/>
      <c r="O6" s="287"/>
      <c r="P6" s="484"/>
    </row>
    <row r="7" spans="1:16">
      <c r="A7" s="485" t="str">
        <f>'Merger Model_Updated'!C67</f>
        <v>Asset</v>
      </c>
      <c r="B7" s="287"/>
      <c r="C7" s="287"/>
      <c r="D7" s="287"/>
      <c r="E7" s="287"/>
      <c r="F7" s="522"/>
      <c r="G7" s="287"/>
      <c r="H7" s="287"/>
      <c r="I7" s="287"/>
      <c r="J7" s="287"/>
      <c r="K7" s="287"/>
      <c r="L7" s="287"/>
      <c r="M7" s="287"/>
      <c r="N7" s="287"/>
      <c r="O7" s="287"/>
      <c r="P7" s="484"/>
    </row>
    <row r="8" spans="1:16">
      <c r="A8" s="486" t="str">
        <f>'Merger Model_Updated'!C68</f>
        <v>Cash</v>
      </c>
      <c r="B8" s="287">
        <f ca="1">'Merger Model_Updated'!BB68</f>
        <v>1110.3462177591657</v>
      </c>
      <c r="C8" s="287">
        <f ca="1">'Merger Model_Updated'!BC68</f>
        <v>1103.4782748301188</v>
      </c>
      <c r="D8" s="287">
        <f ca="1">'Merger Model_Updated'!BD68</f>
        <v>1287.6645620727327</v>
      </c>
      <c r="E8" s="287">
        <f ca="1">'Merger Model_Updated'!BE68</f>
        <v>1644.0518836767558</v>
      </c>
      <c r="F8" s="522">
        <f ca="1">'Merger Model_Updated'!BF68</f>
        <v>2033.3677528908293</v>
      </c>
      <c r="G8" s="287">
        <f ca="1">'Merger Model_Updated'!BG68</f>
        <v>2456.5500779811418</v>
      </c>
      <c r="H8" s="287">
        <f ca="1">'Merger Model_Updated'!BH68</f>
        <v>3358.4012050262886</v>
      </c>
      <c r="I8" s="287">
        <f ca="1">'Merger Model_Updated'!BI68</f>
        <v>4997.9034020254385</v>
      </c>
      <c r="J8" s="287">
        <f ca="1">'Merger Model_Updated'!BJ68</f>
        <v>6916.8629771272135</v>
      </c>
      <c r="K8" s="287">
        <f ca="1">'Merger Model_Updated'!BK68</f>
        <v>8881.7205416501747</v>
      </c>
      <c r="L8" s="287">
        <f ca="1">'Merger Model_Updated'!BL68</f>
        <v>10785.922118535489</v>
      </c>
      <c r="M8" s="287">
        <f ca="1">'Merger Model_Updated'!BM68</f>
        <v>12544.420801551591</v>
      </c>
      <c r="N8" s="287">
        <f ca="1">'Merger Model_Updated'!BN68</f>
        <v>14217.066557214539</v>
      </c>
      <c r="O8" s="287">
        <f ca="1">'Merger Model_Updated'!BO68</f>
        <v>15710.476881154616</v>
      </c>
      <c r="P8" s="484">
        <f ca="1">'Merger Model_Updated'!BP68</f>
        <v>17122.063464810963</v>
      </c>
    </row>
    <row r="9" spans="1:16">
      <c r="A9" s="486" t="str">
        <f>'Merger Model_Updated'!C69</f>
        <v>Marketable Securities</v>
      </c>
      <c r="B9" s="287">
        <f>'Merger Model_Updated'!BB69</f>
        <v>1075</v>
      </c>
      <c r="C9" s="287">
        <f>'Merger Model_Updated'!BC69</f>
        <v>1075</v>
      </c>
      <c r="D9" s="287">
        <f>'Merger Model_Updated'!BD69</f>
        <v>1075</v>
      </c>
      <c r="E9" s="287">
        <f>'Merger Model_Updated'!BE69</f>
        <v>1075</v>
      </c>
      <c r="F9" s="522">
        <f>'Merger Model_Updated'!BF69</f>
        <v>1075</v>
      </c>
      <c r="G9" s="287">
        <f>'Merger Model_Updated'!BG69</f>
        <v>1075</v>
      </c>
      <c r="H9" s="287">
        <f>'Merger Model_Updated'!BH69</f>
        <v>1075</v>
      </c>
      <c r="I9" s="287">
        <f>'Merger Model_Updated'!BI69</f>
        <v>1075</v>
      </c>
      <c r="J9" s="287">
        <f>'Merger Model_Updated'!BJ69</f>
        <v>1075</v>
      </c>
      <c r="K9" s="287">
        <f>'Merger Model_Updated'!BK69</f>
        <v>1075</v>
      </c>
      <c r="L9" s="287">
        <f>'Merger Model_Updated'!BL69</f>
        <v>1075</v>
      </c>
      <c r="M9" s="287">
        <f>'Merger Model_Updated'!BM69</f>
        <v>1075</v>
      </c>
      <c r="N9" s="287">
        <f>'Merger Model_Updated'!BN69</f>
        <v>1075</v>
      </c>
      <c r="O9" s="287">
        <f>'Merger Model_Updated'!BO69</f>
        <v>1075</v>
      </c>
      <c r="P9" s="484">
        <f>'Merger Model_Updated'!BP69</f>
        <v>1075</v>
      </c>
    </row>
    <row r="10" spans="1:16">
      <c r="A10" s="486" t="str">
        <f>'Merger Model_Updated'!C70</f>
        <v>Accounts receivable</v>
      </c>
      <c r="B10" s="287">
        <f>'Merger Model_Updated'!BB70</f>
        <v>515.39792803226294</v>
      </c>
      <c r="C10" s="287">
        <f>'Merger Model_Updated'!BC70</f>
        <v>570.79799227502031</v>
      </c>
      <c r="D10" s="287">
        <f>'Merger Model_Updated'!BD70</f>
        <v>539.63390982703311</v>
      </c>
      <c r="E10" s="287">
        <f>'Merger Model_Updated'!BE70</f>
        <v>565.91560499546404</v>
      </c>
      <c r="F10" s="522">
        <f>'Merger Model_Updated'!BF70</f>
        <v>585.39481063621326</v>
      </c>
      <c r="G10" s="287">
        <f>'Merger Model_Updated'!BG70</f>
        <v>594.90573059162932</v>
      </c>
      <c r="H10" s="287">
        <f>'Merger Model_Updated'!BH70</f>
        <v>600.61797370547856</v>
      </c>
      <c r="I10" s="287">
        <f>'Merger Model_Updated'!BI70</f>
        <v>594.3508665214697</v>
      </c>
      <c r="J10" s="287">
        <f>'Merger Model_Updated'!BJ70</f>
        <v>594.08049714777417</v>
      </c>
      <c r="K10" s="287">
        <f>'Merger Model_Updated'!BK70</f>
        <v>542.07778322765819</v>
      </c>
      <c r="L10" s="287">
        <f>'Merger Model_Updated'!BL70</f>
        <v>494.02165606515291</v>
      </c>
      <c r="M10" s="287">
        <f>'Merger Model_Updated'!BM70</f>
        <v>431.17594232908516</v>
      </c>
      <c r="N10" s="287">
        <f>'Merger Model_Updated'!BN70</f>
        <v>391.49490881526549</v>
      </c>
      <c r="O10" s="287">
        <f>'Merger Model_Updated'!BO70</f>
        <v>321.39319885409765</v>
      </c>
      <c r="P10" s="484">
        <f>'Merger Model_Updated'!BP70</f>
        <v>288.51030753457457</v>
      </c>
    </row>
    <row r="11" spans="1:16">
      <c r="A11" s="486" t="str">
        <f>'Merger Model_Updated'!C71</f>
        <v>Inventories</v>
      </c>
      <c r="B11" s="287">
        <f>'Merger Model_Updated'!BB71</f>
        <v>273.78652403675062</v>
      </c>
      <c r="C11" s="287">
        <f>'Merger Model_Updated'!BC71</f>
        <v>308.16921141615501</v>
      </c>
      <c r="D11" s="287">
        <f>'Merger Model_Updated'!BD71</f>
        <v>331.02547299898652</v>
      </c>
      <c r="E11" s="287">
        <f>'Merger Model_Updated'!BE71</f>
        <v>369.97322014115844</v>
      </c>
      <c r="F11" s="522">
        <f>'Merger Model_Updated'!BF71</f>
        <v>408.44170880131412</v>
      </c>
      <c r="G11" s="287">
        <f>'Merger Model_Updated'!BG71</f>
        <v>435.37599270208557</v>
      </c>
      <c r="H11" s="287">
        <f>'Merger Model_Updated'!BH71</f>
        <v>455.45724512552272</v>
      </c>
      <c r="I11" s="287">
        <f>'Merger Model_Updated'!BI71</f>
        <v>466.87085025870317</v>
      </c>
      <c r="J11" s="287">
        <f>'Merger Model_Updated'!BJ71</f>
        <v>476.69639595143974</v>
      </c>
      <c r="K11" s="287">
        <f>'Merger Model_Updated'!BK71</f>
        <v>412.18575640008709</v>
      </c>
      <c r="L11" s="287">
        <f>'Merger Model_Updated'!BL71</f>
        <v>360.09355344174276</v>
      </c>
      <c r="M11" s="287">
        <f>'Merger Model_Updated'!BM71</f>
        <v>325.34595181143681</v>
      </c>
      <c r="N11" s="287">
        <f>'Merger Model_Updated'!BN71</f>
        <v>299.1904865425069</v>
      </c>
      <c r="O11" s="287">
        <f>'Merger Model_Updated'!BO71</f>
        <v>263.54450112418851</v>
      </c>
      <c r="P11" s="484">
        <f>'Merger Model_Updated'!BP71</f>
        <v>242.46517833653346</v>
      </c>
    </row>
    <row r="12" spans="1:16">
      <c r="A12" s="486" t="str">
        <f>'Merger Model_Updated'!C72</f>
        <v>Other current assets</v>
      </c>
      <c r="B12" s="287">
        <f>'Merger Model_Updated'!BB72</f>
        <v>257.38499999999999</v>
      </c>
      <c r="C12" s="287">
        <f>'Merger Model_Updated'!BC72</f>
        <v>257.38499999999999</v>
      </c>
      <c r="D12" s="287">
        <f>'Merger Model_Updated'!BD72</f>
        <v>257.38499999999999</v>
      </c>
      <c r="E12" s="287">
        <f>'Merger Model_Updated'!BE72</f>
        <v>257.38499999999999</v>
      </c>
      <c r="F12" s="522">
        <f>'Merger Model_Updated'!BF72</f>
        <v>257.38499999999999</v>
      </c>
      <c r="G12" s="287">
        <f>'Merger Model_Updated'!BG72</f>
        <v>257.38499999999999</v>
      </c>
      <c r="H12" s="287">
        <f>'Merger Model_Updated'!BH72</f>
        <v>257.38499999999999</v>
      </c>
      <c r="I12" s="287">
        <f>'Merger Model_Updated'!BI72</f>
        <v>257.38499999999999</v>
      </c>
      <c r="J12" s="287">
        <f>'Merger Model_Updated'!BJ72</f>
        <v>257.38499999999999</v>
      </c>
      <c r="K12" s="287">
        <f>'Merger Model_Updated'!BK72</f>
        <v>257.38499999999999</v>
      </c>
      <c r="L12" s="287">
        <f>'Merger Model_Updated'!BL72</f>
        <v>257.38499999999999</v>
      </c>
      <c r="M12" s="287">
        <f>'Merger Model_Updated'!BM72</f>
        <v>257.38499999999999</v>
      </c>
      <c r="N12" s="287">
        <f>'Merger Model_Updated'!BN72</f>
        <v>257.38499999999999</v>
      </c>
      <c r="O12" s="287">
        <f>'Merger Model_Updated'!BO72</f>
        <v>257.38499999999999</v>
      </c>
      <c r="P12" s="484">
        <f>'Merger Model_Updated'!BP72</f>
        <v>257.38499999999999</v>
      </c>
    </row>
    <row r="13" spans="1:16">
      <c r="A13" s="486" t="str">
        <f>'Merger Model_Updated'!C73</f>
        <v>PP&amp;E</v>
      </c>
      <c r="B13" s="287">
        <f>'Merger Model_Updated'!BB73</f>
        <v>282.2045083186332</v>
      </c>
      <c r="C13" s="287">
        <f>'Merger Model_Updated'!BC73</f>
        <v>294.38179701930699</v>
      </c>
      <c r="D13" s="287">
        <f>'Merger Model_Updated'!BD73</f>
        <v>310.26715214880051</v>
      </c>
      <c r="E13" s="287">
        <f>'Merger Model_Updated'!BE73</f>
        <v>329.44158786679304</v>
      </c>
      <c r="F13" s="522">
        <f>'Merger Model_Updated'!BF73</f>
        <v>352.11188956428884</v>
      </c>
      <c r="G13" s="287">
        <f>'Merger Model_Updated'!BG73</f>
        <v>377.38739836651536</v>
      </c>
      <c r="H13" s="287">
        <f>'Merger Model_Updated'!BH73</f>
        <v>404.65787475844519</v>
      </c>
      <c r="I13" s="287">
        <f>'Merger Model_Updated'!BI73</f>
        <v>433.42530268917176</v>
      </c>
      <c r="J13" s="287">
        <f>'Merger Model_Updated'!BJ73</f>
        <v>463.28582710141001</v>
      </c>
      <c r="K13" s="287">
        <f>'Merger Model_Updated'!BK73</f>
        <v>488.0218091346581</v>
      </c>
      <c r="L13" s="287">
        <f>'Merger Model_Updated'!BL73</f>
        <v>508.85115325450835</v>
      </c>
      <c r="M13" s="287">
        <f>'Merger Model_Updated'!BM73</f>
        <v>528.24964773344288</v>
      </c>
      <c r="N13" s="287">
        <f>'Merger Model_Updated'!BN73</f>
        <v>546.28012741162854</v>
      </c>
      <c r="O13" s="287">
        <f>'Merger Model_Updated'!BO73</f>
        <v>563.05766202521409</v>
      </c>
      <c r="P13" s="484">
        <f>'Merger Model_Updated'!BP73</f>
        <v>578.76714055082505</v>
      </c>
    </row>
    <row r="14" spans="1:16">
      <c r="A14" s="487" t="str">
        <f>'Merger Model_Updated'!C74</f>
        <v>Intangible assets</v>
      </c>
      <c r="B14" s="287">
        <f>'Merger Model_Updated'!BB74</f>
        <v>6560.0535487087345</v>
      </c>
      <c r="C14" s="287">
        <f>'Merger Model_Updated'!BC74</f>
        <v>6152.8395806220497</v>
      </c>
      <c r="D14" s="287">
        <f>'Merger Model_Updated'!BD74</f>
        <v>5765.7916378426899</v>
      </c>
      <c r="E14" s="287">
        <f>'Merger Model_Updated'!BE74</f>
        <v>5376.7289530668177</v>
      </c>
      <c r="F14" s="522">
        <f>'Merger Model_Updated'!BF74</f>
        <v>4988.6453208289086</v>
      </c>
      <c r="G14" s="287">
        <f>'Merger Model_Updated'!BG74</f>
        <v>4603.138696183003</v>
      </c>
      <c r="H14" s="287">
        <f>'Merger Model_Updated'!BH74</f>
        <v>4220.1852074490989</v>
      </c>
      <c r="I14" s="287">
        <f>'Merger Model_Updated'!BI74</f>
        <v>3843.0424796910515</v>
      </c>
      <c r="J14" s="287">
        <f>'Merger Model_Updated'!BJ74</f>
        <v>3468.5536339637883</v>
      </c>
      <c r="K14" s="287">
        <f>'Merger Model_Updated'!BK74</f>
        <v>3101.2838216972605</v>
      </c>
      <c r="L14" s="287">
        <f>'Merger Model_Updated'!BL74</f>
        <v>2742.6221759781697</v>
      </c>
      <c r="M14" s="287">
        <f>'Merger Model_Updated'!BM74</f>
        <v>2403.8120082822879</v>
      </c>
      <c r="N14" s="287">
        <f>'Merger Model_Updated'!BN74</f>
        <v>2076.4506412711971</v>
      </c>
      <c r="O14" s="287">
        <f>'Merger Model_Updated'!BO74</f>
        <v>1772.0344426029385</v>
      </c>
      <c r="P14" s="484">
        <f>'Merger Model_Updated'!BP74</f>
        <v>1477.2588972352664</v>
      </c>
    </row>
    <row r="15" spans="1:16">
      <c r="A15" s="487" t="str">
        <f>'Merger Model_Updated'!C75</f>
        <v>Other non-current assets</v>
      </c>
      <c r="B15" s="287">
        <f>'Merger Model_Updated'!BB75</f>
        <v>443.61600000000004</v>
      </c>
      <c r="C15" s="287">
        <f>'Merger Model_Updated'!BC75</f>
        <v>443.61600000000004</v>
      </c>
      <c r="D15" s="287">
        <f>'Merger Model_Updated'!BD75</f>
        <v>443.61600000000004</v>
      </c>
      <c r="E15" s="287">
        <f>'Merger Model_Updated'!BE75</f>
        <v>443.61600000000004</v>
      </c>
      <c r="F15" s="522">
        <f>'Merger Model_Updated'!BF75</f>
        <v>443.61600000000004</v>
      </c>
      <c r="G15" s="287">
        <f>'Merger Model_Updated'!BG75</f>
        <v>443.61600000000004</v>
      </c>
      <c r="H15" s="287">
        <f>'Merger Model_Updated'!BH75</f>
        <v>443.61600000000004</v>
      </c>
      <c r="I15" s="287">
        <f>'Merger Model_Updated'!BI75</f>
        <v>443.61600000000004</v>
      </c>
      <c r="J15" s="287">
        <f>'Merger Model_Updated'!BJ75</f>
        <v>443.61600000000004</v>
      </c>
      <c r="K15" s="287">
        <f>'Merger Model_Updated'!BK75</f>
        <v>443.61600000000004</v>
      </c>
      <c r="L15" s="287">
        <f>'Merger Model_Updated'!BL75</f>
        <v>443.61600000000004</v>
      </c>
      <c r="M15" s="287">
        <f>'Merger Model_Updated'!BM75</f>
        <v>443.61600000000004</v>
      </c>
      <c r="N15" s="287">
        <f>'Merger Model_Updated'!BN75</f>
        <v>443.61600000000004</v>
      </c>
      <c r="O15" s="287">
        <f>'Merger Model_Updated'!BO75</f>
        <v>443.61600000000004</v>
      </c>
      <c r="P15" s="484">
        <f>'Merger Model_Updated'!BP75</f>
        <v>443.61600000000004</v>
      </c>
    </row>
    <row r="16" spans="1:16">
      <c r="A16" s="486" t="str">
        <f>'Merger Model_Updated'!C76</f>
        <v>Goodwill</v>
      </c>
      <c r="B16" s="287">
        <f>'Merger Model_Updated'!BB76</f>
        <v>2943.2886956748675</v>
      </c>
      <c r="C16" s="287">
        <f>'Merger Model_Updated'!BC76</f>
        <v>2943.2886956748675</v>
      </c>
      <c r="D16" s="287">
        <f>'Merger Model_Updated'!BD76</f>
        <v>2943.2886956748675</v>
      </c>
      <c r="E16" s="287">
        <f>'Merger Model_Updated'!BE76</f>
        <v>2943.2886956748675</v>
      </c>
      <c r="F16" s="522">
        <f>'Merger Model_Updated'!BF76</f>
        <v>2943.2886956748675</v>
      </c>
      <c r="G16" s="287">
        <f>'Merger Model_Updated'!BG76</f>
        <v>2943.2886956748675</v>
      </c>
      <c r="H16" s="287">
        <f>'Merger Model_Updated'!BH76</f>
        <v>2943.2886956748675</v>
      </c>
      <c r="I16" s="287">
        <f>'Merger Model_Updated'!BI76</f>
        <v>2943.2886956748675</v>
      </c>
      <c r="J16" s="287">
        <f>'Merger Model_Updated'!BJ76</f>
        <v>2943.2886956748675</v>
      </c>
      <c r="K16" s="287">
        <f>'Merger Model_Updated'!BK76</f>
        <v>2943.2886956748675</v>
      </c>
      <c r="L16" s="287">
        <f>'Merger Model_Updated'!BL76</f>
        <v>2943.2886956748675</v>
      </c>
      <c r="M16" s="287">
        <f>'Merger Model_Updated'!BM76</f>
        <v>2943.2886956748675</v>
      </c>
      <c r="N16" s="287">
        <f>'Merger Model_Updated'!BN76</f>
        <v>2943.2886956748675</v>
      </c>
      <c r="O16" s="287">
        <f>'Merger Model_Updated'!BO76</f>
        <v>2943.2886956748675</v>
      </c>
      <c r="P16" s="484">
        <f>'Merger Model_Updated'!BP76</f>
        <v>2943.2886956748675</v>
      </c>
    </row>
    <row r="17" spans="1:16">
      <c r="A17" s="488" t="str">
        <f>'Merger Model_Updated'!C77</f>
        <v>Total Assets</v>
      </c>
      <c r="B17" s="480">
        <f ca="1">'Merger Model_Updated'!BB77</f>
        <v>13461.078422530414</v>
      </c>
      <c r="C17" s="480">
        <f ca="1">'Merger Model_Updated'!BC77</f>
        <v>13148.956551837518</v>
      </c>
      <c r="D17" s="480">
        <f ca="1">'Merger Model_Updated'!BD77</f>
        <v>12953.672430565111</v>
      </c>
      <c r="E17" s="480">
        <f ca="1">'Merger Model_Updated'!BE77</f>
        <v>13005.400945421858</v>
      </c>
      <c r="F17" s="523">
        <f ca="1">'Merger Model_Updated'!BF77</f>
        <v>13087.251178396422</v>
      </c>
      <c r="G17" s="480">
        <f ca="1">'Merger Model_Updated'!BG77</f>
        <v>13186.647591499244</v>
      </c>
      <c r="H17" s="480">
        <f ca="1">'Merger Model_Updated'!BH77</f>
        <v>13758.609201739702</v>
      </c>
      <c r="I17" s="480">
        <f ca="1">'Merger Model_Updated'!BI77</f>
        <v>15054.882596860703</v>
      </c>
      <c r="J17" s="480">
        <f ca="1">'Merger Model_Updated'!BJ77</f>
        <v>16638.769026966493</v>
      </c>
      <c r="K17" s="480">
        <f ca="1">'Merger Model_Updated'!BK77</f>
        <v>18144.579407784706</v>
      </c>
      <c r="L17" s="480">
        <f ca="1">'Merger Model_Updated'!BL77</f>
        <v>19610.800352949929</v>
      </c>
      <c r="M17" s="480">
        <f ca="1">'Merger Model_Updated'!BM77</f>
        <v>20952.294047382711</v>
      </c>
      <c r="N17" s="480">
        <f ca="1">'Merger Model_Updated'!BN77</f>
        <v>22249.772416930005</v>
      </c>
      <c r="O17" s="480">
        <f ca="1">'Merger Model_Updated'!BO77</f>
        <v>23349.796381435921</v>
      </c>
      <c r="P17" s="501">
        <f ca="1">'Merger Model_Updated'!BP77</f>
        <v>24428.354684143033</v>
      </c>
    </row>
    <row r="18" spans="1:16">
      <c r="A18" s="482"/>
      <c r="B18" s="287"/>
      <c r="C18" s="287"/>
      <c r="D18" s="287"/>
      <c r="E18" s="287"/>
      <c r="F18" s="522"/>
      <c r="G18" s="287"/>
      <c r="H18" s="287"/>
      <c r="I18" s="287"/>
      <c r="J18" s="287"/>
      <c r="K18" s="287"/>
      <c r="L18" s="287"/>
      <c r="M18" s="287"/>
      <c r="N18" s="287"/>
      <c r="O18" s="287"/>
      <c r="P18" s="484"/>
    </row>
    <row r="19" spans="1:16">
      <c r="A19" s="485" t="str">
        <f>'Merger Model_Updated'!C79</f>
        <v>Liabilities</v>
      </c>
      <c r="B19" s="287"/>
      <c r="C19" s="287"/>
      <c r="D19" s="287"/>
      <c r="E19" s="287"/>
      <c r="F19" s="522"/>
      <c r="G19" s="287"/>
      <c r="H19" s="287"/>
      <c r="I19" s="287"/>
      <c r="J19" s="287"/>
      <c r="K19" s="287"/>
      <c r="L19" s="287"/>
      <c r="M19" s="287"/>
      <c r="N19" s="287"/>
      <c r="O19" s="287"/>
      <c r="P19" s="484"/>
    </row>
    <row r="20" spans="1:16">
      <c r="A20" s="486" t="str">
        <f>'Merger Model_Updated'!C80</f>
        <v>Payables</v>
      </c>
      <c r="B20" s="287">
        <f>'Merger Model_Updated'!BB80</f>
        <v>54.025850038901119</v>
      </c>
      <c r="C20" s="287">
        <f>'Merger Model_Updated'!BC80</f>
        <v>60.440513676626239</v>
      </c>
      <c r="D20" s="287">
        <f>'Merger Model_Updated'!BD80</f>
        <v>62.006722069688308</v>
      </c>
      <c r="E20" s="287">
        <f>'Merger Model_Updated'!BE80</f>
        <v>67.825738692045618</v>
      </c>
      <c r="F20" s="522">
        <f>'Merger Model_Updated'!BF80</f>
        <v>73.316052444947076</v>
      </c>
      <c r="G20" s="287">
        <f>'Merger Model_Updated'!BG80</f>
        <v>76.996383141990663</v>
      </c>
      <c r="H20" s="287">
        <f>'Merger Model_Updated'!BH80</f>
        <v>79.685596771308354</v>
      </c>
      <c r="I20" s="287">
        <f>'Merger Model_Updated'!BI80</f>
        <v>80.836548730406918</v>
      </c>
      <c r="J20" s="287">
        <f>'Merger Model_Updated'!BJ80</f>
        <v>82.030717095160938</v>
      </c>
      <c r="K20" s="287">
        <f>'Merger Model_Updated'!BK80</f>
        <v>72.05630378166606</v>
      </c>
      <c r="L20" s="287">
        <f>'Merger Model_Updated'!BL80</f>
        <v>63.761356942253379</v>
      </c>
      <c r="M20" s="287">
        <f>'Merger Model_Updated'!BM80</f>
        <v>57.006490908565397</v>
      </c>
      <c r="N20" s="287">
        <f>'Merger Model_Updated'!BN80</f>
        <v>52.224475552036857</v>
      </c>
      <c r="O20" s="287">
        <f>'Merger Model_Updated'!BO80</f>
        <v>45.071513974022359</v>
      </c>
      <c r="P20" s="484">
        <f>'Merger Model_Updated'!BP80</f>
        <v>41.181740332408566</v>
      </c>
    </row>
    <row r="21" spans="1:16">
      <c r="A21" s="486" t="str">
        <f>'Merger Model_Updated'!C81</f>
        <v>Accrued liabilities</v>
      </c>
      <c r="B21" s="287">
        <f>'Merger Model_Updated'!BB81</f>
        <v>556.97359371799109</v>
      </c>
      <c r="C21" s="287">
        <f>'Merger Model_Updated'!BC81</f>
        <v>620.18704460042534</v>
      </c>
      <c r="D21" s="287">
        <f>'Merger Model_Updated'!BD81</f>
        <v>613.11846513386763</v>
      </c>
      <c r="E21" s="287">
        <f>'Merger Model_Updated'!BE81</f>
        <v>658.39055914336836</v>
      </c>
      <c r="F21" s="522">
        <f>'Merger Model_Updated'!BF81</f>
        <v>698.42764459125078</v>
      </c>
      <c r="G21" s="287">
        <f>'Merger Model_Updated'!BG81</f>
        <v>723.4799635518084</v>
      </c>
      <c r="H21" s="287">
        <f>'Merger Model_Updated'!BH81</f>
        <v>741.16261656774543</v>
      </c>
      <c r="I21" s="287">
        <f>'Merger Model_Updated'!BI81</f>
        <v>744.34393884467659</v>
      </c>
      <c r="J21" s="287">
        <f>'Merger Model_Updated'!BJ81</f>
        <v>750.78270915279631</v>
      </c>
      <c r="K21" s="287">
        <f>'Merger Model_Updated'!BK81</f>
        <v>669.68047181336624</v>
      </c>
      <c r="L21" s="287">
        <f>'Merger Model_Updated'!BL81</f>
        <v>599.81232300675879</v>
      </c>
      <c r="M21" s="287">
        <f>'Merger Model_Updated'!BM81</f>
        <v>530.97670205542749</v>
      </c>
      <c r="N21" s="287">
        <f>'Merger Model_Updated'!BN81</f>
        <v>484.66728128992804</v>
      </c>
      <c r="O21" s="287">
        <f>'Merger Model_Updated'!BO81</f>
        <v>409.98623455992299</v>
      </c>
      <c r="P21" s="484">
        <f>'Merger Model_Updated'!BP81</f>
        <v>372.01239185637974</v>
      </c>
    </row>
    <row r="22" spans="1:16">
      <c r="A22" s="486" t="str">
        <f>'Merger Model_Updated'!C82</f>
        <v>Current portion of LTD</v>
      </c>
      <c r="B22" s="287">
        <f>'Merger Model_Updated'!BB82</f>
        <v>246.322</v>
      </c>
      <c r="C22" s="287">
        <f>'Merger Model_Updated'!BC82</f>
        <v>246.322</v>
      </c>
      <c r="D22" s="287">
        <f>'Merger Model_Updated'!BD82</f>
        <v>246.322</v>
      </c>
      <c r="E22" s="287">
        <f>'Merger Model_Updated'!BE82</f>
        <v>246.322</v>
      </c>
      <c r="F22" s="522">
        <f>'Merger Model_Updated'!BF82</f>
        <v>246.322</v>
      </c>
      <c r="G22" s="287">
        <f>'Merger Model_Updated'!BG82</f>
        <v>246.322</v>
      </c>
      <c r="H22" s="287">
        <f>'Merger Model_Updated'!BH82</f>
        <v>246.322</v>
      </c>
      <c r="I22" s="287">
        <f>'Merger Model_Updated'!BI82</f>
        <v>246.322</v>
      </c>
      <c r="J22" s="287">
        <f>'Merger Model_Updated'!BJ82</f>
        <v>246.322</v>
      </c>
      <c r="K22" s="287">
        <f>'Merger Model_Updated'!BK82</f>
        <v>246.322</v>
      </c>
      <c r="L22" s="287">
        <f>'Merger Model_Updated'!BL82</f>
        <v>246.322</v>
      </c>
      <c r="M22" s="287">
        <f>'Merger Model_Updated'!BM82</f>
        <v>246.322</v>
      </c>
      <c r="N22" s="287">
        <f>'Merger Model_Updated'!BN82</f>
        <v>246.322</v>
      </c>
      <c r="O22" s="287">
        <f>'Merger Model_Updated'!BO82</f>
        <v>246.322</v>
      </c>
      <c r="P22" s="484">
        <f>'Merger Model_Updated'!BP82</f>
        <v>246.322</v>
      </c>
    </row>
    <row r="23" spans="1:16">
      <c r="A23" s="486" t="str">
        <f>'Merger Model_Updated'!C83</f>
        <v>Other current liabilities</v>
      </c>
      <c r="B23" s="287">
        <f>'Merger Model_Updated'!BB83</f>
        <v>37.832999999999998</v>
      </c>
      <c r="C23" s="287">
        <f>'Merger Model_Updated'!BC83</f>
        <v>37.832999999999998</v>
      </c>
      <c r="D23" s="287">
        <f>'Merger Model_Updated'!BD83</f>
        <v>37.832999999999998</v>
      </c>
      <c r="E23" s="287">
        <f>'Merger Model_Updated'!BE83</f>
        <v>37.832999999999998</v>
      </c>
      <c r="F23" s="522">
        <f>'Merger Model_Updated'!BF83</f>
        <v>37.832999999999998</v>
      </c>
      <c r="G23" s="287">
        <f>'Merger Model_Updated'!BG83</f>
        <v>37.832999999999998</v>
      </c>
      <c r="H23" s="287">
        <f>'Merger Model_Updated'!BH83</f>
        <v>37.832999999999998</v>
      </c>
      <c r="I23" s="287">
        <f>'Merger Model_Updated'!BI83</f>
        <v>37.832999999999998</v>
      </c>
      <c r="J23" s="287">
        <f>'Merger Model_Updated'!BJ83</f>
        <v>37.832999999999998</v>
      </c>
      <c r="K23" s="287">
        <f>'Merger Model_Updated'!BK83</f>
        <v>37.832999999999998</v>
      </c>
      <c r="L23" s="287">
        <f>'Merger Model_Updated'!BL83</f>
        <v>37.832999999999998</v>
      </c>
      <c r="M23" s="287">
        <f>'Merger Model_Updated'!BM83</f>
        <v>37.832999999999998</v>
      </c>
      <c r="N23" s="287">
        <f>'Merger Model_Updated'!BN83</f>
        <v>37.832999999999998</v>
      </c>
      <c r="O23" s="287">
        <f>'Merger Model_Updated'!BO83</f>
        <v>37.832999999999998</v>
      </c>
      <c r="P23" s="484">
        <f>'Merger Model_Updated'!BP83</f>
        <v>37.832999999999998</v>
      </c>
    </row>
    <row r="24" spans="1:16">
      <c r="A24" s="486" t="str">
        <f>'Merger Model_Updated'!C85</f>
        <v>LT debt</v>
      </c>
      <c r="B24" s="287">
        <f ca="1">'Merger Model_Updated'!BB85</f>
        <v>6993.3146005647686</v>
      </c>
      <c r="C24" s="287">
        <f ca="1">'Merger Model_Updated'!BC85</f>
        <v>5880.2558729381753</v>
      </c>
      <c r="D24" s="287">
        <f ca="1">'Merger Model_Updated'!BD85</f>
        <v>4820.0897633409977</v>
      </c>
      <c r="E24" s="287">
        <f ca="1">'Merger Model_Updated'!BE85</f>
        <v>3742.8179279138412</v>
      </c>
      <c r="F24" s="522">
        <f ca="1">'Merger Model_Updated'!BF85</f>
        <v>2590.1790506234947</v>
      </c>
      <c r="G24" s="287">
        <f ca="1">'Merger Model_Updated'!BG85</f>
        <v>1362.3777874571576</v>
      </c>
      <c r="H24" s="287">
        <f ca="1">'Merger Model_Updated'!BH85</f>
        <v>408.71333623714804</v>
      </c>
      <c r="I24" s="287">
        <f ca="1">'Merger Model_Updated'!BI85</f>
        <v>122.61400087114509</v>
      </c>
      <c r="J24" s="287">
        <f ca="1">'Merger Model_Updated'!BJ85</f>
        <v>36.784200261344168</v>
      </c>
      <c r="K24" s="287">
        <f ca="1">'Merger Model_Updated'!BK85</f>
        <v>11.035260078403887</v>
      </c>
      <c r="L24" s="287">
        <f ca="1">'Merger Model_Updated'!BL85</f>
        <v>3.3105780235218036</v>
      </c>
      <c r="M24" s="287">
        <f ca="1">'Merger Model_Updated'!BM85</f>
        <v>0.99317340705717783</v>
      </c>
      <c r="N24" s="287">
        <f ca="1">'Merger Model_Updated'!BN85</f>
        <v>0.29795202211779004</v>
      </c>
      <c r="O24" s="287">
        <f ca="1">'Merger Model_Updated'!BO85</f>
        <v>8.9385606635973669E-2</v>
      </c>
      <c r="P24" s="484">
        <f ca="1">'Merger Model_Updated'!BP85</f>
        <v>2.6815681991428753E-2</v>
      </c>
    </row>
    <row r="25" spans="1:16">
      <c r="A25" s="486" t="str">
        <f>'Merger Model_Updated'!C86</f>
        <v>Other non-current liabilities</v>
      </c>
      <c r="B25" s="287">
        <f>'Merger Model_Updated'!BB86</f>
        <v>407.05599999999998</v>
      </c>
      <c r="C25" s="287">
        <f>'Merger Model_Updated'!BC86</f>
        <v>407.05599999999998</v>
      </c>
      <c r="D25" s="287">
        <f>'Merger Model_Updated'!BD86</f>
        <v>407.05599999999998</v>
      </c>
      <c r="E25" s="287">
        <f>'Merger Model_Updated'!BE86</f>
        <v>407.05599999999998</v>
      </c>
      <c r="F25" s="522">
        <f>'Merger Model_Updated'!BF86</f>
        <v>407.05599999999998</v>
      </c>
      <c r="G25" s="287">
        <f>'Merger Model_Updated'!BG86</f>
        <v>407.05599999999998</v>
      </c>
      <c r="H25" s="287">
        <f>'Merger Model_Updated'!BH86</f>
        <v>407.05599999999998</v>
      </c>
      <c r="I25" s="287">
        <f>'Merger Model_Updated'!BI86</f>
        <v>407.05599999999998</v>
      </c>
      <c r="J25" s="287">
        <f>'Merger Model_Updated'!BJ86</f>
        <v>407.05599999999998</v>
      </c>
      <c r="K25" s="287">
        <f>'Merger Model_Updated'!BK86</f>
        <v>407.05599999999998</v>
      </c>
      <c r="L25" s="287">
        <f>'Merger Model_Updated'!BL86</f>
        <v>407.05599999999998</v>
      </c>
      <c r="M25" s="287">
        <f>'Merger Model_Updated'!BM86</f>
        <v>407.05599999999998</v>
      </c>
      <c r="N25" s="287">
        <f>'Merger Model_Updated'!BN86</f>
        <v>407.05599999999998</v>
      </c>
      <c r="O25" s="287">
        <f>'Merger Model_Updated'!BO86</f>
        <v>407.05599999999998</v>
      </c>
      <c r="P25" s="484">
        <f>'Merger Model_Updated'!BP86</f>
        <v>407.05599999999998</v>
      </c>
    </row>
    <row r="26" spans="1:16">
      <c r="A26" s="488" t="str">
        <f>'Merger Model_Updated'!C87</f>
        <v>Total Liabilities</v>
      </c>
      <c r="B26" s="481">
        <f ca="1">'Merger Model_Updated'!BB87</f>
        <v>8295.525044321661</v>
      </c>
      <c r="C26" s="481">
        <f ca="1">'Merger Model_Updated'!BC87</f>
        <v>7252.0944312152269</v>
      </c>
      <c r="D26" s="481">
        <f ca="1">'Merger Model_Updated'!BD87</f>
        <v>6186.4259505445534</v>
      </c>
      <c r="E26" s="481">
        <f ca="1">'Merger Model_Updated'!BE87</f>
        <v>5160.245225749255</v>
      </c>
      <c r="F26" s="524">
        <f ca="1">'Merger Model_Updated'!BF87</f>
        <v>4053.1337476596927</v>
      </c>
      <c r="G26" s="481">
        <f ca="1">'Merger Model_Updated'!BG87</f>
        <v>2854.065134150957</v>
      </c>
      <c r="H26" s="481">
        <f ca="1">'Merger Model_Updated'!BH87</f>
        <v>1920.772549576202</v>
      </c>
      <c r="I26" s="481">
        <f ca="1">'Merger Model_Updated'!BI87</f>
        <v>1639.0054884462288</v>
      </c>
      <c r="J26" s="481">
        <f ca="1">'Merger Model_Updated'!BJ87</f>
        <v>1560.8086265093016</v>
      </c>
      <c r="K26" s="481">
        <f ca="1">'Merger Model_Updated'!BK87</f>
        <v>1443.9830356734362</v>
      </c>
      <c r="L26" s="481">
        <f ca="1">'Merger Model_Updated'!BL87</f>
        <v>1358.095257972534</v>
      </c>
      <c r="M26" s="481">
        <f ca="1">'Merger Model_Updated'!BM87</f>
        <v>1280.1873663710501</v>
      </c>
      <c r="N26" s="481">
        <f ca="1">'Merger Model_Updated'!BN87</f>
        <v>1228.4007088640826</v>
      </c>
      <c r="O26" s="481">
        <f ca="1">'Merger Model_Updated'!BO87</f>
        <v>1146.3581341405813</v>
      </c>
      <c r="P26" s="502">
        <f ca="1">'Merger Model_Updated'!BP87</f>
        <v>1104.4319478707798</v>
      </c>
    </row>
    <row r="27" spans="1:16">
      <c r="A27" s="482"/>
      <c r="B27" s="287"/>
      <c r="C27" s="287"/>
      <c r="D27" s="287"/>
      <c r="E27" s="287"/>
      <c r="F27" s="522"/>
      <c r="G27" s="287"/>
      <c r="H27" s="287"/>
      <c r="I27" s="287"/>
      <c r="J27" s="287"/>
      <c r="K27" s="287"/>
      <c r="L27" s="287"/>
      <c r="M27" s="287"/>
      <c r="N27" s="287"/>
      <c r="O27" s="287"/>
      <c r="P27" s="484"/>
    </row>
    <row r="28" spans="1:16">
      <c r="A28" s="485" t="str">
        <f>'Merger Model_Updated'!C89</f>
        <v>Equities</v>
      </c>
      <c r="B28" s="287"/>
      <c r="C28" s="287"/>
      <c r="D28" s="287"/>
      <c r="E28" s="287"/>
      <c r="F28" s="522"/>
      <c r="G28" s="287"/>
      <c r="H28" s="287"/>
      <c r="I28" s="287"/>
      <c r="J28" s="287"/>
      <c r="K28" s="287"/>
      <c r="L28" s="287"/>
      <c r="M28" s="287"/>
      <c r="N28" s="287"/>
      <c r="O28" s="287"/>
      <c r="P28" s="484"/>
    </row>
    <row r="29" spans="1:16">
      <c r="A29" s="486" t="str">
        <f>'Merger Model_Updated'!C91</f>
        <v>Common equity</v>
      </c>
      <c r="B29" s="287">
        <f>'Merger Model_Updated'!BB91</f>
        <v>3218.5262000000002</v>
      </c>
      <c r="C29" s="287">
        <f>'Merger Model_Updated'!BC91</f>
        <v>3218.5262000000002</v>
      </c>
      <c r="D29" s="287">
        <f>'Merger Model_Updated'!BD91</f>
        <v>3218.5262000000002</v>
      </c>
      <c r="E29" s="287">
        <f>'Merger Model_Updated'!BE91</f>
        <v>3218.5262000000002</v>
      </c>
      <c r="F29" s="522">
        <f>'Merger Model_Updated'!BF91</f>
        <v>3218.5262000000002</v>
      </c>
      <c r="G29" s="287">
        <f>'Merger Model_Updated'!BG91</f>
        <v>3218.5262000000002</v>
      </c>
      <c r="H29" s="287">
        <f>'Merger Model_Updated'!BH91</f>
        <v>3218.5262000000002</v>
      </c>
      <c r="I29" s="287">
        <f>'Merger Model_Updated'!BI91</f>
        <v>3218.5262000000002</v>
      </c>
      <c r="J29" s="287">
        <f>'Merger Model_Updated'!BJ91</f>
        <v>3218.5262000000002</v>
      </c>
      <c r="K29" s="287">
        <f>'Merger Model_Updated'!BK91</f>
        <v>3218.5262000000002</v>
      </c>
      <c r="L29" s="287">
        <f>'Merger Model_Updated'!BL91</f>
        <v>3218.5262000000002</v>
      </c>
      <c r="M29" s="287">
        <f>'Merger Model_Updated'!BM91</f>
        <v>3218.5262000000002</v>
      </c>
      <c r="N29" s="287">
        <f>'Merger Model_Updated'!BN91</f>
        <v>3218.5262000000002</v>
      </c>
      <c r="O29" s="287">
        <f>'Merger Model_Updated'!BO91</f>
        <v>3218.5262000000002</v>
      </c>
      <c r="P29" s="484">
        <f>'Merger Model_Updated'!BP91</f>
        <v>3218.5262000000002</v>
      </c>
    </row>
    <row r="30" spans="1:16">
      <c r="A30" s="486" t="str">
        <f>'Merger Model_Updated'!C92</f>
        <v>Retained earnings</v>
      </c>
      <c r="B30" s="287">
        <f ca="1">'Merger Model_Updated'!BB92</f>
        <v>1947.0271782087552</v>
      </c>
      <c r="C30" s="287">
        <f ca="1">'Merger Model_Updated'!BC92</f>
        <v>2678.3359206222922</v>
      </c>
      <c r="D30" s="287">
        <f ca="1">'Merger Model_Updated'!BD92</f>
        <v>3548.7202800205578</v>
      </c>
      <c r="E30" s="287">
        <f ca="1">'Merger Model_Updated'!BE92</f>
        <v>4626.6295196726014</v>
      </c>
      <c r="F30" s="522">
        <f ca="1">'Merger Model_Updated'!BF92</f>
        <v>5815.5912307367289</v>
      </c>
      <c r="G30" s="287">
        <f ca="1">'Merger Model_Updated'!BG92</f>
        <v>7114.0562573482848</v>
      </c>
      <c r="H30" s="287">
        <f ca="1">'Merger Model_Updated'!BH92</f>
        <v>8619.3104521634978</v>
      </c>
      <c r="I30" s="287">
        <f ca="1">'Merger Model_Updated'!BI92</f>
        <v>10197.350908414472</v>
      </c>
      <c r="J30" s="287">
        <f ca="1">'Merger Model_Updated'!BJ92</f>
        <v>11859.434200457188</v>
      </c>
      <c r="K30" s="287">
        <f ca="1">'Merger Model_Updated'!BK92</f>
        <v>13482.070172111265</v>
      </c>
      <c r="L30" s="287">
        <f ca="1">'Merger Model_Updated'!BL92</f>
        <v>15034.178894977391</v>
      </c>
      <c r="M30" s="287">
        <f ca="1">'Merger Model_Updated'!BM92</f>
        <v>16453.580481011657</v>
      </c>
      <c r="N30" s="287">
        <f ca="1">'Merger Model_Updated'!BN92</f>
        <v>17802.845508065919</v>
      </c>
      <c r="O30" s="287">
        <f ca="1">'Merger Model_Updated'!BO92</f>
        <v>18984.912047295336</v>
      </c>
      <c r="P30" s="484">
        <f ca="1">'Merger Model_Updated'!BP92</f>
        <v>20105.396536272248</v>
      </c>
    </row>
    <row r="31" spans="1:16">
      <c r="A31" s="489" t="str">
        <f>'Merger Model_Updated'!C93</f>
        <v>Minority interest</v>
      </c>
      <c r="B31" s="287">
        <f>'Merger Model_Updated'!BB93</f>
        <v>0</v>
      </c>
      <c r="C31" s="287">
        <f>'Merger Model_Updated'!BC93</f>
        <v>0</v>
      </c>
      <c r="D31" s="287">
        <f>'Merger Model_Updated'!BD93</f>
        <v>0</v>
      </c>
      <c r="E31" s="287">
        <f>'Merger Model_Updated'!BE93</f>
        <v>0</v>
      </c>
      <c r="F31" s="522">
        <f>'Merger Model_Updated'!BF93</f>
        <v>0</v>
      </c>
      <c r="G31" s="287">
        <f>'Merger Model_Updated'!BG93</f>
        <v>0</v>
      </c>
      <c r="H31" s="287">
        <f>'Merger Model_Updated'!BH93</f>
        <v>0</v>
      </c>
      <c r="I31" s="287">
        <f>'Merger Model_Updated'!BI93</f>
        <v>0</v>
      </c>
      <c r="J31" s="287">
        <f>'Merger Model_Updated'!BJ93</f>
        <v>0</v>
      </c>
      <c r="K31" s="287">
        <f>'Merger Model_Updated'!BK93</f>
        <v>0</v>
      </c>
      <c r="L31" s="287">
        <f>'Merger Model_Updated'!BL93</f>
        <v>0</v>
      </c>
      <c r="M31" s="287">
        <f>'Merger Model_Updated'!BM93</f>
        <v>0</v>
      </c>
      <c r="N31" s="287">
        <f>'Merger Model_Updated'!BN93</f>
        <v>0</v>
      </c>
      <c r="O31" s="287">
        <f>'Merger Model_Updated'!BO93</f>
        <v>0</v>
      </c>
      <c r="P31" s="484">
        <f>'Merger Model_Updated'!BP93</f>
        <v>0</v>
      </c>
    </row>
    <row r="32" spans="1:16">
      <c r="A32" s="490" t="str">
        <f>'Merger Model_Updated'!C94</f>
        <v>Total shareholders' equity</v>
      </c>
      <c r="B32" s="481">
        <f ca="1">'Merger Model_Updated'!BB94</f>
        <v>5165.553378208755</v>
      </c>
      <c r="C32" s="481">
        <f ca="1">'Merger Model_Updated'!BC94</f>
        <v>5896.8621206222924</v>
      </c>
      <c r="D32" s="481">
        <f ca="1">'Merger Model_Updated'!BD94</f>
        <v>6767.246480020558</v>
      </c>
      <c r="E32" s="481">
        <f ca="1">'Merger Model_Updated'!BE94</f>
        <v>7845.1557196726017</v>
      </c>
      <c r="F32" s="524">
        <f ca="1">'Merger Model_Updated'!BF94</f>
        <v>9034.1174307367291</v>
      </c>
      <c r="G32" s="481">
        <f ca="1">'Merger Model_Updated'!BG94</f>
        <v>10332.582457348286</v>
      </c>
      <c r="H32" s="481">
        <f ca="1">'Merger Model_Updated'!BH94</f>
        <v>11837.836652163498</v>
      </c>
      <c r="I32" s="481">
        <f ca="1">'Merger Model_Updated'!BI94</f>
        <v>13415.877108414472</v>
      </c>
      <c r="J32" s="481">
        <f ca="1">'Merger Model_Updated'!BJ94</f>
        <v>15077.960400457188</v>
      </c>
      <c r="K32" s="481">
        <f ca="1">'Merger Model_Updated'!BK94</f>
        <v>16700.596372111264</v>
      </c>
      <c r="L32" s="481">
        <f ca="1">'Merger Model_Updated'!BL94</f>
        <v>18252.705094977391</v>
      </c>
      <c r="M32" s="481">
        <f ca="1">'Merger Model_Updated'!BM94</f>
        <v>19672.106681011657</v>
      </c>
      <c r="N32" s="481">
        <f ca="1">'Merger Model_Updated'!BN94</f>
        <v>21021.371708065919</v>
      </c>
      <c r="O32" s="481">
        <f ca="1">'Merger Model_Updated'!BO94</f>
        <v>22203.438247295337</v>
      </c>
      <c r="P32" s="502">
        <f ca="1">'Merger Model_Updated'!BP94</f>
        <v>23323.922736272249</v>
      </c>
    </row>
    <row r="33" spans="1:16">
      <c r="A33" s="491"/>
      <c r="B33" s="315"/>
      <c r="C33" s="315"/>
      <c r="D33" s="315"/>
      <c r="E33" s="315"/>
      <c r="F33" s="525"/>
      <c r="G33" s="315"/>
      <c r="H33" s="315"/>
      <c r="I33" s="315"/>
      <c r="J33" s="315"/>
      <c r="K33" s="315"/>
      <c r="L33" s="315"/>
      <c r="M33" s="315"/>
      <c r="N33" s="315"/>
      <c r="O33" s="315"/>
      <c r="P33" s="492"/>
    </row>
    <row r="34" spans="1:16" s="511" customFormat="1">
      <c r="A34" s="493" t="str">
        <f>'Merger Model_Updated'!C121</f>
        <v>Debt Schedule</v>
      </c>
      <c r="B34" s="518">
        <v>2021</v>
      </c>
      <c r="C34" s="518">
        <v>2022</v>
      </c>
      <c r="D34" s="518">
        <v>2023</v>
      </c>
      <c r="E34" s="518">
        <v>2024</v>
      </c>
      <c r="F34" s="526">
        <v>2025</v>
      </c>
      <c r="G34" s="518">
        <v>2026</v>
      </c>
      <c r="H34" s="518">
        <v>2027</v>
      </c>
      <c r="I34" s="518">
        <v>2028</v>
      </c>
      <c r="J34" s="518">
        <v>2029</v>
      </c>
      <c r="K34" s="518">
        <v>2030</v>
      </c>
      <c r="L34" s="518">
        <v>2031</v>
      </c>
      <c r="M34" s="518">
        <v>2032</v>
      </c>
      <c r="N34" s="518">
        <v>2033</v>
      </c>
      <c r="O34" s="518">
        <v>2034</v>
      </c>
      <c r="P34" s="519">
        <v>2035</v>
      </c>
    </row>
    <row r="35" spans="1:16">
      <c r="A35" s="494"/>
      <c r="B35" s="350"/>
      <c r="C35" s="350"/>
      <c r="D35" s="350"/>
      <c r="E35" s="350"/>
      <c r="F35" s="503"/>
      <c r="G35" s="311"/>
      <c r="H35" s="311"/>
      <c r="I35" s="311"/>
      <c r="J35" s="311"/>
      <c r="K35" s="311"/>
      <c r="L35" s="311"/>
      <c r="M35" s="311"/>
      <c r="N35" s="311"/>
      <c r="O35" s="311"/>
      <c r="P35" s="495"/>
    </row>
    <row r="36" spans="1:16">
      <c r="A36" s="530" t="str">
        <f>'Merger Model_Updated'!C123</f>
        <v>Cash flow available for debt repayment</v>
      </c>
      <c r="B36" s="479">
        <f>'Merger Model_Updated'!BB123</f>
        <v>0</v>
      </c>
      <c r="C36" s="479">
        <f ca="1">'Merger Model_Updated'!BC123</f>
        <v>1223.1414589303226</v>
      </c>
      <c r="D36" s="479">
        <f ca="1">'Merger Model_Updated'!BD123</f>
        <v>1348.3598797187356</v>
      </c>
      <c r="E36" s="479">
        <f ca="1">'Merger Model_Updated'!BE123</f>
        <v>1538.9597648959384</v>
      </c>
      <c r="F36" s="527">
        <f ca="1">'Merger Model_Updated'!BF123</f>
        <v>1646.6269675576375</v>
      </c>
      <c r="G36" s="479">
        <f ca="1">'Merger Model_Updated'!BG123</f>
        <v>1754.0018045233387</v>
      </c>
      <c r="H36" s="479">
        <f ca="1">'Merger Model_Updated'!BH123</f>
        <v>1956.8951113427806</v>
      </c>
      <c r="I36" s="479">
        <f ca="1">'Merger Model_Updated'!BI123</f>
        <v>2023.2515356977867</v>
      </c>
      <c r="J36" s="479">
        <f ca="1">'Merger Model_Updated'!BJ123</f>
        <v>2100.7360338172034</v>
      </c>
      <c r="K36" s="479">
        <f ca="1">'Merger Model_Updated'!BK123</f>
        <v>2081.9197593496133</v>
      </c>
      <c r="L36" s="479">
        <f ca="1">'Merger Model_Updated'!BL123</f>
        <v>1997.7145206747382</v>
      </c>
      <c r="M36" s="479">
        <f ca="1">'Merger Model_Updated'!BM123</f>
        <v>1833.8630443853369</v>
      </c>
      <c r="N36" s="479">
        <f ca="1">'Merger Model_Updated'!BN123</f>
        <v>1739.0397322697729</v>
      </c>
      <c r="O36" s="479">
        <f ca="1">'Merger Model_Updated'!BO123</f>
        <v>1544.5907125313338</v>
      </c>
      <c r="P36" s="496">
        <f ca="1">'Merger Model_Updated'!BP123</f>
        <v>1456.433300270706</v>
      </c>
    </row>
    <row r="37" spans="1:16">
      <c r="A37" s="530" t="str">
        <f>'Merger Model_Updated'!C125</f>
        <v>Cash flow available for debt sweep</v>
      </c>
      <c r="B37" s="479">
        <f>'Merger Model_Updated'!BB125</f>
        <v>0</v>
      </c>
      <c r="C37" s="479">
        <f ca="1">'Merger Model_Updated'!BC125</f>
        <v>856.19902125122576</v>
      </c>
      <c r="D37" s="479">
        <f ca="1">'Merger Model_Updated'!BD125</f>
        <v>943.85191580311482</v>
      </c>
      <c r="E37" s="479">
        <f ca="1">'Merger Model_Updated'!BE125</f>
        <v>1077.2718354271567</v>
      </c>
      <c r="F37" s="527">
        <f ca="1">'Merger Model_Updated'!BF125</f>
        <v>1152.6388772903463</v>
      </c>
      <c r="G37" s="479">
        <f ca="1">'Merger Model_Updated'!BG125</f>
        <v>1227.8012631663371</v>
      </c>
      <c r="H37" s="479">
        <f ca="1">'Merger Model_Updated'!BH125</f>
        <v>1369.8265779399464</v>
      </c>
      <c r="I37" s="479">
        <f ca="1">'Merger Model_Updated'!BI125</f>
        <v>1416.2760749884505</v>
      </c>
      <c r="J37" s="479">
        <f ca="1">'Merger Model_Updated'!BJ125</f>
        <v>1470.5152236720423</v>
      </c>
      <c r="K37" s="479">
        <f ca="1">'Merger Model_Updated'!BK125</f>
        <v>1457.3438315447293</v>
      </c>
      <c r="L37" s="479">
        <f ca="1">'Merger Model_Updated'!BL125</f>
        <v>1398.4001644723166</v>
      </c>
      <c r="M37" s="479">
        <f ca="1">'Merger Model_Updated'!BM125</f>
        <v>1283.7041310697357</v>
      </c>
      <c r="N37" s="479">
        <f ca="1">'Merger Model_Updated'!BN125</f>
        <v>1217.327812588841</v>
      </c>
      <c r="O37" s="479">
        <f ca="1">'Merger Model_Updated'!BO125</f>
        <v>1081.2134987719335</v>
      </c>
      <c r="P37" s="496">
        <f ca="1">'Merger Model_Updated'!BP125</f>
        <v>1019.5033101894942</v>
      </c>
    </row>
    <row r="38" spans="1:16">
      <c r="A38" s="494"/>
      <c r="B38" s="330"/>
      <c r="C38" s="330"/>
      <c r="D38" s="330"/>
      <c r="E38" s="330"/>
      <c r="F38" s="528"/>
      <c r="G38" s="330"/>
      <c r="H38" s="330"/>
      <c r="I38" s="330"/>
      <c r="J38" s="330"/>
      <c r="K38" s="330"/>
      <c r="L38" s="330"/>
      <c r="M38" s="330"/>
      <c r="N38" s="330"/>
      <c r="O38" s="330"/>
      <c r="P38" s="497"/>
    </row>
    <row r="39" spans="1:16">
      <c r="A39" s="498" t="str">
        <f>'Merger Model_Updated'!C127</f>
        <v>Debt Schedule - Existing Debt</v>
      </c>
      <c r="B39" s="330"/>
      <c r="C39" s="330"/>
      <c r="D39" s="330"/>
      <c r="E39" s="330"/>
      <c r="F39" s="528"/>
      <c r="G39" s="330"/>
      <c r="H39" s="330"/>
      <c r="I39" s="330"/>
      <c r="J39" s="330"/>
      <c r="K39" s="330"/>
      <c r="L39" s="330"/>
      <c r="M39" s="330"/>
      <c r="N39" s="330"/>
      <c r="O39" s="330"/>
      <c r="P39" s="497"/>
    </row>
    <row r="40" spans="1:16">
      <c r="A40" s="499" t="str">
        <f>'Merger Model_Updated'!C129</f>
        <v>BoP</v>
      </c>
      <c r="B40" s="479">
        <f>'Merger Model_Updated'!BB129</f>
        <v>0</v>
      </c>
      <c r="C40" s="479">
        <f ca="1">'Merger Model_Updated'!BC129</f>
        <v>1243.913000564768</v>
      </c>
      <c r="D40" s="479">
        <f ca="1">'Merger Model_Updated'!BD129</f>
        <v>387.71397931354227</v>
      </c>
      <c r="E40" s="479">
        <f ca="1">'Merger Model_Updated'!BE129</f>
        <v>0</v>
      </c>
      <c r="F40" s="527">
        <f ca="1">'Merger Model_Updated'!BF129</f>
        <v>0</v>
      </c>
      <c r="G40" s="479">
        <f ca="1">'Merger Model_Updated'!BG129</f>
        <v>0</v>
      </c>
      <c r="H40" s="479">
        <f ca="1">'Merger Model_Updated'!BH129</f>
        <v>0</v>
      </c>
      <c r="I40" s="479">
        <f ca="1">'Merger Model_Updated'!BI129</f>
        <v>0</v>
      </c>
      <c r="J40" s="479">
        <f ca="1">'Merger Model_Updated'!BJ129</f>
        <v>0</v>
      </c>
      <c r="K40" s="479">
        <f ca="1">'Merger Model_Updated'!BK129</f>
        <v>0</v>
      </c>
      <c r="L40" s="479">
        <f ca="1">'Merger Model_Updated'!BL129</f>
        <v>0</v>
      </c>
      <c r="M40" s="479">
        <f ca="1">'Merger Model_Updated'!BM129</f>
        <v>0</v>
      </c>
      <c r="N40" s="479">
        <f ca="1">'Merger Model_Updated'!BN129</f>
        <v>0</v>
      </c>
      <c r="O40" s="479">
        <f ca="1">'Merger Model_Updated'!BO129</f>
        <v>0</v>
      </c>
      <c r="P40" s="496">
        <f ca="1">'Merger Model_Updated'!BP129</f>
        <v>0</v>
      </c>
    </row>
    <row r="41" spans="1:16">
      <c r="A41" s="500" t="str">
        <f>'Merger Model_Updated'!C130</f>
        <v>Repayment of debt</v>
      </c>
      <c r="B41" s="479">
        <f>'Merger Model_Updated'!BB130</f>
        <v>0</v>
      </c>
      <c r="C41" s="479">
        <f ca="1">'Merger Model_Updated'!BC130</f>
        <v>-856.19902125122576</v>
      </c>
      <c r="D41" s="479">
        <f ca="1">'Merger Model_Updated'!BD130</f>
        <v>-387.71397931354227</v>
      </c>
      <c r="E41" s="479">
        <f ca="1">'Merger Model_Updated'!BE130</f>
        <v>0</v>
      </c>
      <c r="F41" s="527">
        <f ca="1">'Merger Model_Updated'!BF130</f>
        <v>0</v>
      </c>
      <c r="G41" s="479">
        <f ca="1">'Merger Model_Updated'!BG130</f>
        <v>0</v>
      </c>
      <c r="H41" s="479">
        <f ca="1">'Merger Model_Updated'!BH130</f>
        <v>0</v>
      </c>
      <c r="I41" s="479">
        <f ca="1">'Merger Model_Updated'!BI130</f>
        <v>0</v>
      </c>
      <c r="J41" s="479">
        <f ca="1">'Merger Model_Updated'!BJ130</f>
        <v>0</v>
      </c>
      <c r="K41" s="479">
        <f ca="1">'Merger Model_Updated'!BK130</f>
        <v>0</v>
      </c>
      <c r="L41" s="479">
        <f ca="1">'Merger Model_Updated'!BL130</f>
        <v>0</v>
      </c>
      <c r="M41" s="479">
        <f ca="1">'Merger Model_Updated'!BM130</f>
        <v>0</v>
      </c>
      <c r="N41" s="479">
        <f ca="1">'Merger Model_Updated'!BN130</f>
        <v>0</v>
      </c>
      <c r="O41" s="479">
        <f ca="1">'Merger Model_Updated'!BO130</f>
        <v>0</v>
      </c>
      <c r="P41" s="496">
        <f ca="1">'Merger Model_Updated'!BP130</f>
        <v>0</v>
      </c>
    </row>
    <row r="42" spans="1:16">
      <c r="A42" s="499" t="str">
        <f>'Merger Model_Updated'!C131</f>
        <v>EoP</v>
      </c>
      <c r="B42" s="479">
        <f ca="1">'Merger Model_Updated'!BB131</f>
        <v>1243.913000564768</v>
      </c>
      <c r="C42" s="479">
        <f ca="1">'Merger Model_Updated'!BC131</f>
        <v>387.71397931354227</v>
      </c>
      <c r="D42" s="479">
        <f ca="1">'Merger Model_Updated'!BD131</f>
        <v>0</v>
      </c>
      <c r="E42" s="479">
        <f ca="1">'Merger Model_Updated'!BE131</f>
        <v>0</v>
      </c>
      <c r="F42" s="527">
        <f ca="1">'Merger Model_Updated'!BF131</f>
        <v>0</v>
      </c>
      <c r="G42" s="479">
        <f ca="1">'Merger Model_Updated'!BG131</f>
        <v>0</v>
      </c>
      <c r="H42" s="479">
        <f ca="1">'Merger Model_Updated'!BH131</f>
        <v>0</v>
      </c>
      <c r="I42" s="479">
        <f ca="1">'Merger Model_Updated'!BI131</f>
        <v>0</v>
      </c>
      <c r="J42" s="479">
        <f ca="1">'Merger Model_Updated'!BJ131</f>
        <v>0</v>
      </c>
      <c r="K42" s="479">
        <f ca="1">'Merger Model_Updated'!BK131</f>
        <v>0</v>
      </c>
      <c r="L42" s="479">
        <f ca="1">'Merger Model_Updated'!BL131</f>
        <v>0</v>
      </c>
      <c r="M42" s="479">
        <f ca="1">'Merger Model_Updated'!BM131</f>
        <v>0</v>
      </c>
      <c r="N42" s="479">
        <f ca="1">'Merger Model_Updated'!BN131</f>
        <v>0</v>
      </c>
      <c r="O42" s="479">
        <f ca="1">'Merger Model_Updated'!BO131</f>
        <v>0</v>
      </c>
      <c r="P42" s="496">
        <f ca="1">'Merger Model_Updated'!BP131</f>
        <v>0</v>
      </c>
    </row>
    <row r="43" spans="1:16">
      <c r="A43" s="489"/>
      <c r="B43" s="479"/>
      <c r="C43" s="479"/>
      <c r="D43" s="479"/>
      <c r="E43" s="479"/>
      <c r="F43" s="527"/>
      <c r="G43" s="479"/>
      <c r="H43" s="479"/>
      <c r="I43" s="479"/>
      <c r="J43" s="479"/>
      <c r="K43" s="479"/>
      <c r="L43" s="479"/>
      <c r="M43" s="479"/>
      <c r="N43" s="479"/>
      <c r="O43" s="479"/>
      <c r="P43" s="496"/>
    </row>
    <row r="44" spans="1:16">
      <c r="A44" s="529" t="str">
        <f>'Merger Model_Updated'!C133</f>
        <v>Interest expenses</v>
      </c>
      <c r="B44" s="480">
        <f ca="1">'Merger Model_Updated'!BB133</f>
        <v>-15.548912507059601</v>
      </c>
      <c r="C44" s="480">
        <f ca="1">'Merger Model_Updated'!BC133</f>
        <v>-20.395337248478882</v>
      </c>
      <c r="D44" s="480">
        <f ca="1">'Merger Model_Updated'!BD133</f>
        <v>-4.8464247414192787</v>
      </c>
      <c r="E44" s="480">
        <f ca="1">'Merger Model_Updated'!BE133</f>
        <v>0</v>
      </c>
      <c r="F44" s="523">
        <f ca="1">'Merger Model_Updated'!BF133</f>
        <v>0</v>
      </c>
      <c r="G44" s="480">
        <f ca="1">'Merger Model_Updated'!BG133</f>
        <v>0</v>
      </c>
      <c r="H44" s="480">
        <f ca="1">'Merger Model_Updated'!BH133</f>
        <v>0</v>
      </c>
      <c r="I44" s="480">
        <f ca="1">'Merger Model_Updated'!BI133</f>
        <v>0</v>
      </c>
      <c r="J44" s="480">
        <f ca="1">'Merger Model_Updated'!BJ133</f>
        <v>0</v>
      </c>
      <c r="K44" s="480">
        <f ca="1">'Merger Model_Updated'!BK133</f>
        <v>0</v>
      </c>
      <c r="L44" s="480">
        <f ca="1">'Merger Model_Updated'!BL133</f>
        <v>0</v>
      </c>
      <c r="M44" s="480">
        <f ca="1">'Merger Model_Updated'!BM133</f>
        <v>0</v>
      </c>
      <c r="N44" s="480">
        <f ca="1">'Merger Model_Updated'!BN133</f>
        <v>0</v>
      </c>
      <c r="O44" s="480">
        <f ca="1">'Merger Model_Updated'!BO133</f>
        <v>0</v>
      </c>
      <c r="P44" s="501">
        <f ca="1">'Merger Model_Updated'!BP133</f>
        <v>0</v>
      </c>
    </row>
    <row r="45" spans="1:16">
      <c r="A45" s="482"/>
      <c r="B45" s="479"/>
      <c r="C45" s="479"/>
      <c r="D45" s="479"/>
      <c r="E45" s="479"/>
      <c r="F45" s="527"/>
      <c r="G45" s="479"/>
      <c r="H45" s="479"/>
      <c r="I45" s="479"/>
      <c r="J45" s="479"/>
      <c r="K45" s="479"/>
      <c r="L45" s="479"/>
      <c r="M45" s="479"/>
      <c r="N45" s="479"/>
      <c r="O45" s="479"/>
      <c r="P45" s="496"/>
    </row>
    <row r="46" spans="1:16">
      <c r="A46" s="498" t="str">
        <f>'Merger Model_Updated'!C135</f>
        <v>Debt Schedule - Merger Loan</v>
      </c>
      <c r="B46" s="479"/>
      <c r="C46" s="479"/>
      <c r="D46" s="479"/>
      <c r="E46" s="479"/>
      <c r="F46" s="527"/>
      <c r="G46" s="479"/>
      <c r="H46" s="479"/>
      <c r="I46" s="479"/>
      <c r="J46" s="479"/>
      <c r="K46" s="479"/>
      <c r="L46" s="479"/>
      <c r="M46" s="479"/>
      <c r="N46" s="479"/>
      <c r="O46" s="479"/>
      <c r="P46" s="496"/>
    </row>
    <row r="47" spans="1:16">
      <c r="A47" s="499" t="str">
        <f>'Merger Model_Updated'!C137</f>
        <v>BoP</v>
      </c>
      <c r="B47" s="479">
        <f>'Merger Model_Updated'!BB137</f>
        <v>0</v>
      </c>
      <c r="C47" s="479">
        <f>'Merger Model_Updated'!BC137</f>
        <v>5749.4016000000001</v>
      </c>
      <c r="D47" s="479">
        <f ca="1">'Merger Model_Updated'!BD137</f>
        <v>5492.5418936246324</v>
      </c>
      <c r="E47" s="479">
        <f ca="1">'Merger Model_Updated'!BE137</f>
        <v>4820.0897633409968</v>
      </c>
      <c r="F47" s="527">
        <f ca="1">'Merger Model_Updated'!BF137</f>
        <v>3742.8179279138403</v>
      </c>
      <c r="G47" s="479">
        <f ca="1">'Merger Model_Updated'!BG137</f>
        <v>2590.1790506234938</v>
      </c>
      <c r="H47" s="479">
        <f ca="1">'Merger Model_Updated'!BH137</f>
        <v>1362.3777874571567</v>
      </c>
      <c r="I47" s="479">
        <f ca="1">'Merger Model_Updated'!BI137</f>
        <v>408.71333623714713</v>
      </c>
      <c r="J47" s="479">
        <f ca="1">'Merger Model_Updated'!BJ137</f>
        <v>122.61400087114419</v>
      </c>
      <c r="K47" s="479">
        <f ca="1">'Merger Model_Updated'!BK137</f>
        <v>36.784200261343258</v>
      </c>
      <c r="L47" s="479">
        <f ca="1">'Merger Model_Updated'!BL137</f>
        <v>11.035260078402978</v>
      </c>
      <c r="M47" s="479">
        <f ca="1">'Merger Model_Updated'!BM137</f>
        <v>3.3105780235208941</v>
      </c>
      <c r="N47" s="479">
        <f ca="1">'Merger Model_Updated'!BN137</f>
        <v>0.99317340705626833</v>
      </c>
      <c r="O47" s="479">
        <f ca="1">'Merger Model_Updated'!BO137</f>
        <v>0.29795202211688054</v>
      </c>
      <c r="P47" s="496">
        <f ca="1">'Merger Model_Updated'!BP137</f>
        <v>8.9385606635064174E-2</v>
      </c>
    </row>
    <row r="48" spans="1:16">
      <c r="A48" s="500" t="str">
        <f>'Merger Model_Updated'!C138</f>
        <v>Repayment of debt</v>
      </c>
      <c r="B48" s="479">
        <f>'Merger Model_Updated'!BB138</f>
        <v>0</v>
      </c>
      <c r="C48" s="479">
        <f ca="1">'Merger Model_Updated'!BC138</f>
        <v>-256.85970637536781</v>
      </c>
      <c r="D48" s="479">
        <f ca="1">'Merger Model_Updated'!BD138</f>
        <v>-672.45213028363526</v>
      </c>
      <c r="E48" s="479">
        <f ca="1">'Merger Model_Updated'!BE138</f>
        <v>-1077.2718354271567</v>
      </c>
      <c r="F48" s="527">
        <f ca="1">'Merger Model_Updated'!BF138</f>
        <v>-1152.6388772903463</v>
      </c>
      <c r="G48" s="479">
        <f ca="1">'Merger Model_Updated'!BG138</f>
        <v>-1227.8012631663371</v>
      </c>
      <c r="H48" s="479">
        <f ca="1">'Merger Model_Updated'!BH138</f>
        <v>-953.6644512200096</v>
      </c>
      <c r="I48" s="479">
        <f ca="1">'Merger Model_Updated'!BI138</f>
        <v>-286.09933536600295</v>
      </c>
      <c r="J48" s="479">
        <f ca="1">'Merger Model_Updated'!BJ138</f>
        <v>-85.829800609800927</v>
      </c>
      <c r="K48" s="479">
        <f ca="1">'Merger Model_Updated'!BK138</f>
        <v>-25.748940182940281</v>
      </c>
      <c r="L48" s="479">
        <f ca="1">'Merger Model_Updated'!BL138</f>
        <v>-7.7246820548820834</v>
      </c>
      <c r="M48" s="479">
        <f ca="1">'Merger Model_Updated'!BM138</f>
        <v>-2.3174046164646258</v>
      </c>
      <c r="N48" s="479">
        <f ca="1">'Merger Model_Updated'!BN138</f>
        <v>-0.69522138493938779</v>
      </c>
      <c r="O48" s="479">
        <f ca="1">'Merger Model_Updated'!BO138</f>
        <v>-0.20856641548181637</v>
      </c>
      <c r="P48" s="496">
        <f ca="1">'Merger Model_Updated'!BP138</f>
        <v>-6.2569924644544916E-2</v>
      </c>
    </row>
    <row r="49" spans="1:16">
      <c r="A49" s="499" t="str">
        <f>'Merger Model_Updated'!C139</f>
        <v>EoP</v>
      </c>
      <c r="B49" s="479">
        <f>'Merger Model_Updated'!BB139</f>
        <v>5749.4016000000001</v>
      </c>
      <c r="C49" s="479">
        <f ca="1">'Merger Model_Updated'!BC139</f>
        <v>5492.5418936246324</v>
      </c>
      <c r="D49" s="479">
        <f ca="1">'Merger Model_Updated'!BD139</f>
        <v>4820.0897633409968</v>
      </c>
      <c r="E49" s="479">
        <f ca="1">'Merger Model_Updated'!BE139</f>
        <v>3742.8179279138403</v>
      </c>
      <c r="F49" s="527">
        <f ca="1">'Merger Model_Updated'!BF139</f>
        <v>2590.1790506234938</v>
      </c>
      <c r="G49" s="479">
        <f ca="1">'Merger Model_Updated'!BG139</f>
        <v>1362.3777874571567</v>
      </c>
      <c r="H49" s="479">
        <f ca="1">'Merger Model_Updated'!BH139</f>
        <v>408.71333623714713</v>
      </c>
      <c r="I49" s="479">
        <f ca="1">'Merger Model_Updated'!BI139</f>
        <v>122.61400087114419</v>
      </c>
      <c r="J49" s="479">
        <f ca="1">'Merger Model_Updated'!BJ139</f>
        <v>36.784200261343258</v>
      </c>
      <c r="K49" s="479">
        <f ca="1">'Merger Model_Updated'!BK139</f>
        <v>11.035260078402978</v>
      </c>
      <c r="L49" s="479">
        <f ca="1">'Merger Model_Updated'!BL139</f>
        <v>3.3105780235208941</v>
      </c>
      <c r="M49" s="479">
        <f ca="1">'Merger Model_Updated'!BM139</f>
        <v>0.99317340705626833</v>
      </c>
      <c r="N49" s="479">
        <f ca="1">'Merger Model_Updated'!BN139</f>
        <v>0.29795202211688054</v>
      </c>
      <c r="O49" s="479">
        <f ca="1">'Merger Model_Updated'!BO139</f>
        <v>8.9385606635064174E-2</v>
      </c>
      <c r="P49" s="496">
        <f ca="1">'Merger Model_Updated'!BP139</f>
        <v>2.6815681990519258E-2</v>
      </c>
    </row>
    <row r="50" spans="1:16">
      <c r="A50" s="489"/>
      <c r="B50" s="479"/>
      <c r="C50" s="479"/>
      <c r="D50" s="479"/>
      <c r="E50" s="479"/>
      <c r="F50" s="527"/>
      <c r="G50" s="479"/>
      <c r="H50" s="479"/>
      <c r="I50" s="479"/>
      <c r="J50" s="479"/>
      <c r="K50" s="479"/>
      <c r="L50" s="479"/>
      <c r="M50" s="479"/>
      <c r="N50" s="479"/>
      <c r="O50" s="479"/>
      <c r="P50" s="496"/>
    </row>
    <row r="51" spans="1:16" ht="15" thickBot="1">
      <c r="A51" s="531" t="str">
        <f>'Merger Model_Updated'!C141</f>
        <v>Interest expenses</v>
      </c>
      <c r="B51" s="532">
        <f>'Merger Model_Updated'!BB141</f>
        <v>-114.988032</v>
      </c>
      <c r="C51" s="532">
        <f ca="1">'Merger Model_Updated'!BC141</f>
        <v>-224.83886987249267</v>
      </c>
      <c r="D51" s="532">
        <f ca="1">'Merger Model_Updated'!BD141</f>
        <v>-206.25263313931259</v>
      </c>
      <c r="E51" s="532">
        <f ca="1">'Merger Model_Updated'!BE141</f>
        <v>-171.25815382509674</v>
      </c>
      <c r="F51" s="533">
        <f ca="1">'Merger Model_Updated'!BF141</f>
        <v>-126.65993957074669</v>
      </c>
      <c r="G51" s="532">
        <f ca="1">'Merger Model_Updated'!BG141</f>
        <v>-79.051136761613023</v>
      </c>
      <c r="H51" s="532">
        <f ca="1">'Merger Model_Updated'!BH141</f>
        <v>-35.421822473886081</v>
      </c>
      <c r="I51" s="532">
        <f ca="1">'Merger Model_Updated'!BI141</f>
        <v>-10.626546742165827</v>
      </c>
      <c r="J51" s="532">
        <f ca="1">'Merger Model_Updated'!BJ141</f>
        <v>-3.1879640226497488</v>
      </c>
      <c r="K51" s="532">
        <f ca="1">'Merger Model_Updated'!BK141</f>
        <v>-0.95638920679492478</v>
      </c>
      <c r="L51" s="532">
        <f ca="1">'Merger Model_Updated'!BL141</f>
        <v>-0.28691676203847744</v>
      </c>
      <c r="M51" s="532">
        <f ca="1">'Merger Model_Updated'!BM141</f>
        <v>-8.6075028611543244E-2</v>
      </c>
      <c r="N51" s="532">
        <f ca="1">'Merger Model_Updated'!BN141</f>
        <v>-2.5822508583462977E-2</v>
      </c>
      <c r="O51" s="532">
        <f ca="1">'Merger Model_Updated'!BO141</f>
        <v>-7.746752575038895E-3</v>
      </c>
      <c r="P51" s="534">
        <f ca="1">'Merger Model_Updated'!BP141</f>
        <v>-2.3240257725116687E-3</v>
      </c>
    </row>
    <row r="52" spans="1:16">
      <c r="B52" s="479"/>
      <c r="C52" s="479"/>
      <c r="D52" s="479"/>
      <c r="E52" s="479"/>
      <c r="F52" s="479"/>
      <c r="G52" s="479"/>
      <c r="H52" s="479"/>
      <c r="I52" s="479"/>
      <c r="J52" s="479"/>
      <c r="K52" s="479"/>
      <c r="L52" s="479"/>
      <c r="M52" s="479"/>
      <c r="N52" s="479"/>
      <c r="O52" s="479"/>
      <c r="P52" s="479"/>
    </row>
    <row r="53" spans="1:16">
      <c r="B53" s="479"/>
      <c r="C53" s="479"/>
      <c r="D53" s="479"/>
      <c r="E53" s="479"/>
      <c r="F53" s="479"/>
      <c r="G53" s="479"/>
      <c r="H53" s="479"/>
      <c r="I53" s="479"/>
      <c r="J53" s="479"/>
      <c r="K53" s="479"/>
      <c r="L53" s="479"/>
      <c r="M53" s="479"/>
      <c r="N53" s="479"/>
      <c r="O53" s="479"/>
      <c r="P53" s="479"/>
    </row>
  </sheetData>
  <mergeCells count="1">
    <mergeCell ref="B1:P1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CD80-42A9-5849-9713-F565F0A34046}">
  <sheetPr>
    <tabColor rgb="FF0000FF"/>
  </sheetPr>
  <dimension ref="B6:B10"/>
  <sheetViews>
    <sheetView showGridLines="0" showRowColHeaders="0" workbookViewId="0">
      <selection activeCell="L24" sqref="L24"/>
    </sheetView>
  </sheetViews>
  <sheetFormatPr defaultColWidth="11.44140625" defaultRowHeight="14.4"/>
  <sheetData>
    <row r="6" spans="2:2" ht="16.8">
      <c r="B6" s="465" t="s">
        <v>397</v>
      </c>
    </row>
    <row r="8" spans="2:2" ht="15.6">
      <c r="B8" s="467" t="s">
        <v>398</v>
      </c>
    </row>
    <row r="10" spans="2:2" ht="15.6">
      <c r="B10" s="467" t="s">
        <v>401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3F93F-F4B4-554E-B8E6-DBDB021563B2}">
  <sheetPr>
    <tabColor rgb="FFFF0000"/>
  </sheetPr>
  <dimension ref="A1"/>
  <sheetViews>
    <sheetView workbookViewId="0">
      <selection activeCell="J15" sqref="J15"/>
    </sheetView>
  </sheetViews>
  <sheetFormatPr defaultColWidth="11.44140625" defaultRowHeight="14.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E60F8-A546-48EA-BAFD-D02441DBCF68}">
  <sheetPr>
    <outlinePr summaryBelow="0"/>
  </sheetPr>
  <dimension ref="A1:CI35"/>
  <sheetViews>
    <sheetView showGridLines="0" zoomScale="86" zoomScaleNormal="86" workbookViewId="0">
      <pane xSplit="3" ySplit="5" topLeftCell="H6" activePane="bottomRight" state="frozen"/>
      <selection pane="topRight" activeCell="D1" sqref="D1"/>
      <selection pane="bottomLeft" activeCell="A5" sqref="A5"/>
      <selection pane="bottomRight" activeCell="BP29" sqref="BP29"/>
    </sheetView>
  </sheetViews>
  <sheetFormatPr defaultColWidth="8.109375" defaultRowHeight="13.8" outlineLevelCol="1"/>
  <cols>
    <col min="1" max="2" width="0.6640625" style="1" customWidth="1"/>
    <col min="3" max="3" width="39.109375" style="1" customWidth="1"/>
    <col min="4" max="7" width="10.44140625" style="1" hidden="1" customWidth="1" outlineLevel="1"/>
    <col min="8" max="8" width="10.44140625" style="1" customWidth="1" collapsed="1"/>
    <col min="9" max="12" width="10.44140625" style="1" hidden="1" customWidth="1" outlineLevel="1"/>
    <col min="13" max="13" width="10.44140625" style="1" customWidth="1" collapsed="1"/>
    <col min="14" max="17" width="10.44140625" style="1" hidden="1" customWidth="1" outlineLevel="1"/>
    <col min="18" max="18" width="10.44140625" style="1" customWidth="1" collapsed="1"/>
    <col min="19" max="22" width="10.44140625" style="1" hidden="1" customWidth="1" outlineLevel="1"/>
    <col min="23" max="23" width="10.44140625" style="1" customWidth="1" collapsed="1"/>
    <col min="24" max="27" width="10.44140625" style="1" hidden="1" customWidth="1" outlineLevel="1"/>
    <col min="28" max="28" width="10.44140625" style="1" customWidth="1" collapsed="1"/>
    <col min="29" max="32" width="10.44140625" style="1" hidden="1" customWidth="1" outlineLevel="1"/>
    <col min="33" max="33" width="10.44140625" style="1" customWidth="1" collapsed="1"/>
    <col min="34" max="37" width="10.44140625" style="1" hidden="1" customWidth="1" outlineLevel="1"/>
    <col min="38" max="38" width="10.44140625" style="1" customWidth="1" collapsed="1"/>
    <col min="39" max="42" width="10.44140625" style="1" hidden="1" customWidth="1" outlineLevel="1"/>
    <col min="43" max="43" width="10.44140625" style="1" customWidth="1" collapsed="1"/>
    <col min="44" max="47" width="10.44140625" style="1" hidden="1" customWidth="1" outlineLevel="1"/>
    <col min="48" max="48" width="10.44140625" style="1" customWidth="1" collapsed="1"/>
    <col min="49" max="52" width="10.44140625" style="1" hidden="1" customWidth="1" outlineLevel="1"/>
    <col min="53" max="53" width="10.44140625" style="1" customWidth="1" collapsed="1"/>
    <col min="54" max="57" width="10.44140625" style="1" hidden="1" customWidth="1" outlineLevel="1"/>
    <col min="58" max="58" width="10.44140625" style="1" customWidth="1" collapsed="1"/>
    <col min="59" max="62" width="10.44140625" style="1" hidden="1" customWidth="1" outlineLevel="1"/>
    <col min="63" max="63" width="10.44140625" style="1" customWidth="1" collapsed="1"/>
    <col min="64" max="67" width="10.44140625" style="1" hidden="1" customWidth="1" outlineLevel="1"/>
    <col min="68" max="68" width="10.44140625" style="1" customWidth="1" collapsed="1"/>
    <col min="69" max="126" width="10.44140625" style="1" customWidth="1"/>
    <col min="127" max="16384" width="8.109375" style="1"/>
  </cols>
  <sheetData>
    <row r="1" spans="1:87" ht="5.25" customHeight="1"/>
    <row r="2" spans="1:87" ht="5.25" customHeight="1"/>
    <row r="3" spans="1:87" ht="14.4">
      <c r="B3" s="169"/>
      <c r="C3" s="180" t="s">
        <v>97</v>
      </c>
      <c r="D3" s="169" t="s">
        <v>147</v>
      </c>
      <c r="E3" s="169" t="s">
        <v>148</v>
      </c>
      <c r="F3" s="169" t="s">
        <v>149</v>
      </c>
      <c r="G3" s="169" t="s">
        <v>150</v>
      </c>
      <c r="H3" s="178">
        <v>2009</v>
      </c>
      <c r="I3" s="169" t="s">
        <v>151</v>
      </c>
      <c r="J3" s="169" t="s">
        <v>152</v>
      </c>
      <c r="K3" s="169" t="s">
        <v>153</v>
      </c>
      <c r="L3" s="169" t="s">
        <v>154</v>
      </c>
      <c r="M3" s="178">
        <v>2010</v>
      </c>
      <c r="N3" s="169" t="s">
        <v>2</v>
      </c>
      <c r="O3" s="169" t="s">
        <v>3</v>
      </c>
      <c r="P3" s="169" t="s">
        <v>4</v>
      </c>
      <c r="Q3" s="169" t="s">
        <v>5</v>
      </c>
      <c r="R3" s="178">
        <v>2011</v>
      </c>
      <c r="S3" s="169" t="s">
        <v>6</v>
      </c>
      <c r="T3" s="169" t="s">
        <v>7</v>
      </c>
      <c r="U3" s="169" t="s">
        <v>8</v>
      </c>
      <c r="V3" s="169" t="s">
        <v>9</v>
      </c>
      <c r="W3" s="178">
        <v>2012</v>
      </c>
      <c r="X3" s="169" t="s">
        <v>10</v>
      </c>
      <c r="Y3" s="169" t="s">
        <v>11</v>
      </c>
      <c r="Z3" s="169" t="s">
        <v>12</v>
      </c>
      <c r="AA3" s="169" t="s">
        <v>13</v>
      </c>
      <c r="AB3" s="178">
        <v>2013</v>
      </c>
      <c r="AC3" s="169" t="s">
        <v>14</v>
      </c>
      <c r="AD3" s="169" t="s">
        <v>15</v>
      </c>
      <c r="AE3" s="169" t="s">
        <v>16</v>
      </c>
      <c r="AF3" s="169" t="s">
        <v>17</v>
      </c>
      <c r="AG3" s="178">
        <v>2014</v>
      </c>
      <c r="AH3" s="169" t="s">
        <v>18</v>
      </c>
      <c r="AI3" s="169" t="s">
        <v>19</v>
      </c>
      <c r="AJ3" s="169" t="s">
        <v>20</v>
      </c>
      <c r="AK3" s="169" t="s">
        <v>21</v>
      </c>
      <c r="AL3" s="178">
        <v>2015</v>
      </c>
      <c r="AM3" s="169" t="s">
        <v>22</v>
      </c>
      <c r="AN3" s="169" t="s">
        <v>23</v>
      </c>
      <c r="AO3" s="169" t="s">
        <v>24</v>
      </c>
      <c r="AP3" s="169" t="s">
        <v>25</v>
      </c>
      <c r="AQ3" s="178">
        <v>2016</v>
      </c>
      <c r="AR3" s="169" t="s">
        <v>26</v>
      </c>
      <c r="AS3" s="169" t="s">
        <v>27</v>
      </c>
      <c r="AT3" s="169" t="s">
        <v>28</v>
      </c>
      <c r="AU3" s="169" t="s">
        <v>29</v>
      </c>
      <c r="AV3" s="178">
        <v>2017</v>
      </c>
      <c r="AW3" s="169" t="s">
        <v>30</v>
      </c>
      <c r="AX3" s="169" t="s">
        <v>31</v>
      </c>
      <c r="AY3" s="169" t="s">
        <v>32</v>
      </c>
      <c r="AZ3" s="169" t="s">
        <v>33</v>
      </c>
      <c r="BA3" s="178">
        <v>2018</v>
      </c>
      <c r="BB3" s="169" t="s">
        <v>34</v>
      </c>
      <c r="BC3" s="169" t="s">
        <v>35</v>
      </c>
      <c r="BD3" s="169" t="s">
        <v>36</v>
      </c>
      <c r="BE3" s="169" t="s">
        <v>37</v>
      </c>
      <c r="BF3" s="178">
        <v>2019</v>
      </c>
      <c r="BG3" s="169" t="s">
        <v>38</v>
      </c>
      <c r="BH3" s="169" t="s">
        <v>39</v>
      </c>
      <c r="BI3" s="169" t="s">
        <v>40</v>
      </c>
      <c r="BJ3" s="169" t="s">
        <v>41</v>
      </c>
      <c r="BK3" s="178">
        <v>2020</v>
      </c>
      <c r="BL3" s="169" t="s">
        <v>173</v>
      </c>
      <c r="BM3" s="178" t="s">
        <v>174</v>
      </c>
      <c r="BN3" s="178" t="s">
        <v>175</v>
      </c>
      <c r="BO3" s="178" t="s">
        <v>176</v>
      </c>
      <c r="BP3" s="178">
        <v>2021</v>
      </c>
      <c r="BQ3" s="178">
        <v>2022</v>
      </c>
      <c r="BR3" s="178">
        <v>2023</v>
      </c>
      <c r="BS3" s="178">
        <v>2024</v>
      </c>
      <c r="BT3" s="178">
        <v>2025</v>
      </c>
      <c r="BU3" s="178">
        <v>2026</v>
      </c>
      <c r="BV3" s="178">
        <v>2027</v>
      </c>
      <c r="BW3" s="178">
        <v>2028</v>
      </c>
      <c r="BX3" s="178">
        <v>2029</v>
      </c>
      <c r="BY3" s="178">
        <v>2030</v>
      </c>
      <c r="BZ3" s="178">
        <v>2031</v>
      </c>
      <c r="CA3" s="178">
        <v>2032</v>
      </c>
      <c r="CB3" s="178">
        <v>2033</v>
      </c>
      <c r="CC3" s="178">
        <v>2034</v>
      </c>
      <c r="CD3" s="178">
        <v>2035</v>
      </c>
    </row>
    <row r="4" spans="1:87">
      <c r="B4" s="3"/>
      <c r="C4" s="4" t="s">
        <v>42</v>
      </c>
      <c r="D4" s="141"/>
      <c r="E4" s="141"/>
      <c r="F4" s="141"/>
      <c r="G4" s="141"/>
      <c r="H4" s="6"/>
      <c r="I4" s="5"/>
      <c r="J4" s="5"/>
      <c r="K4" s="5"/>
      <c r="L4" s="5"/>
      <c r="M4" s="6"/>
      <c r="N4" s="5">
        <f>'Cintas PNL'!D3</f>
        <v>50.595999999999997</v>
      </c>
      <c r="O4" s="5">
        <f>'Cintas PNL'!E3</f>
        <v>64.283000000000001</v>
      </c>
      <c r="P4" s="5">
        <f>'Cintas PNL'!F3</f>
        <v>73.007999999999996</v>
      </c>
      <c r="Q4" s="5">
        <f>'Cintas PNL'!G3</f>
        <v>83.25200000000001</v>
      </c>
      <c r="R4" s="6">
        <f>'Cintas PNL'!H3</f>
        <v>271.13900000000001</v>
      </c>
      <c r="S4" s="5">
        <f>'Cintas PNL'!I3</f>
        <v>102.53</v>
      </c>
      <c r="T4" s="5">
        <f>'Cintas PNL'!J3</f>
        <v>129.53900000000002</v>
      </c>
      <c r="U4" s="5">
        <f>'Cintas PNL'!K3</f>
        <v>175.51499999999999</v>
      </c>
      <c r="V4" s="5">
        <f>'Cintas PNL'!L3</f>
        <v>183.703</v>
      </c>
      <c r="W4" s="6">
        <f>'Cintas PNL'!M3</f>
        <v>591.28700000000003</v>
      </c>
      <c r="X4" s="5">
        <f>'Cintas PNL'!N3</f>
        <v>196.23699999999999</v>
      </c>
      <c r="Y4" s="5">
        <f>'Cintas PNL'!O3</f>
        <v>208.25199999999998</v>
      </c>
      <c r="Z4" s="5">
        <f>'Cintas PNL'!P3</f>
        <v>232.16</v>
      </c>
      <c r="AA4" s="5">
        <f>'Cintas PNL'!Q3</f>
        <v>235.774</v>
      </c>
      <c r="AB4" s="6">
        <f>'Cintas PNL'!R3</f>
        <v>872.423</v>
      </c>
      <c r="AC4" s="5">
        <f>'Cintas PNL'!S3</f>
        <v>246.91899999999998</v>
      </c>
      <c r="AD4" s="5">
        <f>'Cintas PNL'!T3</f>
        <v>291.23</v>
      </c>
      <c r="AE4" s="5">
        <f>'Cintas PNL'!U3</f>
        <v>306.584</v>
      </c>
      <c r="AF4" s="5">
        <f>'Cintas PNL'!V3</f>
        <v>328.142</v>
      </c>
      <c r="AG4" s="6">
        <f>'Cintas PNL'!W3</f>
        <v>1172.875</v>
      </c>
      <c r="AH4" s="5">
        <f>'Cintas PNL'!X3</f>
        <v>309.303</v>
      </c>
      <c r="AI4" s="5">
        <f>'Cintas PNL'!Y3</f>
        <v>333.74700000000001</v>
      </c>
      <c r="AJ4" s="5">
        <f>'Cintas PNL'!Z3</f>
        <v>340.87200000000001</v>
      </c>
      <c r="AK4" s="5">
        <f>'Cintas PNL'!AA3</f>
        <v>340.88099999999997</v>
      </c>
      <c r="AL4" s="6">
        <f>'Cintas PNL'!AB3</f>
        <v>1324.8029999999999</v>
      </c>
      <c r="AM4" s="5">
        <f>'Cintas PNL'!AC3</f>
        <v>336.01</v>
      </c>
      <c r="AN4" s="5">
        <f>'Cintas PNL'!AD3</f>
        <v>381.161</v>
      </c>
      <c r="AO4" s="5">
        <f>'Cintas PNL'!AE3</f>
        <v>374.18099999999998</v>
      </c>
      <c r="AP4" s="5">
        <f>'Cintas PNL'!AF3</f>
        <v>396.62099999999998</v>
      </c>
      <c r="AQ4" s="6">
        <f>'Cintas PNL'!AG3</f>
        <v>1487.973</v>
      </c>
      <c r="AR4" s="5">
        <f>'Cintas PNL'!AH3</f>
        <v>376.053</v>
      </c>
      <c r="AS4" s="5">
        <f>'Cintas PNL'!AI3</f>
        <v>394.38599999999997</v>
      </c>
      <c r="AT4" s="5">
        <f>'Cintas PNL'!AJ3</f>
        <v>411.85500000000002</v>
      </c>
      <c r="AU4" s="5">
        <f>'Cintas PNL'!AK3</f>
        <v>436.399</v>
      </c>
      <c r="AV4" s="6">
        <f>'Cintas PNL'!AL3</f>
        <v>1618.6929999999998</v>
      </c>
      <c r="AW4" s="5">
        <f>'Cintas PNL'!AM3</f>
        <v>444.613</v>
      </c>
      <c r="AX4" s="5">
        <f>'Cintas PNL'!AN3</f>
        <v>500.47900000000004</v>
      </c>
      <c r="AY4" s="5">
        <f>'Cintas PNL'!AO3</f>
        <v>469.37299999999999</v>
      </c>
      <c r="AZ4" s="5">
        <f>'Cintas PNL'!AP3</f>
        <v>476.45699999999999</v>
      </c>
      <c r="BA4" s="6">
        <f>'Cintas PNL'!AQ3</f>
        <v>1890.9220000000003</v>
      </c>
      <c r="BB4" s="5">
        <f>'Cintas PNL'!AR3</f>
        <v>508.18600000000004</v>
      </c>
      <c r="BC4" s="5">
        <f>'Cintas PNL'!AS3</f>
        <v>534.13300000000004</v>
      </c>
      <c r="BD4" s="5">
        <f>'Cintas PNL'!AT3</f>
        <v>537.702</v>
      </c>
      <c r="BE4" s="5">
        <f>'Cintas PNL'!AU3</f>
        <v>581.74</v>
      </c>
      <c r="BF4" s="6">
        <f>'Cintas PNL'!AV3</f>
        <v>2161.7609999999995</v>
      </c>
      <c r="BG4" s="5">
        <f>'Cintas PNL'!AW3</f>
        <v>534.726</v>
      </c>
      <c r="BH4" s="5">
        <f>'Cintas PNL'!AX3</f>
        <v>562.43599999999992</v>
      </c>
      <c r="BI4" s="5">
        <f>'Cintas PNL'!AY3</f>
        <v>600.88799999999992</v>
      </c>
      <c r="BJ4" s="5">
        <f>'Cintas PNL'!AZ3</f>
        <v>665.51700000000005</v>
      </c>
      <c r="BK4" s="6">
        <f>'Cintas PNL'!BA3</f>
        <v>2363.567</v>
      </c>
      <c r="BL4" s="5">
        <f>'Cintas PNL'!BB3</f>
        <v>607.5809999999999</v>
      </c>
      <c r="BM4" s="5">
        <f>'Cintas PNL'!BC3</f>
        <v>0</v>
      </c>
      <c r="BN4" s="5">
        <f>'Cintas PNL'!BD3</f>
        <v>0</v>
      </c>
      <c r="BO4" s="5">
        <f>'Cintas PNL'!BE3</f>
        <v>0</v>
      </c>
      <c r="BP4" s="6">
        <f>'Cintas PNL'!BF3</f>
        <v>2504.75103352203</v>
      </c>
      <c r="BQ4" s="6">
        <f>'Cintas PNL'!BG3</f>
        <v>2754.7041387817476</v>
      </c>
      <c r="BR4" s="6">
        <f>'Cintas PNL'!BH3</f>
        <v>2449.8349020257542</v>
      </c>
      <c r="BS4" s="6">
        <f>'Cintas PNL'!BI3</f>
        <v>2480.2936982127299</v>
      </c>
      <c r="BT4" s="6">
        <f>'Cintas PNL'!BJ3</f>
        <v>2465.4924175714405</v>
      </c>
      <c r="BU4" s="6">
        <f>'Cintas PNL'!BK3</f>
        <v>2426.5333105726531</v>
      </c>
      <c r="BV4" s="6">
        <f>'Cintas PNL'!BL3</f>
        <v>2387.9350947634398</v>
      </c>
      <c r="BW4" s="6">
        <f>'Cintas PNL'!BM3</f>
        <v>2300.0882217835965</v>
      </c>
      <c r="BX4" s="6">
        <f>'Cintas PNL'!BN3</f>
        <v>2259.9669298167764</v>
      </c>
      <c r="BY4" s="6">
        <f>'Cintas PNL'!BO3</f>
        <v>2150.8298446574599</v>
      </c>
      <c r="BZ4" s="6">
        <f>'Cintas PNL'!BP3</f>
        <v>2020.6918960438559</v>
      </c>
      <c r="CA4" s="6">
        <f>'Cintas PNL'!BQ3</f>
        <v>1720.5779736827976</v>
      </c>
      <c r="CB4" s="6">
        <f>'Cintas PNL'!BR3</f>
        <v>1547.4954215511214</v>
      </c>
      <c r="CC4" s="6">
        <f>'Cintas PNL'!BS3</f>
        <v>1200.6112015171661</v>
      </c>
      <c r="CD4" s="6">
        <f>'Cintas PNL'!BT3</f>
        <v>1054.8641557415517</v>
      </c>
    </row>
    <row r="5" spans="1:87">
      <c r="B5" s="7"/>
      <c r="C5" s="8" t="s">
        <v>43</v>
      </c>
      <c r="D5" s="9"/>
      <c r="E5" s="9"/>
      <c r="F5" s="9"/>
      <c r="G5" s="9"/>
      <c r="H5" s="10"/>
      <c r="I5" s="9"/>
      <c r="J5" s="9"/>
      <c r="K5" s="9"/>
      <c r="L5" s="9"/>
      <c r="M5" s="10"/>
      <c r="N5" s="9">
        <f>'Cintas PNL'!D4</f>
        <v>0.58380200013129946</v>
      </c>
      <c r="O5" s="9">
        <f>'Cintas PNL'!E4</f>
        <v>0.82365185296452859</v>
      </c>
      <c r="P5" s="9">
        <f>'Cintas PNL'!F4</f>
        <v>0.93827395694417959</v>
      </c>
      <c r="Q5" s="9">
        <f>'Cintas PNL'!G4</f>
        <v>1.1678995173968938</v>
      </c>
      <c r="R5" s="10">
        <f>'Cintas PNL'!H4</f>
        <v>3.5216034873285178</v>
      </c>
      <c r="S5" s="9">
        <f>'Cintas PNL'!I4</f>
        <v>0.88976826664830233</v>
      </c>
      <c r="T5" s="9">
        <f>'Cintas PNL'!J4</f>
        <v>1.0927436668097901</v>
      </c>
      <c r="U5" s="9">
        <f>'Cintas PNL'!K4</f>
        <v>1.2908036726179717</v>
      </c>
      <c r="V5" s="9">
        <f>'Cintas PNL'!L4</f>
        <v>1.5341966881144462</v>
      </c>
      <c r="W5" s="10">
        <f>'Cintas PNL'!M4</f>
        <v>4.8240601378852066</v>
      </c>
      <c r="X5" s="9">
        <f>'Cintas PNL'!N4</f>
        <v>1.3725187364861564</v>
      </c>
      <c r="Y5" s="9">
        <f>'Cintas PNL'!O4</f>
        <v>1.43433277027027</v>
      </c>
      <c r="Z5" s="9">
        <f>'Cintas PNL'!P4</f>
        <v>1.7782636258716815</v>
      </c>
      <c r="AA5" s="9">
        <f>'Cintas PNL'!Q4</f>
        <v>1.7204785681862398</v>
      </c>
      <c r="AB5" s="10">
        <f>'Cintas PNL'!R4</f>
        <v>6.3060468742386577</v>
      </c>
      <c r="AC5" s="9">
        <f>'Cintas PNL'!S4</f>
        <v>1.6131132332005693</v>
      </c>
      <c r="AD5" s="9">
        <f>'Cintas PNL'!T4</f>
        <v>2.0486389432171603</v>
      </c>
      <c r="AE5" s="9">
        <f>'Cintas PNL'!U4</f>
        <v>2.2964103382259093</v>
      </c>
      <c r="AF5" s="9">
        <f>'Cintas PNL'!V4</f>
        <v>2.4032966333609109</v>
      </c>
      <c r="AG5" s="10">
        <f>'Cintas PNL'!W4</f>
        <v>8.3627942632638064</v>
      </c>
      <c r="AH5" s="9">
        <f>'Cintas PNL'!X4</f>
        <v>1.9863414014357408</v>
      </c>
      <c r="AI5" s="9">
        <f>'Cintas PNL'!Y4</f>
        <v>2.2848470439055317</v>
      </c>
      <c r="AJ5" s="9">
        <f>'Cintas PNL'!Z4</f>
        <v>2.5230230864236631</v>
      </c>
      <c r="AK5" s="9">
        <f>'Cintas PNL'!AA4</f>
        <v>2.5985570811085679</v>
      </c>
      <c r="AL5" s="10">
        <f>'Cintas PNL'!AB4</f>
        <v>9.392727964972396</v>
      </c>
      <c r="AM5" s="9">
        <f>'Cintas PNL'!AC4</f>
        <v>2.2839261132631181</v>
      </c>
      <c r="AN5" s="9">
        <f>'Cintas PNL'!AD4</f>
        <v>2.6814807626995294</v>
      </c>
      <c r="AO5" s="9">
        <f>'Cintas PNL'!AE4</f>
        <v>2.6078647139736217</v>
      </c>
      <c r="AP5" s="9">
        <f>'Cintas PNL'!AF4</f>
        <v>2.7138924843936878</v>
      </c>
      <c r="AQ5" s="10">
        <f>'Cintas PNL'!AG4</f>
        <v>10.267981251010182</v>
      </c>
      <c r="AR5" s="9">
        <f>'Cintas PNL'!AH4</f>
        <v>2.3083788289908136</v>
      </c>
      <c r="AS5" s="9">
        <f>'Cintas PNL'!AI4</f>
        <v>2.5601418739729591</v>
      </c>
      <c r="AT5" s="9">
        <f>'Cintas PNL'!AJ4</f>
        <v>3.2171528094276978</v>
      </c>
      <c r="AU5" s="9">
        <f>'Cintas PNL'!AK4</f>
        <v>2.9497622121623168</v>
      </c>
      <c r="AV5" s="10">
        <f>'Cintas PNL'!AL4</f>
        <v>11.036384689400982</v>
      </c>
      <c r="AW5" s="9">
        <f>'Cintas PNL'!AM4</f>
        <v>2.9809898983294656</v>
      </c>
      <c r="AX5" s="9">
        <f>'Cintas PNL'!AN4</f>
        <v>3.4935382011133171</v>
      </c>
      <c r="AY5" s="9">
        <f ca="1">'Cintas PNL'!AO4</f>
        <v>3.5833454580726518</v>
      </c>
      <c r="AZ5" s="9">
        <f>'Cintas PNL'!AP4</f>
        <v>3.6407892341052421</v>
      </c>
      <c r="BA5" s="10">
        <f ca="1">'Cintas PNL'!AQ4</f>
        <v>13.705290166533203</v>
      </c>
      <c r="BB5" s="9">
        <f>'Cintas PNL'!AR4</f>
        <v>3.6702708286703065</v>
      </c>
      <c r="BC5" s="9">
        <f>'Cintas PNL'!AS4</f>
        <v>4.0492625420098562</v>
      </c>
      <c r="BD5" s="9">
        <f>'Cintas PNL'!AT4</f>
        <v>4.096208085239736</v>
      </c>
      <c r="BE5" s="9">
        <f>'Cintas PNL'!AU4</f>
        <v>4.4225315217770955</v>
      </c>
      <c r="BF5" s="10">
        <f>'Cintas PNL'!AV4</f>
        <v>16.232815540728378</v>
      </c>
      <c r="BG5" s="9">
        <f>'Cintas PNL'!AW4</f>
        <v>0.45487040428229447</v>
      </c>
      <c r="BH5" s="9">
        <f>'Cintas PNL'!AX4</f>
        <v>3.7110840612917078</v>
      </c>
      <c r="BI5" s="9">
        <f>'Cintas PNL'!AY4</f>
        <v>4.3052315242904875</v>
      </c>
      <c r="BJ5" s="9">
        <f>'Cintas PNL'!AZ4</f>
        <v>4.0003847902892939</v>
      </c>
      <c r="BK5" s="10">
        <f>'Cintas PNL'!BA4</f>
        <v>12.456114586005855</v>
      </c>
      <c r="BL5" s="9">
        <f>'Cintas PNL'!BB4</f>
        <v>3.9186032572397362</v>
      </c>
      <c r="BM5" s="5">
        <f>'Cintas PNL'!BC4</f>
        <v>0</v>
      </c>
      <c r="BN5" s="5">
        <f>'Cintas PNL'!BD4</f>
        <v>0</v>
      </c>
      <c r="BO5" s="5">
        <f>'Cintas PNL'!BE4</f>
        <v>0</v>
      </c>
      <c r="BP5" s="6">
        <f ca="1">'Cintas PNL'!BF4</f>
        <v>11.786561061084024</v>
      </c>
      <c r="BQ5" s="6">
        <f ca="1">'Cintas PNL'!BG4</f>
        <v>13.398841359576833</v>
      </c>
      <c r="BR5" s="6">
        <f ca="1">'Cintas PNL'!BH4</f>
        <v>15.130726941158965</v>
      </c>
      <c r="BS5" s="6">
        <f ca="1">'Cintas PNL'!BI4</f>
        <v>17.152689025313613</v>
      </c>
      <c r="BT5" s="6">
        <f ca="1">'Cintas PNL'!BJ4</f>
        <v>17.046322141608862</v>
      </c>
      <c r="BU5" s="6">
        <f ca="1">'Cintas PNL'!BK4</f>
        <v>16.766349151175806</v>
      </c>
      <c r="BV5" s="6">
        <f ca="1">'Cintas PNL'!BL4</f>
        <v>18.24648660089316</v>
      </c>
      <c r="BW5" s="6">
        <f ca="1">'Cintas PNL'!BM4</f>
        <v>17.55053482428993</v>
      </c>
      <c r="BX5" s="6">
        <f ca="1">'Cintas PNL'!BN4</f>
        <v>17.232680773522155</v>
      </c>
      <c r="BY5" s="6">
        <f ca="1">'Cintas PNL'!BO4</f>
        <v>16.368060944341067</v>
      </c>
      <c r="BZ5" s="6">
        <f ca="1">'Cintas PNL'!BP4</f>
        <v>15.33706537820499</v>
      </c>
      <c r="CA5" s="6">
        <f ca="1">'Cintas PNL'!BQ4</f>
        <v>12.95946432804049</v>
      </c>
      <c r="CB5" s="6">
        <f ca="1">'Cintas PNL'!BR4</f>
        <v>11.588247509853908</v>
      </c>
      <c r="CC5" s="6">
        <f ca="1">'Cintas PNL'!BS4</f>
        <v>8.8401168021888683</v>
      </c>
      <c r="CD5" s="6">
        <f ca="1">'Cintas PNL'!BT4</f>
        <v>7.6854608423178172</v>
      </c>
    </row>
    <row r="7" spans="1:87">
      <c r="B7" s="179"/>
      <c r="C7" s="181" t="s">
        <v>155</v>
      </c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  <c r="AC7" s="179"/>
      <c r="AD7" s="179"/>
      <c r="AE7" s="179"/>
      <c r="AF7" s="179"/>
      <c r="AG7" s="179"/>
      <c r="AH7" s="179"/>
      <c r="AI7" s="179"/>
      <c r="AJ7" s="179"/>
      <c r="AK7" s="179"/>
      <c r="AL7" s="179"/>
      <c r="AM7" s="179"/>
      <c r="AN7" s="179"/>
      <c r="AO7" s="179"/>
      <c r="AP7" s="179"/>
      <c r="AQ7" s="179"/>
      <c r="AR7" s="179"/>
      <c r="AS7" s="179"/>
      <c r="AT7" s="179"/>
      <c r="AU7" s="179"/>
      <c r="AV7" s="179"/>
      <c r="AW7" s="179"/>
      <c r="AX7" s="179"/>
      <c r="AY7" s="179"/>
      <c r="AZ7" s="179"/>
      <c r="BA7" s="179"/>
      <c r="BB7" s="179"/>
      <c r="BC7" s="179"/>
      <c r="BD7" s="179"/>
      <c r="BE7" s="179"/>
      <c r="BF7" s="179"/>
      <c r="BG7" s="179"/>
      <c r="BH7" s="179"/>
      <c r="BI7" s="179"/>
      <c r="BJ7" s="179"/>
      <c r="BK7" s="179"/>
      <c r="BL7" s="179"/>
      <c r="BM7" s="179"/>
      <c r="BN7" s="179"/>
      <c r="BO7" s="179"/>
      <c r="BP7" s="179"/>
      <c r="BQ7" s="179"/>
      <c r="BR7" s="179"/>
      <c r="BS7" s="179"/>
      <c r="BT7" s="179"/>
      <c r="BU7" s="179"/>
      <c r="BV7" s="179"/>
      <c r="BW7" s="179"/>
      <c r="BX7" s="179"/>
      <c r="BY7" s="179"/>
      <c r="BZ7" s="179"/>
      <c r="CA7" s="179"/>
      <c r="CB7" s="179"/>
      <c r="CC7" s="179"/>
      <c r="CD7" s="179"/>
    </row>
    <row r="8" spans="1:87" s="2" customFormat="1">
      <c r="C8" s="14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34"/>
      <c r="AB8" s="92"/>
      <c r="AC8" s="92"/>
      <c r="AD8" s="92"/>
      <c r="AE8" s="92"/>
      <c r="AF8" s="92"/>
      <c r="AG8" s="92"/>
      <c r="AH8" s="11"/>
      <c r="AI8" s="11"/>
      <c r="AJ8" s="11"/>
      <c r="AK8" s="11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2"/>
      <c r="BK8" s="92"/>
      <c r="BL8" s="92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2"/>
      <c r="CH8" s="92"/>
      <c r="CI8" s="92"/>
    </row>
    <row r="9" spans="1:87" s="2" customFormat="1">
      <c r="C9" s="143" t="s">
        <v>156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34"/>
      <c r="AB9" s="92"/>
      <c r="AC9" s="83">
        <f>AC10/AG10</f>
        <v>0.20598676571827831</v>
      </c>
      <c r="AD9" s="92"/>
      <c r="AE9" s="92"/>
      <c r="AF9" s="92"/>
      <c r="AG9" s="92"/>
      <c r="AH9" s="144"/>
      <c r="AI9" s="144"/>
      <c r="AJ9" s="144"/>
      <c r="AK9" s="144"/>
      <c r="AL9" s="92"/>
      <c r="AM9" s="83"/>
      <c r="AN9" s="92"/>
      <c r="AO9" s="92"/>
      <c r="AP9" s="92"/>
      <c r="AQ9" s="92"/>
      <c r="AR9" s="83"/>
      <c r="AS9" s="92"/>
      <c r="AT9" s="92"/>
      <c r="AU9" s="92"/>
      <c r="AV9" s="83"/>
      <c r="AW9" s="83"/>
      <c r="AX9" s="92"/>
      <c r="AY9" s="92"/>
      <c r="AZ9" s="92"/>
      <c r="BA9" s="83"/>
      <c r="BB9" s="69"/>
      <c r="BC9" s="92"/>
      <c r="BD9" s="92"/>
      <c r="BE9" s="92"/>
      <c r="BF9" s="83"/>
      <c r="BG9" s="83"/>
      <c r="BH9" s="92"/>
      <c r="BI9" s="92"/>
      <c r="BJ9" s="92"/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2"/>
      <c r="CH9" s="92"/>
      <c r="CI9" s="92"/>
    </row>
    <row r="10" spans="1:87" s="87" customFormat="1">
      <c r="A10" s="1"/>
      <c r="B10" s="1"/>
      <c r="C10" s="70" t="s">
        <v>157</v>
      </c>
      <c r="D10" s="87">
        <v>17.719000000000001</v>
      </c>
      <c r="E10" s="87">
        <v>22.361999999999998</v>
      </c>
      <c r="F10" s="87">
        <v>25.038</v>
      </c>
      <c r="G10" s="18">
        <f>H10-SUM(D10:F10)</f>
        <v>31.644000000000005</v>
      </c>
      <c r="H10" s="87">
        <v>96.763000000000005</v>
      </c>
      <c r="I10" s="87">
        <v>28.745000000000001</v>
      </c>
      <c r="J10" s="87">
        <v>33.722999999999999</v>
      </c>
      <c r="K10" s="87">
        <v>37.231000000000002</v>
      </c>
      <c r="L10" s="18">
        <f>M10-SUM(I10:K10)</f>
        <v>42.930999999999983</v>
      </c>
      <c r="M10" s="87">
        <v>142.63</v>
      </c>
      <c r="N10" s="87">
        <v>42.777999999999999</v>
      </c>
      <c r="O10" s="87">
        <v>56.177999999999997</v>
      </c>
      <c r="P10" s="87">
        <v>62.546999999999997</v>
      </c>
      <c r="Q10" s="18">
        <f>R10-SUM(N10:P10)</f>
        <v>71.845000000000027</v>
      </c>
      <c r="R10" s="87">
        <v>233.34800000000001</v>
      </c>
      <c r="S10" s="87">
        <v>73.436999999999998</v>
      </c>
      <c r="T10" s="87">
        <v>89.096999999999994</v>
      </c>
      <c r="U10" s="87">
        <v>102.61499999999999</v>
      </c>
      <c r="V10" s="18">
        <f>W10-SUM(S10:U10)</f>
        <v>113.51400000000001</v>
      </c>
      <c r="W10" s="87">
        <v>378.66300000000001</v>
      </c>
      <c r="X10" s="87">
        <v>117.526</v>
      </c>
      <c r="Y10" s="87">
        <v>133.74199999999999</v>
      </c>
      <c r="Z10" s="87">
        <v>153.66399999999999</v>
      </c>
      <c r="AA10" s="18">
        <f>AB10-SUM(X10:Z10)</f>
        <v>164.1810000000001</v>
      </c>
      <c r="AB10" s="87">
        <v>569.11300000000006</v>
      </c>
      <c r="AC10" s="87">
        <v>160.37799999999999</v>
      </c>
      <c r="AD10" s="87">
        <v>191.36600000000001</v>
      </c>
      <c r="AE10" s="87">
        <v>204.33699999999999</v>
      </c>
      <c r="AF10" s="87">
        <v>222.50299999999999</v>
      </c>
      <c r="AG10" s="87">
        <v>778.58399999999995</v>
      </c>
      <c r="AH10" s="87">
        <v>212.69</v>
      </c>
      <c r="AI10" s="87">
        <v>247.846</v>
      </c>
      <c r="AJ10" s="87">
        <v>242.899</v>
      </c>
      <c r="AK10" s="87">
        <v>251.75200000000001</v>
      </c>
      <c r="AL10" s="87">
        <v>955.18700000000001</v>
      </c>
      <c r="AM10" s="87">
        <v>249.53700000000001</v>
      </c>
      <c r="AN10" s="87">
        <v>280.96800000000002</v>
      </c>
      <c r="AO10" s="87">
        <v>285.90699999999998</v>
      </c>
      <c r="AP10" s="87">
        <v>291.20400000000001</v>
      </c>
      <c r="AQ10" s="87">
        <v>1107.616</v>
      </c>
      <c r="AR10" s="87">
        <v>272.32600000000002</v>
      </c>
      <c r="AS10" s="87">
        <v>298.02600000000001</v>
      </c>
      <c r="AT10" s="87">
        <v>303.87</v>
      </c>
      <c r="AU10" s="87">
        <v>312.47699999999998</v>
      </c>
      <c r="AV10" s="87">
        <v>1186.6990000000001</v>
      </c>
      <c r="AW10" s="87">
        <v>316.77699999999999</v>
      </c>
      <c r="AX10" s="87">
        <v>356.00799999999998</v>
      </c>
      <c r="AY10" s="87">
        <v>357.25099999999998</v>
      </c>
      <c r="AZ10" s="87">
        <v>374.83</v>
      </c>
      <c r="BA10" s="18">
        <f t="shared" ref="BA10:BA18" si="0">SUM(AW10:AZ10)</f>
        <v>1404.866</v>
      </c>
      <c r="BB10" s="87">
        <v>368.31700000000001</v>
      </c>
      <c r="BC10" s="21">
        <v>413.21199999999999</v>
      </c>
      <c r="BD10" s="21">
        <v>425.64400000000001</v>
      </c>
      <c r="BE10" s="87">
        <v>435.35199999999998</v>
      </c>
      <c r="BF10" s="18">
        <f t="shared" ref="BF10:BF18" si="1">SUM(BB10:BE10)</f>
        <v>1642.5250000000001</v>
      </c>
      <c r="BG10" s="145">
        <v>407.875</v>
      </c>
      <c r="BH10" s="21">
        <v>446.80799999999999</v>
      </c>
      <c r="BI10" s="87">
        <v>447.80900000000003</v>
      </c>
      <c r="BJ10" s="87">
        <v>439.26600000000002</v>
      </c>
      <c r="BK10" s="18">
        <f t="shared" ref="BK10:BK18" si="2">SUM(BG10:BJ10)</f>
        <v>1741.758</v>
      </c>
      <c r="BL10" s="87">
        <v>335.55</v>
      </c>
      <c r="BM10" s="87">
        <v>0</v>
      </c>
      <c r="BN10" s="87">
        <v>0</v>
      </c>
      <c r="BO10" s="87">
        <v>0</v>
      </c>
      <c r="BP10" s="18">
        <f t="shared" ref="BP10:BP18" si="3">SUM(BL10:BO10)</f>
        <v>335.55</v>
      </c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21"/>
      <c r="CF10" s="21"/>
    </row>
    <row r="11" spans="1:87" s="87" customFormat="1">
      <c r="A11" s="1"/>
      <c r="B11" s="1"/>
      <c r="C11" s="70" t="s">
        <v>191</v>
      </c>
      <c r="G11" s="18"/>
      <c r="H11" s="34">
        <f>SUM(D11:G11)</f>
        <v>0</v>
      </c>
      <c r="I11" s="21">
        <v>0</v>
      </c>
      <c r="J11" s="21">
        <v>0</v>
      </c>
      <c r="K11" s="21">
        <v>0</v>
      </c>
      <c r="L11" s="21">
        <v>0</v>
      </c>
      <c r="M11" s="34">
        <f>SUM(I11:L11)</f>
        <v>0</v>
      </c>
      <c r="N11" s="21">
        <v>0</v>
      </c>
      <c r="O11" s="21">
        <v>0</v>
      </c>
      <c r="P11" s="21">
        <v>0</v>
      </c>
      <c r="Q11" s="21">
        <v>0</v>
      </c>
      <c r="R11" s="34">
        <f>SUM(N11:Q11)</f>
        <v>0</v>
      </c>
      <c r="S11" s="21">
        <v>0</v>
      </c>
      <c r="T11" s="21">
        <v>0</v>
      </c>
      <c r="U11" s="21">
        <v>0</v>
      </c>
      <c r="V11" s="21">
        <v>0</v>
      </c>
      <c r="W11" s="34">
        <f>SUM(S11:V11)</f>
        <v>0</v>
      </c>
      <c r="X11" s="21">
        <v>0</v>
      </c>
      <c r="Y11" s="21">
        <v>0</v>
      </c>
      <c r="Z11" s="21">
        <v>0</v>
      </c>
      <c r="AA11" s="21">
        <v>0</v>
      </c>
      <c r="AB11" s="34">
        <f>SUM(X11:AA11)</f>
        <v>0</v>
      </c>
      <c r="AC11" s="21">
        <v>0</v>
      </c>
      <c r="AD11" s="21">
        <v>0</v>
      </c>
      <c r="AE11" s="21">
        <v>0</v>
      </c>
      <c r="AF11" s="21">
        <v>0</v>
      </c>
      <c r="AG11" s="34">
        <f>SUM(AC11:AF11)</f>
        <v>0</v>
      </c>
      <c r="AH11" s="21">
        <v>0</v>
      </c>
      <c r="AI11" s="21">
        <v>0</v>
      </c>
      <c r="AJ11" s="21">
        <v>0</v>
      </c>
      <c r="AK11" s="21">
        <v>0</v>
      </c>
      <c r="AL11" s="34">
        <f>SUM(AH11:AK11)</f>
        <v>0</v>
      </c>
      <c r="AM11" s="21">
        <v>0</v>
      </c>
      <c r="AN11" s="21">
        <v>0</v>
      </c>
      <c r="AO11" s="21">
        <v>0</v>
      </c>
      <c r="AP11" s="21">
        <v>0</v>
      </c>
      <c r="AQ11" s="34">
        <f>SUM(AM11:AP11)</f>
        <v>0</v>
      </c>
      <c r="AR11" s="21">
        <v>0</v>
      </c>
      <c r="AS11" s="21">
        <v>0</v>
      </c>
      <c r="AT11" s="21">
        <v>0</v>
      </c>
      <c r="AU11" s="21">
        <v>0</v>
      </c>
      <c r="AV11" s="34">
        <f>SUM(AR11:AU11)</f>
        <v>0</v>
      </c>
      <c r="AW11" s="21">
        <v>0</v>
      </c>
      <c r="AX11" s="21">
        <v>0</v>
      </c>
      <c r="AY11" s="21">
        <v>0</v>
      </c>
      <c r="AZ11" s="21">
        <v>0</v>
      </c>
      <c r="BA11" s="34">
        <f t="shared" ref="BA11" si="4">SUM(AW11:AZ11)</f>
        <v>0</v>
      </c>
      <c r="BB11" s="87">
        <v>0</v>
      </c>
      <c r="BC11" s="21">
        <v>0</v>
      </c>
      <c r="BD11" s="21">
        <v>0</v>
      </c>
      <c r="BE11" s="21">
        <v>0</v>
      </c>
      <c r="BF11" s="34">
        <f t="shared" si="1"/>
        <v>0</v>
      </c>
      <c r="BG11" s="87">
        <v>0</v>
      </c>
      <c r="BH11" s="87">
        <v>0</v>
      </c>
      <c r="BI11" s="87">
        <v>0</v>
      </c>
      <c r="BJ11" s="87">
        <v>15.263999999999999</v>
      </c>
      <c r="BK11" s="34">
        <f t="shared" si="2"/>
        <v>15.263999999999999</v>
      </c>
      <c r="BL11" s="87">
        <v>75.415999999999997</v>
      </c>
      <c r="BP11" s="18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21"/>
      <c r="CF11" s="21"/>
    </row>
    <row r="12" spans="1:87" s="87" customFormat="1">
      <c r="A12" s="1"/>
      <c r="B12" s="1"/>
      <c r="C12" s="16" t="s">
        <v>158</v>
      </c>
      <c r="D12" s="21">
        <v>0</v>
      </c>
      <c r="E12" s="21">
        <v>0</v>
      </c>
      <c r="F12" s="21">
        <v>0</v>
      </c>
      <c r="G12" s="21">
        <v>0</v>
      </c>
      <c r="H12" s="34">
        <f>SUM(D12:G12)</f>
        <v>0</v>
      </c>
      <c r="I12" s="21">
        <v>0</v>
      </c>
      <c r="J12" s="21">
        <v>0</v>
      </c>
      <c r="K12" s="21">
        <v>0</v>
      </c>
      <c r="L12" s="21">
        <v>0</v>
      </c>
      <c r="M12" s="34">
        <f>SUM(I12:L12)</f>
        <v>0</v>
      </c>
      <c r="N12" s="21">
        <v>0</v>
      </c>
      <c r="O12" s="21">
        <v>0</v>
      </c>
      <c r="P12" s="21">
        <v>0</v>
      </c>
      <c r="Q12" s="21">
        <v>0</v>
      </c>
      <c r="R12" s="34">
        <f>SUM(N12:Q12)</f>
        <v>0</v>
      </c>
      <c r="S12" s="21">
        <v>0</v>
      </c>
      <c r="T12" s="21">
        <v>0</v>
      </c>
      <c r="U12" s="21">
        <v>0</v>
      </c>
      <c r="V12" s="21">
        <v>0</v>
      </c>
      <c r="W12" s="34">
        <f>SUM(S12:V12)</f>
        <v>0</v>
      </c>
      <c r="X12" s="21">
        <v>0</v>
      </c>
      <c r="Y12" s="21">
        <v>0</v>
      </c>
      <c r="Z12" s="21">
        <v>0</v>
      </c>
      <c r="AA12" s="21">
        <v>0</v>
      </c>
      <c r="AB12" s="34">
        <f>SUM(X12:AA12)</f>
        <v>0</v>
      </c>
      <c r="AC12" s="21">
        <v>0</v>
      </c>
      <c r="AD12" s="21">
        <v>0</v>
      </c>
      <c r="AE12" s="21">
        <v>0</v>
      </c>
      <c r="AF12" s="21">
        <v>0</v>
      </c>
      <c r="AG12" s="34">
        <f>SUM(AC12:AF12)</f>
        <v>0</v>
      </c>
      <c r="AH12" s="21">
        <v>0</v>
      </c>
      <c r="AI12" s="21">
        <v>0</v>
      </c>
      <c r="AJ12" s="21">
        <v>0</v>
      </c>
      <c r="AK12" s="21">
        <v>0</v>
      </c>
      <c r="AL12" s="34">
        <f>SUM(AH12:AK12)</f>
        <v>0</v>
      </c>
      <c r="AM12" s="21">
        <v>0</v>
      </c>
      <c r="AN12" s="21">
        <v>0</v>
      </c>
      <c r="AO12" s="21">
        <v>0</v>
      </c>
      <c r="AP12" s="21">
        <v>0</v>
      </c>
      <c r="AQ12" s="34">
        <f>SUM(AM12:AP12)</f>
        <v>0</v>
      </c>
      <c r="AR12" s="21">
        <v>0</v>
      </c>
      <c r="AS12" s="21">
        <v>0</v>
      </c>
      <c r="AT12" s="21">
        <v>0</v>
      </c>
      <c r="AU12" s="21">
        <v>0</v>
      </c>
      <c r="AV12" s="34">
        <f>SUM(AR12:AU12)</f>
        <v>0</v>
      </c>
      <c r="AW12" s="21">
        <v>0</v>
      </c>
      <c r="AX12" s="21">
        <v>0</v>
      </c>
      <c r="AY12" s="21">
        <v>0</v>
      </c>
      <c r="AZ12" s="21">
        <v>0</v>
      </c>
      <c r="BA12" s="34">
        <f t="shared" si="0"/>
        <v>0</v>
      </c>
      <c r="BB12" s="87">
        <v>0</v>
      </c>
      <c r="BC12" s="21">
        <v>0</v>
      </c>
      <c r="BD12" s="21">
        <v>0.98699999999999999</v>
      </c>
      <c r="BE12" s="87">
        <v>2.7269999999999999</v>
      </c>
      <c r="BF12" s="34">
        <f t="shared" si="1"/>
        <v>3.714</v>
      </c>
      <c r="BG12" s="145">
        <v>1.9239999999999999</v>
      </c>
      <c r="BH12" s="21">
        <v>8.5779999999999994</v>
      </c>
      <c r="BI12" s="87">
        <v>9.1159999999999997</v>
      </c>
      <c r="BJ12" s="87">
        <v>8.7149999999999999</v>
      </c>
      <c r="BK12" s="34">
        <f t="shared" si="2"/>
        <v>28.332999999999998</v>
      </c>
      <c r="BL12" s="87">
        <v>11.606</v>
      </c>
      <c r="BM12" s="87">
        <v>0</v>
      </c>
      <c r="BN12" s="87">
        <v>0</v>
      </c>
      <c r="BO12" s="87">
        <v>0</v>
      </c>
      <c r="BP12" s="34">
        <f t="shared" si="3"/>
        <v>11.606</v>
      </c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21"/>
      <c r="CF12" s="21"/>
    </row>
    <row r="13" spans="1:87" s="87" customFormat="1">
      <c r="A13" s="1"/>
      <c r="B13" s="1"/>
      <c r="C13" s="70" t="s">
        <v>159</v>
      </c>
      <c r="D13" s="21">
        <v>0</v>
      </c>
      <c r="E13" s="21">
        <v>0</v>
      </c>
      <c r="F13" s="21">
        <v>0</v>
      </c>
      <c r="G13" s="21">
        <v>0</v>
      </c>
      <c r="H13" s="34">
        <f>SUM(D13:G13)</f>
        <v>0</v>
      </c>
      <c r="I13" s="21">
        <v>0</v>
      </c>
      <c r="J13" s="21">
        <v>0</v>
      </c>
      <c r="K13" s="21">
        <v>0</v>
      </c>
      <c r="L13" s="21">
        <v>0</v>
      </c>
      <c r="M13" s="34">
        <f>SUM(I13:L13)</f>
        <v>0</v>
      </c>
      <c r="N13" s="21">
        <v>0</v>
      </c>
      <c r="O13" s="21">
        <v>0</v>
      </c>
      <c r="P13" s="21">
        <v>0</v>
      </c>
      <c r="Q13" s="21">
        <v>0</v>
      </c>
      <c r="R13" s="34">
        <f>SUM(N13:Q13)</f>
        <v>0</v>
      </c>
      <c r="S13" s="21">
        <v>0</v>
      </c>
      <c r="T13" s="21">
        <v>6.0069999999999997</v>
      </c>
      <c r="U13" s="21">
        <v>31.652000000000001</v>
      </c>
      <c r="V13" s="21">
        <v>34.423999999999999</v>
      </c>
      <c r="W13" s="34">
        <f>SUM(S13:V13)</f>
        <v>72.082999999999998</v>
      </c>
      <c r="X13" s="21">
        <v>41.816000000000003</v>
      </c>
      <c r="Y13" s="21">
        <v>44.86</v>
      </c>
      <c r="Z13" s="21">
        <v>44.078000000000003</v>
      </c>
      <c r="AA13" s="21">
        <v>-22.103000000000009</v>
      </c>
      <c r="AB13" s="21">
        <v>174.251</v>
      </c>
      <c r="AC13" s="21">
        <v>46.92</v>
      </c>
      <c r="AD13" s="21">
        <v>47.869</v>
      </c>
      <c r="AE13" s="21">
        <v>52.121000000000002</v>
      </c>
      <c r="AF13" s="21">
        <v>52.755000000000003</v>
      </c>
      <c r="AG13" s="34">
        <f>SUM(AC13:AF13)</f>
        <v>199.66499999999999</v>
      </c>
      <c r="AH13" s="21">
        <v>50.353000000000002</v>
      </c>
      <c r="AI13" s="21">
        <v>46.150999999999996</v>
      </c>
      <c r="AJ13" s="21">
        <v>56.317</v>
      </c>
      <c r="AK13" s="21">
        <v>50.44</v>
      </c>
      <c r="AL13" s="34">
        <f>SUM(AH13:AK13)</f>
        <v>203.261</v>
      </c>
      <c r="AM13" s="21">
        <v>51.173000000000002</v>
      </c>
      <c r="AN13" s="21">
        <v>49.747999999999998</v>
      </c>
      <c r="AO13" s="21">
        <v>42.985999999999997</v>
      </c>
      <c r="AP13" s="21">
        <v>56.771000000000001</v>
      </c>
      <c r="AQ13" s="34">
        <f>SUM(AM13:AP13)</f>
        <v>200.678</v>
      </c>
      <c r="AR13" s="21">
        <v>51.388000000000005</v>
      </c>
      <c r="AS13" s="21">
        <v>49.024000000000001</v>
      </c>
      <c r="AT13" s="21">
        <v>49.173000000000002</v>
      </c>
      <c r="AU13" s="21">
        <v>47.755000000000003</v>
      </c>
      <c r="AV13" s="34">
        <f>SUM(AR13:AU13)</f>
        <v>197.34</v>
      </c>
      <c r="AW13" s="21">
        <v>50.627000000000002</v>
      </c>
      <c r="AX13" s="21">
        <v>58.713000000000001</v>
      </c>
      <c r="AY13" s="21">
        <v>41.134</v>
      </c>
      <c r="AZ13" s="21">
        <v>24.265000000000001</v>
      </c>
      <c r="BA13" s="34">
        <f t="shared" si="0"/>
        <v>174.73899999999998</v>
      </c>
      <c r="BB13" s="87">
        <v>60.899000000000001</v>
      </c>
      <c r="BC13" s="21">
        <v>27.622</v>
      </c>
      <c r="BD13" s="21">
        <v>34.024000000000001</v>
      </c>
      <c r="BE13" s="87">
        <v>54.92</v>
      </c>
      <c r="BF13" s="34">
        <f t="shared" si="1"/>
        <v>177.465</v>
      </c>
      <c r="BG13" s="145">
        <v>37.731999999999999</v>
      </c>
      <c r="BH13" s="21">
        <v>32.683</v>
      </c>
      <c r="BI13" s="87">
        <v>20.145</v>
      </c>
      <c r="BJ13" s="87">
        <v>56.576000000000001</v>
      </c>
      <c r="BK13" s="34">
        <f t="shared" si="2"/>
        <v>147.136</v>
      </c>
      <c r="BL13" s="87">
        <v>41.067999999999998</v>
      </c>
      <c r="BM13" s="87">
        <v>0</v>
      </c>
      <c r="BN13" s="87">
        <v>0</v>
      </c>
      <c r="BO13" s="87">
        <v>0</v>
      </c>
      <c r="BP13" s="34">
        <f t="shared" si="3"/>
        <v>41.067999999999998</v>
      </c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21"/>
      <c r="CF13" s="21"/>
    </row>
    <row r="14" spans="1:87" s="21" customFormat="1">
      <c r="A14" s="2"/>
      <c r="B14" s="2"/>
      <c r="C14" s="70" t="s">
        <v>160</v>
      </c>
      <c r="D14" s="146">
        <v>0</v>
      </c>
      <c r="E14" s="146">
        <v>0</v>
      </c>
      <c r="F14" s="146">
        <v>0</v>
      </c>
      <c r="G14" s="146">
        <v>0</v>
      </c>
      <c r="H14" s="146">
        <f>SUM(D14:G14)</f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f>SUM(I14:L14)</f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f>SUM(N14:Q14)</f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f>SUM(S14:V14)</f>
        <v>0</v>
      </c>
      <c r="X14" s="146">
        <v>0</v>
      </c>
      <c r="Y14" s="146">
        <v>0</v>
      </c>
      <c r="Z14" s="146">
        <v>0</v>
      </c>
      <c r="AA14" s="146">
        <v>0</v>
      </c>
      <c r="AB14" s="146">
        <f>SUM(X14:AA14)</f>
        <v>0</v>
      </c>
      <c r="AC14" s="147">
        <v>12.209</v>
      </c>
      <c r="AD14" s="147">
        <v>20.244</v>
      </c>
      <c r="AE14" s="147">
        <v>18.891999999999999</v>
      </c>
      <c r="AF14" s="147">
        <v>19.192</v>
      </c>
      <c r="AG14" s="146">
        <f>SUM(AC14:AF14)</f>
        <v>70.537000000000006</v>
      </c>
      <c r="AH14" s="147">
        <v>17.363</v>
      </c>
      <c r="AI14" s="147">
        <v>15.257</v>
      </c>
      <c r="AJ14" s="147">
        <v>19.638999999999999</v>
      </c>
      <c r="AK14" s="147">
        <v>18.472000000000001</v>
      </c>
      <c r="AL14" s="146">
        <f>SUM(AH14:AK14)</f>
        <v>70.730999999999995</v>
      </c>
      <c r="AM14" s="147">
        <v>17.896999999999998</v>
      </c>
      <c r="AN14" s="147">
        <v>33.246000000000002</v>
      </c>
      <c r="AO14" s="147">
        <v>28.137</v>
      </c>
      <c r="AP14" s="147">
        <v>29.671999999999997</v>
      </c>
      <c r="AQ14" s="146">
        <f>SUM(AM14:AP14)</f>
        <v>108.952</v>
      </c>
      <c r="AR14" s="147">
        <v>35.9</v>
      </c>
      <c r="AS14" s="147">
        <v>30.238</v>
      </c>
      <c r="AT14" s="147">
        <v>31.213000000000001</v>
      </c>
      <c r="AU14" s="147">
        <v>36.298999999999999</v>
      </c>
      <c r="AV14" s="146">
        <f>SUM(AR14:AU14)</f>
        <v>133.65</v>
      </c>
      <c r="AW14" s="147">
        <v>35.061</v>
      </c>
      <c r="AX14" s="147">
        <v>40.497999999999998</v>
      </c>
      <c r="AY14" s="147">
        <v>36.177</v>
      </c>
      <c r="AZ14" s="147">
        <v>37.712000000000003</v>
      </c>
      <c r="BA14" s="146">
        <f t="shared" si="0"/>
        <v>149.44799999999998</v>
      </c>
      <c r="BB14" s="148">
        <v>41.5</v>
      </c>
      <c r="BC14" s="147">
        <v>46.055</v>
      </c>
      <c r="BD14" s="147">
        <v>37.603999999999999</v>
      </c>
      <c r="BE14" s="148">
        <v>47.779000000000003</v>
      </c>
      <c r="BF14" s="146">
        <f t="shared" si="1"/>
        <v>172.93800000000002</v>
      </c>
      <c r="BG14" s="149">
        <v>47.432000000000002</v>
      </c>
      <c r="BH14" s="21">
        <v>42.713999999999999</v>
      </c>
      <c r="BI14" s="87">
        <v>50.241</v>
      </c>
      <c r="BJ14" s="87">
        <v>55.454999999999998</v>
      </c>
      <c r="BK14" s="146">
        <f t="shared" si="2"/>
        <v>195.84199999999998</v>
      </c>
      <c r="BL14" s="87">
        <v>49.619</v>
      </c>
      <c r="BM14" s="87">
        <v>0</v>
      </c>
      <c r="BN14" s="87">
        <v>0</v>
      </c>
      <c r="BO14" s="87">
        <v>0</v>
      </c>
      <c r="BP14" s="146">
        <f t="shared" si="3"/>
        <v>49.619</v>
      </c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</row>
    <row r="15" spans="1:87" s="21" customFormat="1">
      <c r="A15" s="2"/>
      <c r="B15" s="2"/>
      <c r="C15" s="70" t="s">
        <v>161</v>
      </c>
      <c r="D15" s="147">
        <v>0</v>
      </c>
      <c r="E15" s="147">
        <v>0</v>
      </c>
      <c r="F15" s="147">
        <v>0</v>
      </c>
      <c r="G15" s="147">
        <v>0</v>
      </c>
      <c r="H15" s="146">
        <f>SUM(D15:G15)</f>
        <v>0</v>
      </c>
      <c r="I15" s="147">
        <v>0</v>
      </c>
      <c r="J15" s="147">
        <v>0</v>
      </c>
      <c r="K15" s="147">
        <v>0</v>
      </c>
      <c r="L15" s="147">
        <v>0</v>
      </c>
      <c r="M15" s="146">
        <f>SUM(I15:L15)</f>
        <v>0</v>
      </c>
      <c r="N15" s="147">
        <v>0</v>
      </c>
      <c r="O15" s="147">
        <v>0</v>
      </c>
      <c r="P15" s="147">
        <v>0</v>
      </c>
      <c r="Q15" s="147">
        <v>0</v>
      </c>
      <c r="R15" s="146">
        <f>SUM(N15:Q15)</f>
        <v>0</v>
      </c>
      <c r="S15" s="147">
        <v>0</v>
      </c>
      <c r="T15" s="147">
        <v>0</v>
      </c>
      <c r="U15" s="147">
        <v>0</v>
      </c>
      <c r="V15" s="147">
        <v>0</v>
      </c>
      <c r="W15" s="146">
        <f>SUM(S15:V15)</f>
        <v>0</v>
      </c>
      <c r="X15" s="147">
        <v>0</v>
      </c>
      <c r="Y15" s="147">
        <v>0</v>
      </c>
      <c r="Z15" s="147">
        <v>0</v>
      </c>
      <c r="AA15" s="147">
        <v>0</v>
      </c>
      <c r="AB15" s="146">
        <f>SUM(X15:AA15)</f>
        <v>0</v>
      </c>
      <c r="AC15" s="147">
        <v>0</v>
      </c>
      <c r="AD15" s="147">
        <v>0</v>
      </c>
      <c r="AE15" s="147">
        <v>0</v>
      </c>
      <c r="AF15" s="147">
        <v>0</v>
      </c>
      <c r="AG15" s="146">
        <f>SUM(AC15:AF15)</f>
        <v>0</v>
      </c>
      <c r="AH15" s="147">
        <v>0</v>
      </c>
      <c r="AI15" s="147">
        <v>0</v>
      </c>
      <c r="AJ15" s="147">
        <v>0</v>
      </c>
      <c r="AK15" s="147">
        <v>0</v>
      </c>
      <c r="AL15" s="146">
        <f>SUM(AH15:AK15)</f>
        <v>0</v>
      </c>
      <c r="AM15" s="147">
        <v>0</v>
      </c>
      <c r="AN15" s="147">
        <v>0</v>
      </c>
      <c r="AO15" s="147">
        <v>0</v>
      </c>
      <c r="AP15" s="147">
        <v>0</v>
      </c>
      <c r="AQ15" s="146">
        <f>SUM(AM15:AP15)</f>
        <v>0</v>
      </c>
      <c r="AR15" s="147">
        <v>0</v>
      </c>
      <c r="AS15" s="147">
        <v>0</v>
      </c>
      <c r="AT15" s="147">
        <v>9.7189999999999994</v>
      </c>
      <c r="AU15" s="147">
        <v>24.071000000000002</v>
      </c>
      <c r="AV15" s="146">
        <f>SUM(AR15:AU15)</f>
        <v>33.79</v>
      </c>
      <c r="AW15" s="147">
        <v>26.228000000000002</v>
      </c>
      <c r="AX15" s="147">
        <v>27.951000000000001</v>
      </c>
      <c r="AY15" s="147">
        <v>21.038</v>
      </c>
      <c r="AZ15" s="147">
        <v>25.617999999999999</v>
      </c>
      <c r="BA15" s="146">
        <f t="shared" si="0"/>
        <v>100.83499999999999</v>
      </c>
      <c r="BB15" s="148">
        <v>28.943000000000001</v>
      </c>
      <c r="BC15" s="147">
        <v>31.361999999999998</v>
      </c>
      <c r="BD15" s="148">
        <v>29.581</v>
      </c>
      <c r="BE15" s="148">
        <v>31.521000000000001</v>
      </c>
      <c r="BF15" s="146">
        <f t="shared" si="1"/>
        <v>121.407</v>
      </c>
      <c r="BG15" s="149">
        <v>32.72</v>
      </c>
      <c r="BH15" s="21">
        <v>26.568000000000001</v>
      </c>
      <c r="BI15" s="87">
        <v>30.824999999999999</v>
      </c>
      <c r="BJ15" s="87">
        <v>30.992000000000001</v>
      </c>
      <c r="BK15" s="146">
        <f t="shared" si="2"/>
        <v>121.105</v>
      </c>
      <c r="BL15" s="87">
        <v>33.155000000000001</v>
      </c>
      <c r="BM15" s="87">
        <v>0</v>
      </c>
      <c r="BN15" s="87">
        <v>0</v>
      </c>
      <c r="BO15" s="87">
        <v>0</v>
      </c>
      <c r="BP15" s="146">
        <f t="shared" si="3"/>
        <v>33.155000000000001</v>
      </c>
      <c r="BQ15" s="150"/>
      <c r="BR15" s="150"/>
      <c r="BS15" s="150"/>
      <c r="BT15" s="150"/>
      <c r="BU15" s="150"/>
      <c r="BV15" s="150"/>
      <c r="BW15" s="150"/>
      <c r="BX15" s="150"/>
      <c r="BY15" s="150"/>
      <c r="BZ15" s="150"/>
      <c r="CA15" s="150"/>
      <c r="CB15" s="150"/>
      <c r="CC15" s="150"/>
      <c r="CD15" s="150"/>
    </row>
    <row r="16" spans="1:87" s="87" customFormat="1">
      <c r="A16" s="1"/>
      <c r="B16" s="1"/>
      <c r="C16" s="16" t="s">
        <v>162</v>
      </c>
      <c r="D16" s="87">
        <v>0</v>
      </c>
      <c r="E16" s="87">
        <v>0</v>
      </c>
      <c r="F16" s="87">
        <v>0</v>
      </c>
      <c r="G16" s="18">
        <f t="shared" ref="G16:G31" si="5">H16-SUM(D16:F16)</f>
        <v>0</v>
      </c>
      <c r="H16" s="87">
        <v>0</v>
      </c>
      <c r="I16" s="87">
        <v>0</v>
      </c>
      <c r="J16" s="87">
        <v>0</v>
      </c>
      <c r="K16" s="87">
        <v>0</v>
      </c>
      <c r="L16" s="18">
        <f t="shared" ref="L16:L31" si="6">M16-SUM(I16:K16)</f>
        <v>0</v>
      </c>
      <c r="M16" s="87">
        <v>0</v>
      </c>
      <c r="N16" s="87">
        <v>0</v>
      </c>
      <c r="O16" s="87">
        <v>0</v>
      </c>
      <c r="P16" s="87">
        <v>0</v>
      </c>
      <c r="Q16" s="18">
        <f t="shared" ref="Q16:Q31" si="7">R16-SUM(N16:P16)</f>
        <v>0</v>
      </c>
      <c r="R16" s="87">
        <v>0</v>
      </c>
      <c r="S16" s="87">
        <v>9.5220000000000002</v>
      </c>
      <c r="T16" s="87">
        <v>5.5549999999999997</v>
      </c>
      <c r="U16" s="87">
        <v>5.4130000000000003</v>
      </c>
      <c r="V16" s="18">
        <f t="shared" ref="V16:V31" si="8">W16-SUM(S16:U16)</f>
        <v>5.8699999999999974</v>
      </c>
      <c r="W16" s="87">
        <v>26.36</v>
      </c>
      <c r="X16" s="87">
        <v>4.9859999999999998</v>
      </c>
      <c r="Y16" s="87">
        <v>4.694</v>
      </c>
      <c r="Z16" s="87">
        <v>11.045999999999999</v>
      </c>
      <c r="AA16" s="18">
        <f t="shared" ref="AA16:AA31" si="9">AB16-SUM(X16:Z16)</f>
        <v>6.3770000000000024</v>
      </c>
      <c r="AB16" s="87">
        <v>27.103000000000002</v>
      </c>
      <c r="AC16" s="87">
        <v>4.3090000000000002</v>
      </c>
      <c r="AD16" s="87">
        <v>5.8310000000000004</v>
      </c>
      <c r="AE16" s="87">
        <v>6.282</v>
      </c>
      <c r="AF16" s="87">
        <v>9.9990000000000006</v>
      </c>
      <c r="AG16" s="87">
        <v>26.420999999999999</v>
      </c>
      <c r="AH16" s="87">
        <v>6.7640000000000002</v>
      </c>
      <c r="AI16" s="87">
        <v>7.1379999999999999</v>
      </c>
      <c r="AJ16" s="87">
        <v>6.0419999999999998</v>
      </c>
      <c r="AK16" s="87">
        <v>6.4960000000000004</v>
      </c>
      <c r="AL16" s="87">
        <v>26.44</v>
      </c>
      <c r="AM16" s="87">
        <v>6.2089999999999996</v>
      </c>
      <c r="AN16" s="87">
        <v>8.0730000000000004</v>
      </c>
      <c r="AO16" s="87">
        <v>8.7829999999999995</v>
      </c>
      <c r="AP16" s="87">
        <v>6.0549999999999997</v>
      </c>
      <c r="AQ16" s="87">
        <v>29.12</v>
      </c>
      <c r="AR16" s="87">
        <v>7.7169999999999996</v>
      </c>
      <c r="AS16" s="87">
        <v>5.6559999999999997</v>
      </c>
      <c r="AT16" s="87">
        <v>7.93</v>
      </c>
      <c r="AU16" s="87">
        <v>6.0579999999999998</v>
      </c>
      <c r="AV16" s="87">
        <v>27.361000000000001</v>
      </c>
      <c r="AW16" s="87">
        <v>6.1260000000000003</v>
      </c>
      <c r="AX16" s="87">
        <v>8.9209999999999994</v>
      </c>
      <c r="AY16" s="87">
        <v>5.7919999999999998</v>
      </c>
      <c r="AZ16" s="87">
        <v>0</v>
      </c>
      <c r="BA16" s="18">
        <f t="shared" si="0"/>
        <v>20.838999999999999</v>
      </c>
      <c r="BB16" s="87">
        <v>0</v>
      </c>
      <c r="BC16" s="21">
        <v>0</v>
      </c>
      <c r="BD16" s="21">
        <v>0</v>
      </c>
      <c r="BE16" s="21">
        <v>0</v>
      </c>
      <c r="BF16" s="18">
        <f t="shared" si="1"/>
        <v>0</v>
      </c>
      <c r="BG16" s="145">
        <v>0</v>
      </c>
      <c r="BH16" s="21">
        <v>0</v>
      </c>
      <c r="BI16" s="87">
        <v>0</v>
      </c>
      <c r="BJ16" s="87">
        <v>0</v>
      </c>
      <c r="BK16" s="18">
        <f t="shared" si="2"/>
        <v>0</v>
      </c>
      <c r="BL16" s="87">
        <v>0</v>
      </c>
      <c r="BM16" s="87">
        <v>0</v>
      </c>
      <c r="BN16" s="87">
        <v>0</v>
      </c>
      <c r="BO16" s="87">
        <v>0</v>
      </c>
      <c r="BP16" s="18">
        <f t="shared" si="3"/>
        <v>0</v>
      </c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21"/>
      <c r="CF16" s="21"/>
    </row>
    <row r="17" spans="1:87" s="87" customFormat="1">
      <c r="A17" s="1"/>
      <c r="B17" s="1"/>
      <c r="C17" s="16" t="s">
        <v>163</v>
      </c>
      <c r="D17" s="87">
        <v>0</v>
      </c>
      <c r="E17" s="87">
        <v>0</v>
      </c>
      <c r="F17" s="87">
        <v>0</v>
      </c>
      <c r="G17" s="18">
        <f t="shared" si="5"/>
        <v>0</v>
      </c>
      <c r="H17" s="87">
        <v>0</v>
      </c>
      <c r="I17" s="87">
        <v>0</v>
      </c>
      <c r="J17" s="87">
        <v>0</v>
      </c>
      <c r="K17" s="87">
        <v>0</v>
      </c>
      <c r="L17" s="18">
        <f t="shared" si="6"/>
        <v>0</v>
      </c>
      <c r="M17" s="87">
        <v>0</v>
      </c>
      <c r="N17" s="87">
        <v>0</v>
      </c>
      <c r="O17" s="87">
        <v>0</v>
      </c>
      <c r="P17" s="87">
        <v>0</v>
      </c>
      <c r="Q17" s="18">
        <f t="shared" si="7"/>
        <v>0</v>
      </c>
      <c r="R17" s="87">
        <v>0</v>
      </c>
      <c r="S17" s="87">
        <v>17.698</v>
      </c>
      <c r="T17" s="87">
        <v>19.789000000000001</v>
      </c>
      <c r="U17" s="87">
        <v>21.032</v>
      </c>
      <c r="V17" s="18">
        <f t="shared" si="8"/>
        <v>17.97</v>
      </c>
      <c r="W17" s="87">
        <v>76.489000000000004</v>
      </c>
      <c r="X17" s="87">
        <v>17.649999999999999</v>
      </c>
      <c r="Y17" s="87">
        <v>11.763999999999999</v>
      </c>
      <c r="Z17" s="87">
        <v>10.679</v>
      </c>
      <c r="AA17" s="18">
        <f t="shared" si="9"/>
        <v>9.1330000000000027</v>
      </c>
      <c r="AB17" s="87">
        <v>49.225999999999999</v>
      </c>
      <c r="AC17" s="87">
        <v>9.8659999999999997</v>
      </c>
      <c r="AD17" s="87">
        <v>11.731999999999999</v>
      </c>
      <c r="AE17" s="87">
        <v>10.833</v>
      </c>
      <c r="AG17" s="87">
        <v>40.878999999999998</v>
      </c>
      <c r="AH17" s="87">
        <v>9.093</v>
      </c>
      <c r="AI17" s="87">
        <v>9.3719999999999999</v>
      </c>
      <c r="AJ17" s="87">
        <v>9.91</v>
      </c>
      <c r="AL17" s="87">
        <v>37.134999999999998</v>
      </c>
      <c r="AM17" s="87">
        <v>7.0019999999999998</v>
      </c>
      <c r="AN17" s="87">
        <v>3.867</v>
      </c>
      <c r="AO17" s="87">
        <v>3.875</v>
      </c>
      <c r="AP17" s="87">
        <v>0</v>
      </c>
      <c r="AQ17" s="87">
        <v>17.652999999999999</v>
      </c>
      <c r="AR17" s="87">
        <v>0</v>
      </c>
      <c r="AS17" s="87">
        <v>0</v>
      </c>
      <c r="AT17" s="87">
        <v>0</v>
      </c>
      <c r="AU17" s="87">
        <v>0</v>
      </c>
      <c r="AV17" s="87">
        <v>0</v>
      </c>
      <c r="AW17" s="87">
        <v>0</v>
      </c>
      <c r="AX17" s="87">
        <v>0</v>
      </c>
      <c r="AY17" s="87">
        <v>0</v>
      </c>
      <c r="AZ17" s="87">
        <v>0</v>
      </c>
      <c r="BA17" s="18">
        <f t="shared" si="0"/>
        <v>0</v>
      </c>
      <c r="BB17" s="87">
        <v>0</v>
      </c>
      <c r="BC17" s="87">
        <v>0</v>
      </c>
      <c r="BD17" s="87">
        <v>0</v>
      </c>
      <c r="BE17" s="87">
        <v>0</v>
      </c>
      <c r="BF17" s="18">
        <f t="shared" si="1"/>
        <v>0</v>
      </c>
      <c r="BG17" s="30">
        <v>0</v>
      </c>
      <c r="BH17" s="21">
        <v>0</v>
      </c>
      <c r="BI17" s="87">
        <v>0</v>
      </c>
      <c r="BJ17" s="87">
        <v>0</v>
      </c>
      <c r="BK17" s="18">
        <f t="shared" si="2"/>
        <v>0</v>
      </c>
      <c r="BL17" s="87">
        <v>0</v>
      </c>
      <c r="BM17" s="87">
        <v>0</v>
      </c>
      <c r="BN17" s="87">
        <v>0</v>
      </c>
      <c r="BO17" s="87">
        <v>0</v>
      </c>
      <c r="BP17" s="18">
        <f t="shared" si="3"/>
        <v>0</v>
      </c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21"/>
      <c r="CF17" s="21"/>
    </row>
    <row r="18" spans="1:87" s="87" customFormat="1">
      <c r="A18" s="1"/>
      <c r="B18" s="1"/>
      <c r="C18" s="16" t="s">
        <v>51</v>
      </c>
      <c r="D18" s="87">
        <v>3.6</v>
      </c>
      <c r="E18" s="87">
        <v>4.1159999999999997</v>
      </c>
      <c r="F18" s="87">
        <v>4.9539999999999997</v>
      </c>
      <c r="G18" s="18">
        <f t="shared" si="5"/>
        <v>5.6750000000000007</v>
      </c>
      <c r="H18" s="87">
        <v>18.344999999999999</v>
      </c>
      <c r="I18" s="87">
        <v>5.5380000000000003</v>
      </c>
      <c r="J18" s="87">
        <v>5.8049999999999997</v>
      </c>
      <c r="K18" s="87">
        <v>6.6070000000000002</v>
      </c>
      <c r="L18" s="18">
        <f t="shared" si="6"/>
        <v>9.4260000000000019</v>
      </c>
      <c r="M18" s="87">
        <v>27.376000000000001</v>
      </c>
      <c r="N18" s="87">
        <v>7.125</v>
      </c>
      <c r="O18" s="87">
        <v>7.2859999999999996</v>
      </c>
      <c r="P18" s="87">
        <v>9.6690000000000005</v>
      </c>
      <c r="Q18" s="18">
        <f t="shared" si="7"/>
        <v>9.0900000000000034</v>
      </c>
      <c r="R18" s="87">
        <v>33.17</v>
      </c>
      <c r="S18" s="87">
        <v>6.6790000000000003</v>
      </c>
      <c r="T18" s="87">
        <v>7.8620000000000001</v>
      </c>
      <c r="U18" s="87">
        <v>13.417999999999999</v>
      </c>
      <c r="V18" s="18">
        <f t="shared" si="8"/>
        <v>-1.027000000000001</v>
      </c>
      <c r="W18" s="87">
        <v>26.931999999999999</v>
      </c>
      <c r="X18" s="87">
        <v>12.673999999999999</v>
      </c>
      <c r="Y18" s="87">
        <v>11.504</v>
      </c>
      <c r="Z18" s="87">
        <v>10.919</v>
      </c>
      <c r="AA18" s="18">
        <f t="shared" si="9"/>
        <v>10.608000000000004</v>
      </c>
      <c r="AB18" s="87">
        <v>45.704999999999998</v>
      </c>
      <c r="AC18" s="87">
        <v>11.304</v>
      </c>
      <c r="AD18" s="87">
        <v>12.058</v>
      </c>
      <c r="AE18" s="87">
        <v>11.942</v>
      </c>
      <c r="AF18" s="87">
        <v>19.774000000000001</v>
      </c>
      <c r="AG18" s="87">
        <v>46.63</v>
      </c>
      <c r="AH18" s="87">
        <v>10.772</v>
      </c>
      <c r="AI18" s="87">
        <v>6.3419999999999996</v>
      </c>
      <c r="AJ18" s="87">
        <v>3.9470000000000001</v>
      </c>
      <c r="AK18" s="87">
        <v>11.763999999999999</v>
      </c>
      <c r="AL18" s="87">
        <v>24.065000000000001</v>
      </c>
      <c r="AM18" s="87">
        <v>2.0979999999999999</v>
      </c>
      <c r="AN18" s="87">
        <v>3.2080000000000002</v>
      </c>
      <c r="AO18" s="87">
        <v>1.9330000000000001</v>
      </c>
      <c r="AP18" s="87">
        <v>8.9120000000000008</v>
      </c>
      <c r="AQ18" s="87">
        <v>13.242000000000001</v>
      </c>
      <c r="AR18" s="87">
        <v>6.3470000000000004</v>
      </c>
      <c r="AS18" s="87">
        <v>6.7110000000000003</v>
      </c>
      <c r="AT18" s="87">
        <v>6.0659999999999998</v>
      </c>
      <c r="AU18" s="87">
        <v>3.4350000000000001</v>
      </c>
      <c r="AV18" s="87">
        <v>22.559000000000001</v>
      </c>
      <c r="AW18" s="87">
        <v>6.0279999999999996</v>
      </c>
      <c r="AX18" s="87">
        <v>4.0039999999999996</v>
      </c>
      <c r="AY18" s="87">
        <v>3.8050000000000002</v>
      </c>
      <c r="AZ18" s="87">
        <v>4.9089999999999998</v>
      </c>
      <c r="BA18" s="18">
        <f t="shared" si="0"/>
        <v>18.745999999999999</v>
      </c>
      <c r="BB18" s="87">
        <v>3.6720000000000002</v>
      </c>
      <c r="BC18" s="21">
        <v>5.1719999999999997</v>
      </c>
      <c r="BD18" s="87">
        <v>4.4809999999999999</v>
      </c>
      <c r="BE18" s="87">
        <v>4.2270000000000003</v>
      </c>
      <c r="BF18" s="18">
        <f t="shared" si="1"/>
        <v>17.552</v>
      </c>
      <c r="BG18" s="145">
        <v>2.5219999999999998</v>
      </c>
      <c r="BH18" s="21">
        <v>0.85199999999999998</v>
      </c>
      <c r="BI18" s="87">
        <v>1.8720000000000001</v>
      </c>
      <c r="BJ18" s="87">
        <v>1.5960000000000001</v>
      </c>
      <c r="BK18" s="18">
        <f t="shared" si="2"/>
        <v>6.8419999999999996</v>
      </c>
      <c r="BL18" s="87">
        <v>2.7829999999999999</v>
      </c>
      <c r="BM18" s="87">
        <v>0</v>
      </c>
      <c r="BN18" s="87">
        <v>0</v>
      </c>
      <c r="BO18" s="87">
        <v>0</v>
      </c>
      <c r="BP18" s="18">
        <f t="shared" si="3"/>
        <v>2.7829999999999999</v>
      </c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21"/>
      <c r="CF18" s="21"/>
    </row>
    <row r="19" spans="1:87">
      <c r="C19" s="16" t="s">
        <v>164</v>
      </c>
      <c r="D19" s="148">
        <v>0</v>
      </c>
      <c r="E19" s="148">
        <v>0</v>
      </c>
      <c r="F19" s="148">
        <v>0</v>
      </c>
      <c r="G19" s="148">
        <v>0</v>
      </c>
      <c r="H19" s="148">
        <v>0</v>
      </c>
      <c r="I19" s="148">
        <v>0</v>
      </c>
      <c r="J19" s="148">
        <v>0</v>
      </c>
      <c r="K19" s="148">
        <v>0</v>
      </c>
      <c r="L19" s="148">
        <v>0</v>
      </c>
      <c r="M19" s="148">
        <v>0</v>
      </c>
      <c r="N19" s="148">
        <v>0</v>
      </c>
      <c r="O19" s="148">
        <v>0</v>
      </c>
      <c r="P19" s="148">
        <v>0</v>
      </c>
      <c r="Q19" s="148">
        <v>0</v>
      </c>
      <c r="R19" s="148">
        <v>0</v>
      </c>
      <c r="S19" s="148">
        <v>0</v>
      </c>
      <c r="T19" s="148">
        <v>0</v>
      </c>
      <c r="U19" s="148">
        <v>0</v>
      </c>
      <c r="V19" s="148">
        <v>0</v>
      </c>
      <c r="W19" s="148">
        <v>0</v>
      </c>
      <c r="X19" s="148">
        <v>0</v>
      </c>
      <c r="Y19" s="148">
        <v>0</v>
      </c>
      <c r="Z19" s="148">
        <v>0</v>
      </c>
      <c r="AA19" s="148">
        <v>0</v>
      </c>
      <c r="AB19" s="148">
        <v>0</v>
      </c>
      <c r="AC19" s="148">
        <v>0</v>
      </c>
      <c r="AD19" s="148">
        <v>0</v>
      </c>
      <c r="AE19" s="148">
        <v>0</v>
      </c>
      <c r="AF19" s="148">
        <v>0</v>
      </c>
      <c r="AG19" s="148">
        <v>0</v>
      </c>
      <c r="AH19" s="148">
        <v>0</v>
      </c>
      <c r="AI19" s="148">
        <v>0</v>
      </c>
      <c r="AJ19" s="148">
        <v>0</v>
      </c>
      <c r="AK19" s="148">
        <v>0</v>
      </c>
      <c r="AL19" s="148">
        <v>0</v>
      </c>
      <c r="AM19" s="148">
        <v>0</v>
      </c>
      <c r="AN19" s="148">
        <v>0</v>
      </c>
      <c r="AO19" s="148">
        <v>0</v>
      </c>
      <c r="AP19" s="148">
        <v>0</v>
      </c>
      <c r="AQ19" s="148">
        <v>0</v>
      </c>
      <c r="AR19" s="148">
        <v>0</v>
      </c>
      <c r="AS19" s="148">
        <v>0</v>
      </c>
      <c r="AT19" s="148">
        <v>0</v>
      </c>
      <c r="AU19" s="148">
        <v>0</v>
      </c>
      <c r="AV19" s="148">
        <v>0</v>
      </c>
      <c r="AW19" s="148">
        <v>0</v>
      </c>
      <c r="AX19" s="148">
        <v>0</v>
      </c>
      <c r="AY19" s="148">
        <v>0</v>
      </c>
      <c r="AZ19" s="148">
        <v>0</v>
      </c>
      <c r="BA19" s="148">
        <v>0</v>
      </c>
      <c r="BB19" s="148">
        <v>0</v>
      </c>
      <c r="BC19" s="148">
        <v>0</v>
      </c>
      <c r="BD19" s="148">
        <v>0</v>
      </c>
      <c r="BE19" s="148">
        <v>0</v>
      </c>
      <c r="BF19" s="148">
        <v>0</v>
      </c>
      <c r="BG19" s="87">
        <v>0</v>
      </c>
      <c r="BH19" s="21">
        <v>0</v>
      </c>
      <c r="BI19" s="87">
        <v>36.941000000000003</v>
      </c>
      <c r="BJ19" s="87">
        <v>53.439</v>
      </c>
      <c r="BK19" s="148">
        <v>0</v>
      </c>
      <c r="BL19" s="87">
        <v>54.334000000000003</v>
      </c>
      <c r="BM19" s="87">
        <v>0</v>
      </c>
      <c r="BN19" s="87">
        <v>0</v>
      </c>
      <c r="BO19" s="87">
        <v>0</v>
      </c>
      <c r="BP19" s="148">
        <v>0</v>
      </c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92"/>
      <c r="CF19" s="92"/>
      <c r="CG19" s="69"/>
      <c r="CH19" s="69"/>
      <c r="CI19" s="69"/>
    </row>
    <row r="20" spans="1:87" ht="17.399999999999999">
      <c r="C20" s="151" t="s">
        <v>165</v>
      </c>
      <c r="D20" s="152">
        <f>D10+D13+D14+D15+D16+D17+D18+D12</f>
        <v>21.319000000000003</v>
      </c>
      <c r="E20" s="152">
        <f>E10+E13+E14+E15+E16+E17+E18+E12</f>
        <v>26.477999999999998</v>
      </c>
      <c r="F20" s="152">
        <f>F10+F13+F14+F15+F16+F17+F18+F12</f>
        <v>29.992000000000001</v>
      </c>
      <c r="G20" s="152">
        <f>G10+G13+G14+G15+G16+G17+G18+G12</f>
        <v>37.319000000000003</v>
      </c>
      <c r="H20" s="152">
        <f t="shared" ref="H20:BJ20" si="10">H10+H13+H14+H15+H16+H17+H18+H12+H19+H11</f>
        <v>115.108</v>
      </c>
      <c r="I20" s="152">
        <f t="shared" si="10"/>
        <v>34.283000000000001</v>
      </c>
      <c r="J20" s="152">
        <f t="shared" si="10"/>
        <v>39.527999999999999</v>
      </c>
      <c r="K20" s="152">
        <f t="shared" si="10"/>
        <v>43.838000000000001</v>
      </c>
      <c r="L20" s="152">
        <f t="shared" si="10"/>
        <v>52.356999999999985</v>
      </c>
      <c r="M20" s="152">
        <f t="shared" si="10"/>
        <v>170.006</v>
      </c>
      <c r="N20" s="152">
        <f t="shared" si="10"/>
        <v>49.902999999999999</v>
      </c>
      <c r="O20" s="152">
        <f t="shared" si="10"/>
        <v>63.463999999999999</v>
      </c>
      <c r="P20" s="152">
        <f t="shared" si="10"/>
        <v>72.215999999999994</v>
      </c>
      <c r="Q20" s="152">
        <f t="shared" si="10"/>
        <v>80.935000000000031</v>
      </c>
      <c r="R20" s="152">
        <f t="shared" si="10"/>
        <v>266.51800000000003</v>
      </c>
      <c r="S20" s="152">
        <f t="shared" si="10"/>
        <v>107.33600000000001</v>
      </c>
      <c r="T20" s="152">
        <f t="shared" si="10"/>
        <v>128.31</v>
      </c>
      <c r="U20" s="152">
        <f t="shared" si="10"/>
        <v>174.13000000000002</v>
      </c>
      <c r="V20" s="152">
        <f t="shared" si="10"/>
        <v>170.75100000000003</v>
      </c>
      <c r="W20" s="152">
        <f t="shared" si="10"/>
        <v>580.52700000000004</v>
      </c>
      <c r="X20" s="152">
        <f t="shared" si="10"/>
        <v>194.65199999999999</v>
      </c>
      <c r="Y20" s="152">
        <f t="shared" si="10"/>
        <v>206.56399999999996</v>
      </c>
      <c r="Z20" s="152">
        <f t="shared" si="10"/>
        <v>230.386</v>
      </c>
      <c r="AA20" s="152">
        <f t="shared" si="10"/>
        <v>168.19600000000011</v>
      </c>
      <c r="AB20" s="152">
        <f t="shared" si="10"/>
        <v>865.39800000000002</v>
      </c>
      <c r="AC20" s="152">
        <f t="shared" si="10"/>
        <v>244.98600000000002</v>
      </c>
      <c r="AD20" s="152">
        <f t="shared" si="10"/>
        <v>289.10000000000002</v>
      </c>
      <c r="AE20" s="152">
        <f t="shared" si="10"/>
        <v>304.40699999999998</v>
      </c>
      <c r="AF20" s="152">
        <f t="shared" si="10"/>
        <v>324.22300000000001</v>
      </c>
      <c r="AG20" s="152">
        <f t="shared" si="10"/>
        <v>1162.7159999999999</v>
      </c>
      <c r="AH20" s="152">
        <f t="shared" si="10"/>
        <v>307.03500000000003</v>
      </c>
      <c r="AI20" s="152">
        <f t="shared" si="10"/>
        <v>332.10599999999999</v>
      </c>
      <c r="AJ20" s="152">
        <f t="shared" si="10"/>
        <v>338.75400000000002</v>
      </c>
      <c r="AK20" s="152">
        <f t="shared" si="10"/>
        <v>338.92399999999998</v>
      </c>
      <c r="AL20" s="152">
        <f t="shared" si="10"/>
        <v>1316.8190000000002</v>
      </c>
      <c r="AM20" s="152">
        <f t="shared" si="10"/>
        <v>333.91600000000005</v>
      </c>
      <c r="AN20" s="152">
        <f t="shared" si="10"/>
        <v>379.11</v>
      </c>
      <c r="AO20" s="152">
        <f t="shared" si="10"/>
        <v>371.62099999999998</v>
      </c>
      <c r="AP20" s="152">
        <f t="shared" si="10"/>
        <v>392.61400000000003</v>
      </c>
      <c r="AQ20" s="152">
        <f t="shared" si="10"/>
        <v>1477.2609999999997</v>
      </c>
      <c r="AR20" s="152">
        <f t="shared" si="10"/>
        <v>373.678</v>
      </c>
      <c r="AS20" s="152">
        <f t="shared" si="10"/>
        <v>389.65500000000003</v>
      </c>
      <c r="AT20" s="152">
        <f t="shared" si="10"/>
        <v>407.971</v>
      </c>
      <c r="AU20" s="152">
        <f t="shared" si="10"/>
        <v>430.09499999999997</v>
      </c>
      <c r="AV20" s="152">
        <f t="shared" si="10"/>
        <v>1601.3990000000001</v>
      </c>
      <c r="AW20" s="152">
        <f t="shared" si="10"/>
        <v>440.84699999999998</v>
      </c>
      <c r="AX20" s="152">
        <f t="shared" si="10"/>
        <v>496.09500000000003</v>
      </c>
      <c r="AY20" s="152">
        <f t="shared" si="10"/>
        <v>465.197</v>
      </c>
      <c r="AZ20" s="152">
        <f t="shared" si="10"/>
        <v>467.33399999999995</v>
      </c>
      <c r="BA20" s="152">
        <f t="shared" si="10"/>
        <v>1869.473</v>
      </c>
      <c r="BB20" s="152">
        <f t="shared" si="10"/>
        <v>503.33100000000002</v>
      </c>
      <c r="BC20" s="152">
        <f t="shared" si="10"/>
        <v>523.423</v>
      </c>
      <c r="BD20" s="152">
        <f t="shared" si="10"/>
        <v>532.32099999999991</v>
      </c>
      <c r="BE20" s="152">
        <f t="shared" si="10"/>
        <v>576.52599999999995</v>
      </c>
      <c r="BF20" s="152">
        <f t="shared" si="10"/>
        <v>2135.6010000000001</v>
      </c>
      <c r="BG20" s="152">
        <f t="shared" si="10"/>
        <v>530.20500000000004</v>
      </c>
      <c r="BH20" s="152">
        <f t="shared" si="10"/>
        <v>558.20299999999986</v>
      </c>
      <c r="BI20" s="152">
        <f t="shared" si="10"/>
        <v>596.94900000000007</v>
      </c>
      <c r="BJ20" s="152">
        <f t="shared" si="10"/>
        <v>661.303</v>
      </c>
      <c r="BK20" s="152">
        <f>BK10+BK13+BK14+BK15+BK16+BK17+BK18+BK12+BK19+BK11</f>
        <v>2256.2800000000002</v>
      </c>
      <c r="BL20" s="152">
        <f>BL10+BL13+BL14+BL15+BL16+BL17+BL18+BL12+BL19+BL11</f>
        <v>603.53099999999995</v>
      </c>
      <c r="BM20" s="152">
        <f>BM10+BM13+BM14+BM15+BM16+BM17+BM18+BM12+BM19</f>
        <v>0</v>
      </c>
      <c r="BN20" s="152">
        <f t="shared" ref="BN20:BO20" si="11">BN10+BN13+BN14+BN15+BN16+BN17+BN18+BN12+BN19</f>
        <v>0</v>
      </c>
      <c r="BO20" s="152">
        <f t="shared" si="11"/>
        <v>0</v>
      </c>
      <c r="BP20" s="152">
        <f t="shared" ref="BP20" si="12">BP10+BP13+BP14+BP15+BP16+BP17+BP18+BP12+BP19</f>
        <v>473.78099999999995</v>
      </c>
      <c r="BQ20" s="153"/>
      <c r="BR20" s="153"/>
      <c r="BS20" s="153"/>
      <c r="BT20" s="153"/>
      <c r="BU20" s="153"/>
      <c r="BV20" s="153"/>
      <c r="BW20" s="153"/>
      <c r="BX20" s="153"/>
      <c r="BY20" s="153"/>
      <c r="BZ20" s="153"/>
      <c r="CA20" s="153"/>
      <c r="CB20" s="153"/>
      <c r="CC20" s="153"/>
      <c r="CD20" s="153"/>
      <c r="CE20" s="92"/>
      <c r="CF20" s="92"/>
      <c r="CG20" s="69"/>
      <c r="CH20" s="69"/>
      <c r="CI20" s="69"/>
    </row>
    <row r="21" spans="1:87">
      <c r="C21" s="84"/>
      <c r="D21" s="154" t="s">
        <v>63</v>
      </c>
      <c r="E21" s="154" t="s">
        <v>63</v>
      </c>
      <c r="F21" s="154" t="s">
        <v>63</v>
      </c>
      <c r="G21" s="154" t="s">
        <v>63</v>
      </c>
      <c r="H21" s="155" t="s">
        <v>63</v>
      </c>
      <c r="I21" s="140">
        <f>IFERROR(I20/D20-1,0)</f>
        <v>0.60809606454336484</v>
      </c>
      <c r="J21" s="140">
        <f t="shared" ref="J21:BG21" si="13">IFERROR(J20/E20-1,0)</f>
        <v>0.49286199864038083</v>
      </c>
      <c r="K21" s="140">
        <f t="shared" si="13"/>
        <v>0.4616564417177913</v>
      </c>
      <c r="L21" s="140">
        <f t="shared" si="13"/>
        <v>0.40295827862482869</v>
      </c>
      <c r="M21" s="140">
        <f t="shared" si="13"/>
        <v>0.476926017305487</v>
      </c>
      <c r="N21" s="140">
        <f t="shared" si="13"/>
        <v>0.4556194032027534</v>
      </c>
      <c r="O21" s="140">
        <f t="shared" si="13"/>
        <v>0.60554543614652911</v>
      </c>
      <c r="P21" s="140">
        <f t="shared" si="13"/>
        <v>0.64733792600027362</v>
      </c>
      <c r="Q21" s="140">
        <f t="shared" si="13"/>
        <v>0.54582959298661216</v>
      </c>
      <c r="R21" s="140">
        <f t="shared" si="13"/>
        <v>0.56769761067256463</v>
      </c>
      <c r="S21" s="140">
        <f t="shared" si="13"/>
        <v>1.1508927318998863</v>
      </c>
      <c r="T21" s="140">
        <f t="shared" si="13"/>
        <v>1.0217761250472708</v>
      </c>
      <c r="U21" s="140">
        <f t="shared" si="13"/>
        <v>1.4112385067021163</v>
      </c>
      <c r="V21" s="140">
        <f t="shared" si="13"/>
        <v>1.109730030271205</v>
      </c>
      <c r="W21" s="140">
        <f t="shared" si="13"/>
        <v>1.1781905912546242</v>
      </c>
      <c r="X21" s="140">
        <f t="shared" si="13"/>
        <v>0.81348289483491065</v>
      </c>
      <c r="Y21" s="140">
        <f t="shared" si="13"/>
        <v>0.60988231626529466</v>
      </c>
      <c r="Z21" s="140">
        <f t="shared" si="13"/>
        <v>0.32306897145810587</v>
      </c>
      <c r="AA21" s="140">
        <f t="shared" si="13"/>
        <v>-1.4963309146066028E-2</v>
      </c>
      <c r="AB21" s="140">
        <f t="shared" si="13"/>
        <v>0.49071102636053099</v>
      </c>
      <c r="AC21" s="140">
        <f t="shared" si="13"/>
        <v>0.25858455089082066</v>
      </c>
      <c r="AD21" s="140">
        <f t="shared" si="13"/>
        <v>0.39956623613020703</v>
      </c>
      <c r="AE21" s="140">
        <f t="shared" si="13"/>
        <v>0.32129122429314272</v>
      </c>
      <c r="AF21" s="140">
        <f t="shared" si="13"/>
        <v>0.92764988465837361</v>
      </c>
      <c r="AG21" s="140">
        <f t="shared" si="13"/>
        <v>0.34356215290536829</v>
      </c>
      <c r="AH21" s="140">
        <f t="shared" si="13"/>
        <v>0.25327569738678957</v>
      </c>
      <c r="AI21" s="140">
        <f t="shared" si="13"/>
        <v>0.14875821515046694</v>
      </c>
      <c r="AJ21" s="140">
        <f t="shared" si="13"/>
        <v>0.11283249071144885</v>
      </c>
      <c r="AK21" s="140">
        <f t="shared" si="13"/>
        <v>4.53422490076274E-2</v>
      </c>
      <c r="AL21" s="140">
        <f t="shared" si="13"/>
        <v>0.13253709418293047</v>
      </c>
      <c r="AM21" s="140">
        <f t="shared" si="13"/>
        <v>8.7550279284120736E-2</v>
      </c>
      <c r="AN21" s="140">
        <f t="shared" si="13"/>
        <v>0.14153312496612536</v>
      </c>
      <c r="AO21" s="140">
        <f t="shared" si="13"/>
        <v>9.7023208582038833E-2</v>
      </c>
      <c r="AP21" s="140">
        <f t="shared" si="13"/>
        <v>0.15841309556124683</v>
      </c>
      <c r="AQ21" s="140">
        <f t="shared" si="13"/>
        <v>0.12184058705106748</v>
      </c>
      <c r="AR21" s="140">
        <f t="shared" si="13"/>
        <v>0.11907785191485254</v>
      </c>
      <c r="AS21" s="140">
        <f t="shared" si="13"/>
        <v>2.7815145999841695E-2</v>
      </c>
      <c r="AT21" s="140">
        <f t="shared" si="13"/>
        <v>9.781470907187706E-2</v>
      </c>
      <c r="AU21" s="140">
        <f t="shared" si="13"/>
        <v>9.5465266139261207E-2</v>
      </c>
      <c r="AV21" s="140">
        <f t="shared" si="13"/>
        <v>8.4032544012195842E-2</v>
      </c>
      <c r="AW21" s="140">
        <f t="shared" si="13"/>
        <v>0.17975101558025885</v>
      </c>
      <c r="AX21" s="140">
        <f t="shared" si="13"/>
        <v>0.27316472263925773</v>
      </c>
      <c r="AY21" s="140">
        <f t="shared" si="13"/>
        <v>0.14026977407707908</v>
      </c>
      <c r="AZ21" s="140">
        <f t="shared" si="13"/>
        <v>8.6583196735604773E-2</v>
      </c>
      <c r="BA21" s="140">
        <f t="shared" si="13"/>
        <v>0.16739987973016079</v>
      </c>
      <c r="BB21" s="140">
        <f t="shared" si="13"/>
        <v>0.1417362486304774</v>
      </c>
      <c r="BC21" s="140">
        <f t="shared" si="13"/>
        <v>5.5086223404791301E-2</v>
      </c>
      <c r="BD21" s="140">
        <f t="shared" si="13"/>
        <v>0.14429155820007411</v>
      </c>
      <c r="BE21" s="140">
        <f t="shared" si="13"/>
        <v>0.23364873944545028</v>
      </c>
      <c r="BF21" s="140">
        <f t="shared" si="13"/>
        <v>0.14235455660498975</v>
      </c>
      <c r="BG21" s="140">
        <f t="shared" si="13"/>
        <v>5.3392300494108369E-2</v>
      </c>
      <c r="BH21" s="140">
        <f>IFERROR(BH20/BC20-1,0)</f>
        <v>6.6447213821325901E-2</v>
      </c>
      <c r="BI21" s="140">
        <f>IFERROR(BI20/BD20-1,0)</f>
        <v>0.12140794746027339</v>
      </c>
      <c r="BJ21" s="140">
        <f>IFERROR(BJ20/BE20-1,0)</f>
        <v>0.14704800824247322</v>
      </c>
      <c r="BK21" s="140">
        <f t="shared" ref="BK21" si="14">IFERROR(BK20/BF20-1,0)</f>
        <v>5.6508214783566713E-2</v>
      </c>
      <c r="BL21" s="140">
        <f>IFERROR(BL20/BG20-1,0)</f>
        <v>0.13829745098593915</v>
      </c>
      <c r="BM21" s="140">
        <f>IFERROR(BM20/BH20-1,0)</f>
        <v>-1</v>
      </c>
      <c r="BN21" s="140">
        <f t="shared" ref="BN21:BO21" si="15">IFERROR(BN20/BI20-1,0)</f>
        <v>-1</v>
      </c>
      <c r="BO21" s="140">
        <f t="shared" si="15"/>
        <v>-1</v>
      </c>
      <c r="BP21" s="140">
        <f t="shared" ref="BP21" si="16">IFERROR(BP20/BK20-1,0)</f>
        <v>-0.7900167532398461</v>
      </c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92"/>
      <c r="CF21" s="92"/>
      <c r="CG21" s="69"/>
      <c r="CH21" s="69"/>
      <c r="CI21" s="69"/>
    </row>
    <row r="22" spans="1:87">
      <c r="C22" s="84"/>
      <c r="D22" s="154"/>
      <c r="E22" s="154"/>
      <c r="F22" s="154"/>
      <c r="G22" s="154"/>
      <c r="H22" s="155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0"/>
      <c r="BM22" s="140"/>
      <c r="BN22" s="140"/>
      <c r="BO22" s="140"/>
      <c r="BP22" s="140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92"/>
      <c r="CF22" s="92"/>
      <c r="CG22" s="69"/>
      <c r="CH22" s="69"/>
      <c r="CI22" s="69"/>
    </row>
    <row r="23" spans="1:87">
      <c r="C23" s="143" t="s">
        <v>166</v>
      </c>
      <c r="D23" s="80"/>
      <c r="E23" s="69"/>
      <c r="F23" s="80"/>
      <c r="G23" s="43"/>
      <c r="H23" s="80"/>
      <c r="I23" s="80"/>
      <c r="J23" s="80"/>
      <c r="K23" s="80"/>
      <c r="L23" s="43"/>
      <c r="M23" s="80"/>
      <c r="N23" s="80"/>
      <c r="O23" s="80"/>
      <c r="P23" s="80"/>
      <c r="Q23" s="43"/>
      <c r="R23" s="80"/>
      <c r="S23" s="80"/>
      <c r="T23" s="80"/>
      <c r="U23" s="80"/>
      <c r="V23" s="43"/>
      <c r="W23" s="80"/>
      <c r="X23" s="80"/>
      <c r="Y23" s="80"/>
      <c r="Z23" s="80"/>
      <c r="AA23" s="43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69"/>
      <c r="AZ23" s="69"/>
      <c r="BA23" s="18"/>
      <c r="BB23" s="69"/>
      <c r="BC23" s="69"/>
      <c r="BD23" s="69"/>
      <c r="BE23" s="69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92"/>
      <c r="BR23" s="92"/>
      <c r="BS23" s="92"/>
      <c r="BT23" s="92"/>
      <c r="BU23" s="92"/>
      <c r="BV23" s="92"/>
      <c r="BW23" s="92"/>
      <c r="BX23" s="92"/>
      <c r="BY23" s="92"/>
      <c r="BZ23" s="92"/>
      <c r="CA23" s="92"/>
      <c r="CB23" s="92"/>
      <c r="CC23" s="92"/>
      <c r="CD23" s="92"/>
      <c r="CE23" s="92"/>
      <c r="CF23" s="92"/>
      <c r="CG23" s="69"/>
      <c r="CH23" s="69"/>
      <c r="CI23" s="69"/>
    </row>
    <row r="24" spans="1:87">
      <c r="C24" s="16" t="s">
        <v>167</v>
      </c>
      <c r="D24" s="148">
        <v>0</v>
      </c>
      <c r="E24" s="148">
        <v>0</v>
      </c>
      <c r="F24" s="148">
        <v>0</v>
      </c>
      <c r="G24" s="148">
        <v>0</v>
      </c>
      <c r="H24" s="157">
        <f>SUM(D24:G24)</f>
        <v>0</v>
      </c>
      <c r="I24" s="148">
        <v>0</v>
      </c>
      <c r="J24" s="148">
        <v>0</v>
      </c>
      <c r="K24" s="148">
        <v>0</v>
      </c>
      <c r="L24" s="148">
        <v>0</v>
      </c>
      <c r="M24" s="157">
        <f>SUM(I24:L24)</f>
        <v>0</v>
      </c>
      <c r="N24" s="148">
        <v>0</v>
      </c>
      <c r="O24" s="148">
        <v>0</v>
      </c>
      <c r="P24" s="148">
        <v>0</v>
      </c>
      <c r="Q24" s="148">
        <v>0</v>
      </c>
      <c r="R24" s="157">
        <f>SUM(N24:Q24)</f>
        <v>0</v>
      </c>
      <c r="S24" s="148">
        <v>0</v>
      </c>
      <c r="T24" s="148">
        <v>0</v>
      </c>
      <c r="U24" s="148">
        <v>0</v>
      </c>
      <c r="V24" s="148">
        <v>0</v>
      </c>
      <c r="W24" s="157">
        <f>SUM(S24:V24)</f>
        <v>0</v>
      </c>
      <c r="X24" s="148">
        <v>0</v>
      </c>
      <c r="Y24" s="148">
        <v>0</v>
      </c>
      <c r="Z24" s="148">
        <v>0</v>
      </c>
      <c r="AA24" s="148">
        <v>0</v>
      </c>
      <c r="AB24" s="157">
        <f>SUM(X24:AA24)</f>
        <v>0</v>
      </c>
      <c r="AC24" s="148">
        <v>0</v>
      </c>
      <c r="AD24" s="148">
        <v>0</v>
      </c>
      <c r="AE24" s="148">
        <v>0</v>
      </c>
      <c r="AF24" s="148">
        <v>0</v>
      </c>
      <c r="AG24" s="157">
        <f>SUM(AC24:AF24)</f>
        <v>0</v>
      </c>
      <c r="AH24" s="148">
        <v>0</v>
      </c>
      <c r="AI24" s="148">
        <v>0</v>
      </c>
      <c r="AJ24" s="148">
        <v>0</v>
      </c>
      <c r="AK24" s="148">
        <v>0</v>
      </c>
      <c r="AL24" s="157">
        <f>SUM(AH24:AK24)</f>
        <v>0</v>
      </c>
      <c r="AM24" s="148">
        <v>0</v>
      </c>
      <c r="AN24" s="148">
        <v>0</v>
      </c>
      <c r="AO24" s="148">
        <v>0</v>
      </c>
      <c r="AP24" s="148">
        <v>0</v>
      </c>
      <c r="AQ24" s="157">
        <f>SUM(AM24:AP24)</f>
        <v>0</v>
      </c>
      <c r="AR24" s="148">
        <v>0</v>
      </c>
      <c r="AS24" s="148">
        <v>0</v>
      </c>
      <c r="AT24" s="148">
        <v>0</v>
      </c>
      <c r="AU24" s="148">
        <v>0</v>
      </c>
      <c r="AV24" s="157">
        <f>SUM(AR24:AU24)</f>
        <v>0</v>
      </c>
      <c r="AW24" s="148">
        <v>0</v>
      </c>
      <c r="AX24" s="148">
        <v>0</v>
      </c>
      <c r="AY24" s="148">
        <v>0</v>
      </c>
      <c r="AZ24" s="148">
        <v>0</v>
      </c>
      <c r="BA24" s="157">
        <f>SUM(AW24:AZ24)</f>
        <v>0</v>
      </c>
      <c r="BB24" s="148">
        <v>0</v>
      </c>
      <c r="BC24" s="147">
        <v>0</v>
      </c>
      <c r="BD24" s="147">
        <v>0</v>
      </c>
      <c r="BE24" s="147">
        <v>0</v>
      </c>
      <c r="BF24" s="146">
        <f>SUM(BB24:BE24)</f>
        <v>0</v>
      </c>
      <c r="BG24" s="147">
        <v>0</v>
      </c>
      <c r="BH24" s="147">
        <v>0</v>
      </c>
      <c r="BI24" s="87">
        <v>0</v>
      </c>
      <c r="BJ24" s="87">
        <v>0</v>
      </c>
      <c r="BK24" s="146">
        <f>SUM(BG24:BJ24)</f>
        <v>0</v>
      </c>
      <c r="BL24" s="87">
        <v>0</v>
      </c>
      <c r="BM24" s="87">
        <v>0</v>
      </c>
      <c r="BN24" s="87">
        <v>0</v>
      </c>
      <c r="BO24" s="87">
        <v>0</v>
      </c>
      <c r="BP24" s="146">
        <f>SUM(BL24:BO24)</f>
        <v>0</v>
      </c>
      <c r="BQ24" s="21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92"/>
      <c r="CF24" s="92"/>
      <c r="CG24" s="69"/>
      <c r="CH24" s="69"/>
      <c r="CI24" s="69"/>
    </row>
    <row r="25" spans="1:87">
      <c r="C25" s="16" t="s">
        <v>168</v>
      </c>
      <c r="D25" s="148">
        <v>0</v>
      </c>
      <c r="E25" s="148">
        <v>0</v>
      </c>
      <c r="F25" s="148">
        <v>0</v>
      </c>
      <c r="G25" s="148">
        <v>0</v>
      </c>
      <c r="H25" s="157">
        <f>SUM(D25:G25)</f>
        <v>0</v>
      </c>
      <c r="I25" s="148">
        <v>0</v>
      </c>
      <c r="J25" s="148">
        <v>0</v>
      </c>
      <c r="K25" s="148">
        <v>0</v>
      </c>
      <c r="L25" s="148">
        <v>0</v>
      </c>
      <c r="M25" s="157">
        <f>SUM(I25:L25)</f>
        <v>0</v>
      </c>
      <c r="N25" s="148">
        <v>0</v>
      </c>
      <c r="O25" s="148">
        <v>0</v>
      </c>
      <c r="P25" s="148">
        <v>0</v>
      </c>
      <c r="Q25" s="148">
        <v>0</v>
      </c>
      <c r="R25" s="157">
        <f>SUM(N25:Q25)</f>
        <v>0</v>
      </c>
      <c r="S25" s="148">
        <v>0</v>
      </c>
      <c r="T25" s="148">
        <v>0</v>
      </c>
      <c r="U25" s="148">
        <v>0</v>
      </c>
      <c r="V25" s="148">
        <v>0</v>
      </c>
      <c r="W25" s="157">
        <f>SUM(S25:V25)</f>
        <v>0</v>
      </c>
      <c r="X25" s="148">
        <v>0</v>
      </c>
      <c r="Y25" s="148">
        <v>0</v>
      </c>
      <c r="Z25" s="148">
        <v>0</v>
      </c>
      <c r="AA25" s="148">
        <v>0</v>
      </c>
      <c r="AB25" s="157">
        <f>SUM(X25:AA25)</f>
        <v>0</v>
      </c>
      <c r="AC25" s="148">
        <v>0</v>
      </c>
      <c r="AD25" s="148">
        <v>0</v>
      </c>
      <c r="AE25" s="148">
        <v>0</v>
      </c>
      <c r="AF25" s="148">
        <v>0</v>
      </c>
      <c r="AG25" s="157">
        <f>SUM(AC25:AF25)</f>
        <v>0</v>
      </c>
      <c r="AH25" s="148">
        <v>0</v>
      </c>
      <c r="AI25" s="148">
        <v>0</v>
      </c>
      <c r="AJ25" s="148">
        <v>0</v>
      </c>
      <c r="AK25" s="148">
        <v>0</v>
      </c>
      <c r="AL25" s="157">
        <f>SUM(AH25:AK25)</f>
        <v>0</v>
      </c>
      <c r="AM25" s="148">
        <v>0</v>
      </c>
      <c r="AN25" s="148">
        <v>0</v>
      </c>
      <c r="AO25" s="148">
        <v>0</v>
      </c>
      <c r="AP25" s="148">
        <v>0</v>
      </c>
      <c r="AQ25" s="157">
        <f>SUM(AM25:AP25)</f>
        <v>0</v>
      </c>
      <c r="AR25" s="148">
        <v>0</v>
      </c>
      <c r="AS25" s="148">
        <v>0</v>
      </c>
      <c r="AT25" s="148">
        <v>0</v>
      </c>
      <c r="AU25" s="148">
        <v>0</v>
      </c>
      <c r="AV25" s="157">
        <f>SUM(AR25:AU25)</f>
        <v>0</v>
      </c>
      <c r="AW25" s="148">
        <v>0</v>
      </c>
      <c r="AX25" s="148">
        <v>0</v>
      </c>
      <c r="AY25" s="148">
        <v>0</v>
      </c>
      <c r="AZ25" s="148">
        <v>0</v>
      </c>
      <c r="BA25" s="157">
        <f>SUM(AW25:AZ25)</f>
        <v>0</v>
      </c>
      <c r="BB25" s="148">
        <v>0</v>
      </c>
      <c r="BC25" s="147">
        <v>0</v>
      </c>
      <c r="BD25" s="147">
        <v>0</v>
      </c>
      <c r="BE25" s="147">
        <v>0</v>
      </c>
      <c r="BF25" s="146">
        <f>SUM(BB25:BE25)</f>
        <v>0</v>
      </c>
      <c r="BG25" s="147">
        <v>0</v>
      </c>
      <c r="BH25" s="147">
        <v>0</v>
      </c>
      <c r="BI25" s="87">
        <v>0</v>
      </c>
      <c r="BJ25" s="87">
        <v>0</v>
      </c>
      <c r="BK25" s="146">
        <f>SUM(BG25:BJ25)</f>
        <v>0</v>
      </c>
      <c r="BL25" s="87">
        <v>0</v>
      </c>
      <c r="BM25" s="87">
        <v>0</v>
      </c>
      <c r="BN25" s="87">
        <v>0</v>
      </c>
      <c r="BO25" s="87">
        <v>0</v>
      </c>
      <c r="BP25" s="146">
        <f>SUM(BL25:BO25)</f>
        <v>0</v>
      </c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92"/>
      <c r="CF25" s="92"/>
      <c r="CG25" s="69"/>
      <c r="CH25" s="69"/>
      <c r="CI25" s="69"/>
    </row>
    <row r="26" spans="1:87">
      <c r="C26" s="16" t="s">
        <v>169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0</v>
      </c>
      <c r="AA26" s="81">
        <v>0</v>
      </c>
      <c r="AB26" s="81">
        <v>0</v>
      </c>
      <c r="AC26" s="81">
        <v>0</v>
      </c>
      <c r="AD26" s="81">
        <v>0</v>
      </c>
      <c r="AE26" s="81">
        <v>0</v>
      </c>
      <c r="AF26" s="81">
        <v>0</v>
      </c>
      <c r="AG26" s="81">
        <v>0</v>
      </c>
      <c r="AH26" s="81">
        <v>0</v>
      </c>
      <c r="AI26" s="81">
        <v>0</v>
      </c>
      <c r="AJ26" s="81">
        <v>0</v>
      </c>
      <c r="AK26" s="81">
        <v>0</v>
      </c>
      <c r="AL26" s="81">
        <v>0</v>
      </c>
      <c r="AM26" s="81">
        <v>0</v>
      </c>
      <c r="AN26" s="81">
        <v>0</v>
      </c>
      <c r="AO26" s="81">
        <v>0</v>
      </c>
      <c r="AP26" s="81">
        <v>0</v>
      </c>
      <c r="AQ26" s="81">
        <v>0</v>
      </c>
      <c r="AR26" s="81">
        <v>0</v>
      </c>
      <c r="AS26" s="81">
        <v>0</v>
      </c>
      <c r="AT26" s="81">
        <v>0</v>
      </c>
      <c r="AU26" s="81">
        <v>0</v>
      </c>
      <c r="AV26" s="81">
        <v>0</v>
      </c>
      <c r="AW26" s="81">
        <v>0</v>
      </c>
      <c r="AX26" s="81">
        <v>0</v>
      </c>
      <c r="AY26" s="81">
        <v>0</v>
      </c>
      <c r="AZ26" s="81">
        <v>0</v>
      </c>
      <c r="BA26" s="81">
        <v>0</v>
      </c>
      <c r="BB26" s="81">
        <v>0</v>
      </c>
      <c r="BC26" s="156">
        <v>0</v>
      </c>
      <c r="BD26" s="156">
        <v>0</v>
      </c>
      <c r="BE26" s="156">
        <v>0</v>
      </c>
      <c r="BF26" s="34">
        <f t="shared" ref="BF26" si="17">SUM(BB26:BE26)</f>
        <v>0</v>
      </c>
      <c r="BG26" s="21">
        <v>0</v>
      </c>
      <c r="BH26" s="21">
        <v>0</v>
      </c>
      <c r="BI26" s="87">
        <v>0</v>
      </c>
      <c r="BJ26" s="87">
        <v>0</v>
      </c>
      <c r="BK26" s="34">
        <f t="shared" ref="BK26" si="18">SUM(BG26:BJ26)</f>
        <v>0</v>
      </c>
      <c r="BL26" s="87">
        <v>0</v>
      </c>
      <c r="BM26" s="87">
        <v>0</v>
      </c>
      <c r="BN26" s="87">
        <v>0</v>
      </c>
      <c r="BO26" s="87">
        <v>0</v>
      </c>
      <c r="BP26" s="34">
        <f t="shared" ref="BP26" si="19">SUM(BL26:BO26)</f>
        <v>0</v>
      </c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92"/>
      <c r="CF26" s="92"/>
      <c r="CG26" s="69"/>
      <c r="CH26" s="69"/>
      <c r="CI26" s="69"/>
    </row>
    <row r="27" spans="1:87" s="158" customFormat="1" ht="15.6">
      <c r="A27" s="1"/>
      <c r="B27" s="1"/>
      <c r="C27" s="16" t="s">
        <v>170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0</v>
      </c>
      <c r="AA27" s="81">
        <v>0</v>
      </c>
      <c r="AB27" s="81">
        <v>0</v>
      </c>
      <c r="AC27" s="81">
        <v>0</v>
      </c>
      <c r="AD27" s="81">
        <v>0</v>
      </c>
      <c r="AE27" s="81">
        <v>0</v>
      </c>
      <c r="AF27" s="81">
        <v>0</v>
      </c>
      <c r="AG27" s="81">
        <v>0</v>
      </c>
      <c r="AH27" s="81">
        <v>0</v>
      </c>
      <c r="AI27" s="81">
        <v>0</v>
      </c>
      <c r="AJ27" s="81">
        <v>0</v>
      </c>
      <c r="AK27" s="81">
        <v>0</v>
      </c>
      <c r="AL27" s="81">
        <v>0</v>
      </c>
      <c r="AM27" s="81">
        <v>0</v>
      </c>
      <c r="AN27" s="81">
        <v>0</v>
      </c>
      <c r="AO27" s="81">
        <v>0</v>
      </c>
      <c r="AP27" s="81">
        <v>0</v>
      </c>
      <c r="AQ27" s="81">
        <v>0</v>
      </c>
      <c r="AR27" s="81">
        <v>0</v>
      </c>
      <c r="AS27" s="81">
        <v>0</v>
      </c>
      <c r="AT27" s="81">
        <v>0</v>
      </c>
      <c r="AU27" s="81">
        <v>0</v>
      </c>
      <c r="AV27" s="81">
        <v>0</v>
      </c>
      <c r="AW27" s="81">
        <v>0</v>
      </c>
      <c r="AX27" s="81">
        <v>0</v>
      </c>
      <c r="AY27" s="81">
        <v>0</v>
      </c>
      <c r="AZ27" s="81">
        <v>0</v>
      </c>
      <c r="BA27" s="81">
        <v>0</v>
      </c>
      <c r="BB27" s="81">
        <v>0</v>
      </c>
      <c r="BC27" s="81">
        <v>0</v>
      </c>
      <c r="BD27" s="81">
        <v>0</v>
      </c>
      <c r="BE27" s="81">
        <v>0</v>
      </c>
      <c r="BF27" s="18">
        <f t="shared" ref="BF27" si="20">SUM(BB27:BE27)</f>
        <v>0</v>
      </c>
      <c r="BG27" s="87">
        <v>0</v>
      </c>
      <c r="BH27" s="87">
        <v>0</v>
      </c>
      <c r="BI27" s="87">
        <v>0</v>
      </c>
      <c r="BJ27" s="87">
        <v>0</v>
      </c>
      <c r="BK27" s="18">
        <f t="shared" ref="BK27" si="21">SUM(BG27:BJ27)</f>
        <v>0</v>
      </c>
      <c r="BL27" s="87">
        <v>0</v>
      </c>
      <c r="BM27" s="87">
        <v>0</v>
      </c>
      <c r="BN27" s="87">
        <v>0</v>
      </c>
      <c r="BO27" s="87">
        <v>0</v>
      </c>
      <c r="BP27" s="18">
        <f t="shared" ref="BP27" si="22">SUM(BL27:BO27)</f>
        <v>0</v>
      </c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130"/>
      <c r="CF27" s="130"/>
      <c r="CG27" s="104"/>
      <c r="CH27" s="104"/>
      <c r="CI27" s="104"/>
    </row>
    <row r="28" spans="1:87" s="118" customFormat="1" ht="17.399999999999999">
      <c r="A28" s="1"/>
      <c r="B28" s="1"/>
      <c r="C28" s="151" t="s">
        <v>171</v>
      </c>
      <c r="D28" s="159">
        <f t="shared" ref="D28:AI28" si="23">SUM(D24:D27)</f>
        <v>0</v>
      </c>
      <c r="E28" s="159">
        <f t="shared" si="23"/>
        <v>0</v>
      </c>
      <c r="F28" s="159">
        <f t="shared" si="23"/>
        <v>0</v>
      </c>
      <c r="G28" s="159">
        <f t="shared" si="23"/>
        <v>0</v>
      </c>
      <c r="H28" s="159">
        <f t="shared" si="23"/>
        <v>0</v>
      </c>
      <c r="I28" s="159">
        <f t="shared" si="23"/>
        <v>0</v>
      </c>
      <c r="J28" s="159">
        <f t="shared" si="23"/>
        <v>0</v>
      </c>
      <c r="K28" s="159">
        <f t="shared" si="23"/>
        <v>0</v>
      </c>
      <c r="L28" s="159">
        <f t="shared" si="23"/>
        <v>0</v>
      </c>
      <c r="M28" s="159">
        <f t="shared" si="23"/>
        <v>0</v>
      </c>
      <c r="N28" s="159">
        <f t="shared" si="23"/>
        <v>0</v>
      </c>
      <c r="O28" s="159">
        <f t="shared" si="23"/>
        <v>0</v>
      </c>
      <c r="P28" s="159">
        <f t="shared" si="23"/>
        <v>0</v>
      </c>
      <c r="Q28" s="159">
        <f t="shared" si="23"/>
        <v>0</v>
      </c>
      <c r="R28" s="159">
        <f t="shared" si="23"/>
        <v>0</v>
      </c>
      <c r="S28" s="159">
        <f t="shared" si="23"/>
        <v>0</v>
      </c>
      <c r="T28" s="159">
        <f t="shared" si="23"/>
        <v>0</v>
      </c>
      <c r="U28" s="159">
        <f t="shared" si="23"/>
        <v>0</v>
      </c>
      <c r="V28" s="159">
        <f t="shared" si="23"/>
        <v>0</v>
      </c>
      <c r="W28" s="159">
        <f t="shared" si="23"/>
        <v>0</v>
      </c>
      <c r="X28" s="159">
        <f t="shared" si="23"/>
        <v>0</v>
      </c>
      <c r="Y28" s="159">
        <f t="shared" si="23"/>
        <v>0</v>
      </c>
      <c r="Z28" s="159">
        <f t="shared" si="23"/>
        <v>0</v>
      </c>
      <c r="AA28" s="159">
        <f t="shared" si="23"/>
        <v>0</v>
      </c>
      <c r="AB28" s="159">
        <f t="shared" si="23"/>
        <v>0</v>
      </c>
      <c r="AC28" s="159">
        <f t="shared" si="23"/>
        <v>0</v>
      </c>
      <c r="AD28" s="159">
        <f t="shared" si="23"/>
        <v>0</v>
      </c>
      <c r="AE28" s="159">
        <f t="shared" si="23"/>
        <v>0</v>
      </c>
      <c r="AF28" s="159">
        <f t="shared" si="23"/>
        <v>0</v>
      </c>
      <c r="AG28" s="159">
        <f t="shared" si="23"/>
        <v>0</v>
      </c>
      <c r="AH28" s="159">
        <f t="shared" si="23"/>
        <v>0</v>
      </c>
      <c r="AI28" s="159">
        <f t="shared" si="23"/>
        <v>0</v>
      </c>
      <c r="AJ28" s="159">
        <f t="shared" ref="AJ28:BO28" si="24">SUM(AJ24:AJ27)</f>
        <v>0</v>
      </c>
      <c r="AK28" s="159">
        <f t="shared" si="24"/>
        <v>0</v>
      </c>
      <c r="AL28" s="159">
        <f t="shared" si="24"/>
        <v>0</v>
      </c>
      <c r="AM28" s="159">
        <f t="shared" si="24"/>
        <v>0</v>
      </c>
      <c r="AN28" s="159">
        <f t="shared" si="24"/>
        <v>0</v>
      </c>
      <c r="AO28" s="159">
        <f t="shared" si="24"/>
        <v>0</v>
      </c>
      <c r="AP28" s="159">
        <f t="shared" si="24"/>
        <v>0</v>
      </c>
      <c r="AQ28" s="159">
        <f t="shared" si="24"/>
        <v>0</v>
      </c>
      <c r="AR28" s="159">
        <f t="shared" si="24"/>
        <v>0</v>
      </c>
      <c r="AS28" s="159">
        <f t="shared" si="24"/>
        <v>0</v>
      </c>
      <c r="AT28" s="159">
        <f t="shared" si="24"/>
        <v>0</v>
      </c>
      <c r="AU28" s="159">
        <f t="shared" si="24"/>
        <v>0</v>
      </c>
      <c r="AV28" s="159">
        <f t="shared" si="24"/>
        <v>0</v>
      </c>
      <c r="AW28" s="159">
        <f t="shared" si="24"/>
        <v>0</v>
      </c>
      <c r="AX28" s="159">
        <f t="shared" si="24"/>
        <v>0</v>
      </c>
      <c r="AY28" s="159">
        <f t="shared" si="24"/>
        <v>0</v>
      </c>
      <c r="AZ28" s="159">
        <f t="shared" si="24"/>
        <v>0</v>
      </c>
      <c r="BA28" s="159">
        <f t="shared" si="24"/>
        <v>0</v>
      </c>
      <c r="BB28" s="159">
        <f t="shared" si="24"/>
        <v>0</v>
      </c>
      <c r="BC28" s="159">
        <f t="shared" si="24"/>
        <v>0</v>
      </c>
      <c r="BD28" s="159">
        <f t="shared" si="24"/>
        <v>0</v>
      </c>
      <c r="BE28" s="159">
        <f t="shared" si="24"/>
        <v>0</v>
      </c>
      <c r="BF28" s="159">
        <f t="shared" si="24"/>
        <v>0</v>
      </c>
      <c r="BG28" s="159">
        <f t="shared" si="24"/>
        <v>0</v>
      </c>
      <c r="BH28" s="159">
        <f t="shared" si="24"/>
        <v>0</v>
      </c>
      <c r="BI28" s="159">
        <f t="shared" si="24"/>
        <v>0</v>
      </c>
      <c r="BJ28" s="159">
        <f t="shared" si="24"/>
        <v>0</v>
      </c>
      <c r="BK28" s="159">
        <f t="shared" si="24"/>
        <v>0</v>
      </c>
      <c r="BL28" s="159">
        <f t="shared" si="24"/>
        <v>0</v>
      </c>
      <c r="BM28" s="159">
        <f t="shared" si="24"/>
        <v>0</v>
      </c>
      <c r="BN28" s="159">
        <f t="shared" si="24"/>
        <v>0</v>
      </c>
      <c r="BO28" s="159">
        <f t="shared" si="24"/>
        <v>0</v>
      </c>
      <c r="BP28" s="159">
        <f t="shared" ref="BP28" si="25">SUM(BP24:BP27)</f>
        <v>0</v>
      </c>
      <c r="BQ28" s="153"/>
      <c r="BR28" s="153"/>
      <c r="BS28" s="153"/>
      <c r="BT28" s="153"/>
      <c r="BU28" s="153"/>
      <c r="BV28" s="153"/>
      <c r="BW28" s="153"/>
      <c r="BX28" s="153"/>
      <c r="BY28" s="153"/>
      <c r="BZ28" s="153"/>
      <c r="CA28" s="153"/>
      <c r="CB28" s="153"/>
      <c r="CC28" s="153"/>
      <c r="CD28" s="153"/>
      <c r="CE28" s="160"/>
      <c r="CF28" s="160"/>
      <c r="CG28" s="80"/>
      <c r="CH28" s="80"/>
      <c r="CI28" s="80"/>
    </row>
    <row r="29" spans="1:87" s="118" customFormat="1">
      <c r="A29" s="1"/>
      <c r="B29" s="1"/>
      <c r="C29" s="84"/>
      <c r="D29" s="154" t="s">
        <v>63</v>
      </c>
      <c r="E29" s="154" t="s">
        <v>63</v>
      </c>
      <c r="F29" s="154" t="s">
        <v>63</v>
      </c>
      <c r="G29" s="154" t="s">
        <v>63</v>
      </c>
      <c r="H29" s="154" t="s">
        <v>63</v>
      </c>
      <c r="I29" s="140">
        <f>IFERROR(I28/D28-1,0)</f>
        <v>0</v>
      </c>
      <c r="J29" s="140">
        <f t="shared" ref="J29:BM29" si="26">IFERROR(J28/E28-1,0)</f>
        <v>0</v>
      </c>
      <c r="K29" s="140">
        <f t="shared" si="26"/>
        <v>0</v>
      </c>
      <c r="L29" s="140">
        <f t="shared" si="26"/>
        <v>0</v>
      </c>
      <c r="M29" s="140">
        <f t="shared" si="26"/>
        <v>0</v>
      </c>
      <c r="N29" s="140">
        <f t="shared" si="26"/>
        <v>0</v>
      </c>
      <c r="O29" s="140">
        <f t="shared" si="26"/>
        <v>0</v>
      </c>
      <c r="P29" s="140">
        <f t="shared" si="26"/>
        <v>0</v>
      </c>
      <c r="Q29" s="140">
        <f t="shared" si="26"/>
        <v>0</v>
      </c>
      <c r="R29" s="140">
        <f t="shared" si="26"/>
        <v>0</v>
      </c>
      <c r="S29" s="140">
        <f t="shared" si="26"/>
        <v>0</v>
      </c>
      <c r="T29" s="140">
        <f t="shared" si="26"/>
        <v>0</v>
      </c>
      <c r="U29" s="140">
        <f t="shared" si="26"/>
        <v>0</v>
      </c>
      <c r="V29" s="140">
        <f t="shared" si="26"/>
        <v>0</v>
      </c>
      <c r="W29" s="140">
        <f t="shared" si="26"/>
        <v>0</v>
      </c>
      <c r="X29" s="140">
        <f t="shared" si="26"/>
        <v>0</v>
      </c>
      <c r="Y29" s="140">
        <f t="shared" si="26"/>
        <v>0</v>
      </c>
      <c r="Z29" s="140">
        <f t="shared" si="26"/>
        <v>0</v>
      </c>
      <c r="AA29" s="140">
        <f t="shared" si="26"/>
        <v>0</v>
      </c>
      <c r="AB29" s="140">
        <f t="shared" si="26"/>
        <v>0</v>
      </c>
      <c r="AC29" s="140">
        <f t="shared" si="26"/>
        <v>0</v>
      </c>
      <c r="AD29" s="140">
        <f t="shared" si="26"/>
        <v>0</v>
      </c>
      <c r="AE29" s="140">
        <f t="shared" si="26"/>
        <v>0</v>
      </c>
      <c r="AF29" s="140">
        <f t="shared" si="26"/>
        <v>0</v>
      </c>
      <c r="AG29" s="140">
        <f t="shared" si="26"/>
        <v>0</v>
      </c>
      <c r="AH29" s="140">
        <f t="shared" si="26"/>
        <v>0</v>
      </c>
      <c r="AI29" s="140">
        <f t="shared" si="26"/>
        <v>0</v>
      </c>
      <c r="AJ29" s="140">
        <f t="shared" si="26"/>
        <v>0</v>
      </c>
      <c r="AK29" s="140">
        <f t="shared" si="26"/>
        <v>0</v>
      </c>
      <c r="AL29" s="140">
        <f t="shared" si="26"/>
        <v>0</v>
      </c>
      <c r="AM29" s="140">
        <f t="shared" si="26"/>
        <v>0</v>
      </c>
      <c r="AN29" s="140">
        <f t="shared" si="26"/>
        <v>0</v>
      </c>
      <c r="AO29" s="140">
        <f t="shared" si="26"/>
        <v>0</v>
      </c>
      <c r="AP29" s="140">
        <f t="shared" si="26"/>
        <v>0</v>
      </c>
      <c r="AQ29" s="140">
        <f t="shared" si="26"/>
        <v>0</v>
      </c>
      <c r="AR29" s="140">
        <f t="shared" si="26"/>
        <v>0</v>
      </c>
      <c r="AS29" s="140">
        <f t="shared" si="26"/>
        <v>0</v>
      </c>
      <c r="AT29" s="140">
        <f t="shared" si="26"/>
        <v>0</v>
      </c>
      <c r="AU29" s="140">
        <f t="shared" si="26"/>
        <v>0</v>
      </c>
      <c r="AV29" s="140">
        <f t="shared" si="26"/>
        <v>0</v>
      </c>
      <c r="AW29" s="140">
        <f t="shared" si="26"/>
        <v>0</v>
      </c>
      <c r="AX29" s="140">
        <f t="shared" si="26"/>
        <v>0</v>
      </c>
      <c r="AY29" s="140">
        <f t="shared" si="26"/>
        <v>0</v>
      </c>
      <c r="AZ29" s="140">
        <f t="shared" si="26"/>
        <v>0</v>
      </c>
      <c r="BA29" s="140">
        <f t="shared" si="26"/>
        <v>0</v>
      </c>
      <c r="BB29" s="140">
        <f t="shared" si="26"/>
        <v>0</v>
      </c>
      <c r="BC29" s="140">
        <f t="shared" si="26"/>
        <v>0</v>
      </c>
      <c r="BD29" s="140">
        <f t="shared" si="26"/>
        <v>0</v>
      </c>
      <c r="BE29" s="140">
        <f t="shared" si="26"/>
        <v>0</v>
      </c>
      <c r="BF29" s="140">
        <f t="shared" si="26"/>
        <v>0</v>
      </c>
      <c r="BG29" s="140">
        <f t="shared" si="26"/>
        <v>0</v>
      </c>
      <c r="BH29" s="140">
        <f t="shared" si="26"/>
        <v>0</v>
      </c>
      <c r="BI29" s="140">
        <f t="shared" si="26"/>
        <v>0</v>
      </c>
      <c r="BJ29" s="140">
        <f t="shared" si="26"/>
        <v>0</v>
      </c>
      <c r="BK29" s="140">
        <f t="shared" si="26"/>
        <v>0</v>
      </c>
      <c r="BL29" s="140">
        <f t="shared" si="26"/>
        <v>0</v>
      </c>
      <c r="BM29" s="140">
        <f t="shared" si="26"/>
        <v>0</v>
      </c>
      <c r="BN29" s="140">
        <f t="shared" ref="BN29" si="27">IFERROR(BN28/BI28-1,0)</f>
        <v>0</v>
      </c>
      <c r="BO29" s="140">
        <f t="shared" ref="BO29" si="28">IFERROR(BO28/BJ28-1,0)</f>
        <v>0</v>
      </c>
      <c r="BP29" s="140">
        <f t="shared" ref="BP29" si="29">IFERROR(BP28/BK28-1,0)</f>
        <v>0</v>
      </c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160"/>
      <c r="CF29" s="160"/>
      <c r="CG29" s="80"/>
      <c r="CH29" s="80"/>
      <c r="CI29" s="80"/>
    </row>
    <row r="30" spans="1:87">
      <c r="C30" s="16"/>
      <c r="D30" s="80"/>
      <c r="E30" s="69"/>
      <c r="F30" s="80"/>
      <c r="G30" s="43"/>
      <c r="H30" s="80"/>
      <c r="I30" s="80"/>
      <c r="J30" s="80"/>
      <c r="K30" s="80"/>
      <c r="L30" s="43"/>
      <c r="M30" s="80"/>
      <c r="N30" s="80"/>
      <c r="O30" s="80"/>
      <c r="P30" s="80"/>
      <c r="Q30" s="43"/>
      <c r="R30" s="80"/>
      <c r="S30" s="80"/>
      <c r="T30" s="80"/>
      <c r="U30" s="80"/>
      <c r="V30" s="43"/>
      <c r="W30" s="80"/>
      <c r="X30" s="80"/>
      <c r="Y30" s="80"/>
      <c r="Z30" s="80"/>
      <c r="AA30" s="43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69"/>
      <c r="AZ30" s="69"/>
      <c r="BA30" s="18"/>
      <c r="BB30" s="69"/>
      <c r="BC30" s="69"/>
      <c r="BD30" s="69"/>
      <c r="BE30" s="69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69"/>
      <c r="BR30" s="69"/>
      <c r="BS30" s="69"/>
      <c r="BT30" s="69"/>
      <c r="BU30" s="69"/>
      <c r="BV30" s="69"/>
      <c r="BW30" s="69"/>
      <c r="BX30" s="69"/>
      <c r="BY30" s="69"/>
      <c r="BZ30" s="69"/>
      <c r="CA30" s="69"/>
      <c r="CB30" s="69"/>
      <c r="CC30" s="69"/>
      <c r="CD30" s="69"/>
      <c r="CE30" s="69"/>
      <c r="CF30" s="69"/>
      <c r="CG30" s="69"/>
      <c r="CH30" s="69"/>
      <c r="CI30" s="69"/>
    </row>
    <row r="31" spans="1:87" s="163" customFormat="1" ht="17.399999999999999">
      <c r="A31" s="1"/>
      <c r="B31" s="1"/>
      <c r="C31" s="1" t="s">
        <v>172</v>
      </c>
      <c r="D31" s="101">
        <v>0</v>
      </c>
      <c r="E31" s="101">
        <v>0</v>
      </c>
      <c r="F31" s="161">
        <v>0</v>
      </c>
      <c r="G31" s="162">
        <f t="shared" si="5"/>
        <v>0</v>
      </c>
      <c r="H31" s="161">
        <v>0</v>
      </c>
      <c r="I31" s="161">
        <v>0</v>
      </c>
      <c r="J31" s="161">
        <v>0</v>
      </c>
      <c r="K31" s="161">
        <v>0</v>
      </c>
      <c r="L31" s="162">
        <f t="shared" si="6"/>
        <v>0</v>
      </c>
      <c r="M31" s="161">
        <v>0</v>
      </c>
      <c r="N31" s="161">
        <v>0.97799999999999998</v>
      </c>
      <c r="O31" s="161">
        <v>1.103</v>
      </c>
      <c r="P31" s="161">
        <v>1.077</v>
      </c>
      <c r="Q31" s="162">
        <f t="shared" si="7"/>
        <v>2.6010000000000004</v>
      </c>
      <c r="R31" s="161">
        <v>5.7590000000000003</v>
      </c>
      <c r="S31" s="161">
        <v>1.0780000000000001</v>
      </c>
      <c r="T31" s="161">
        <v>1.2290000000000001</v>
      </c>
      <c r="U31" s="161">
        <v>1.385</v>
      </c>
      <c r="V31" s="162">
        <f t="shared" si="8"/>
        <v>1.7599999999999998</v>
      </c>
      <c r="W31" s="161">
        <v>5.452</v>
      </c>
      <c r="X31" s="161">
        <v>1.585</v>
      </c>
      <c r="Y31" s="161">
        <v>1.6879999999999999</v>
      </c>
      <c r="Z31" s="161">
        <v>1.774</v>
      </c>
      <c r="AA31" s="162">
        <f t="shared" si="9"/>
        <v>1.9780000000000006</v>
      </c>
      <c r="AB31" s="161">
        <v>7.0250000000000004</v>
      </c>
      <c r="AC31" s="161">
        <v>1.9330000000000001</v>
      </c>
      <c r="AD31" s="161">
        <v>2.13</v>
      </c>
      <c r="AE31" s="161">
        <v>2.177</v>
      </c>
      <c r="AF31" s="161">
        <f>AG31-SUM(AC31:AE31)</f>
        <v>3.9190000000000005</v>
      </c>
      <c r="AG31" s="161">
        <v>10.159000000000001</v>
      </c>
      <c r="AH31" s="161">
        <v>2.2679999999999998</v>
      </c>
      <c r="AI31" s="161">
        <v>1.641</v>
      </c>
      <c r="AJ31" s="161">
        <v>2.1179999999999999</v>
      </c>
      <c r="AK31" s="161">
        <f>AL31-SUM(AH31:AJ31)</f>
        <v>1.9570000000000007</v>
      </c>
      <c r="AL31" s="161">
        <v>7.984</v>
      </c>
      <c r="AM31" s="161">
        <v>2.0939999999999999</v>
      </c>
      <c r="AN31" s="161">
        <v>2.0510000000000002</v>
      </c>
      <c r="AO31" s="161">
        <v>2.56</v>
      </c>
      <c r="AP31" s="161">
        <v>4.0069999999999997</v>
      </c>
      <c r="AQ31" s="161">
        <v>10.712</v>
      </c>
      <c r="AR31" s="161">
        <v>2.375</v>
      </c>
      <c r="AS31" s="161">
        <v>4.7309999999999999</v>
      </c>
      <c r="AT31" s="161">
        <v>3.8839999999999999</v>
      </c>
      <c r="AU31" s="161">
        <v>6.3040000000000003</v>
      </c>
      <c r="AV31" s="161">
        <v>17.294</v>
      </c>
      <c r="AW31" s="161">
        <v>3.766</v>
      </c>
      <c r="AX31" s="161">
        <v>4.3840000000000003</v>
      </c>
      <c r="AY31" s="161">
        <v>4.1760000000000002</v>
      </c>
      <c r="AZ31" s="161">
        <v>9.1229999999999993</v>
      </c>
      <c r="BA31" s="162">
        <f>SUM(AW31:AZ31)</f>
        <v>21.448999999999998</v>
      </c>
      <c r="BB31" s="161">
        <v>4.8550000000000004</v>
      </c>
      <c r="BC31" s="28">
        <v>10.71</v>
      </c>
      <c r="BD31" s="101">
        <v>5.3810000000000002</v>
      </c>
      <c r="BE31" s="101">
        <v>5.2140000000000004</v>
      </c>
      <c r="BF31" s="162">
        <f>SUM(BB31:BE31)</f>
        <v>26.160000000000004</v>
      </c>
      <c r="BG31" s="40">
        <v>4.5209999999999999</v>
      </c>
      <c r="BH31" s="28">
        <v>4.2329999999999997</v>
      </c>
      <c r="BI31" s="101">
        <v>3.9390000000000001</v>
      </c>
      <c r="BJ31" s="101">
        <v>0</v>
      </c>
      <c r="BK31" s="162">
        <f>SUM(BG31:BJ31)</f>
        <v>12.693</v>
      </c>
      <c r="BL31" s="101">
        <v>4.05</v>
      </c>
      <c r="BM31" s="101">
        <v>0</v>
      </c>
      <c r="BN31" s="101">
        <v>0</v>
      </c>
      <c r="BO31" s="101">
        <v>0</v>
      </c>
      <c r="BP31" s="162">
        <f>SUM(BL31:BO31)</f>
        <v>4.05</v>
      </c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87"/>
      <c r="CF31" s="87"/>
      <c r="CG31" s="87"/>
      <c r="CH31" s="87"/>
      <c r="CI31" s="87"/>
    </row>
    <row r="32" spans="1:87" s="163" customFormat="1">
      <c r="A32" s="1"/>
      <c r="B32" s="1"/>
      <c r="C32" s="1"/>
      <c r="D32" s="157" t="s">
        <v>63</v>
      </c>
      <c r="E32" s="157" t="s">
        <v>63</v>
      </c>
      <c r="F32" s="157" t="s">
        <v>63</v>
      </c>
      <c r="G32" s="157" t="s">
        <v>63</v>
      </c>
      <c r="H32" s="157" t="s">
        <v>63</v>
      </c>
      <c r="I32" s="157" t="s">
        <v>63</v>
      </c>
      <c r="J32" s="164">
        <f>IFERROR(J31/E31-1,0)</f>
        <v>0</v>
      </c>
      <c r="K32" s="164">
        <f t="shared" ref="K32:BF32" si="30">IFERROR(K31/F31-1,0)</f>
        <v>0</v>
      </c>
      <c r="L32" s="164">
        <f t="shared" si="30"/>
        <v>0</v>
      </c>
      <c r="M32" s="164">
        <f t="shared" si="30"/>
        <v>0</v>
      </c>
      <c r="N32" s="164">
        <f t="shared" si="30"/>
        <v>0</v>
      </c>
      <c r="O32" s="164">
        <f t="shared" si="30"/>
        <v>0</v>
      </c>
      <c r="P32" s="164">
        <f t="shared" si="30"/>
        <v>0</v>
      </c>
      <c r="Q32" s="164">
        <f t="shared" si="30"/>
        <v>0</v>
      </c>
      <c r="R32" s="164">
        <f t="shared" si="30"/>
        <v>0</v>
      </c>
      <c r="S32" s="164">
        <f t="shared" si="30"/>
        <v>0.10224948875255624</v>
      </c>
      <c r="T32" s="164">
        <f t="shared" si="30"/>
        <v>0.11423390752493212</v>
      </c>
      <c r="U32" s="164">
        <f t="shared" si="30"/>
        <v>0.28597957288765086</v>
      </c>
      <c r="V32" s="164">
        <f t="shared" si="30"/>
        <v>-0.32333717800845851</v>
      </c>
      <c r="W32" s="164">
        <f t="shared" si="30"/>
        <v>-5.330786594894954E-2</v>
      </c>
      <c r="X32" s="164">
        <f t="shared" si="30"/>
        <v>0.47031539888682738</v>
      </c>
      <c r="Y32" s="164">
        <f t="shared" si="30"/>
        <v>0.37347436940602097</v>
      </c>
      <c r="Z32" s="164">
        <f t="shared" si="30"/>
        <v>0.28086642599277978</v>
      </c>
      <c r="AA32" s="164">
        <f t="shared" si="30"/>
        <v>0.12386363636363695</v>
      </c>
      <c r="AB32" s="164">
        <f t="shared" si="30"/>
        <v>0.28851797505502574</v>
      </c>
      <c r="AC32" s="164">
        <f t="shared" si="30"/>
        <v>0.2195583596214512</v>
      </c>
      <c r="AD32" s="164">
        <f t="shared" si="30"/>
        <v>0.26184834123222744</v>
      </c>
      <c r="AE32" s="164">
        <f t="shared" si="30"/>
        <v>0.22717023675310033</v>
      </c>
      <c r="AF32" s="164">
        <f t="shared" si="30"/>
        <v>0.98129423660262849</v>
      </c>
      <c r="AG32" s="164">
        <f t="shared" si="30"/>
        <v>0.44612099644128111</v>
      </c>
      <c r="AH32" s="164">
        <f t="shared" si="30"/>
        <v>0.17330574236937379</v>
      </c>
      <c r="AI32" s="164">
        <f t="shared" si="30"/>
        <v>-0.22957746478873231</v>
      </c>
      <c r="AJ32" s="164">
        <f t="shared" si="30"/>
        <v>-2.7101515847496649E-2</v>
      </c>
      <c r="AK32" s="164">
        <f t="shared" si="30"/>
        <v>-0.50063791783618261</v>
      </c>
      <c r="AL32" s="164">
        <f t="shared" si="30"/>
        <v>-0.21409587557830501</v>
      </c>
      <c r="AM32" s="164">
        <f t="shared" si="30"/>
        <v>-7.6719576719576743E-2</v>
      </c>
      <c r="AN32" s="164">
        <f t="shared" si="30"/>
        <v>0.24984765386959173</v>
      </c>
      <c r="AO32" s="164">
        <f t="shared" si="30"/>
        <v>0.20868744098205871</v>
      </c>
      <c r="AP32" s="164">
        <f t="shared" si="30"/>
        <v>1.0475217169136424</v>
      </c>
      <c r="AQ32" s="164">
        <f t="shared" si="30"/>
        <v>0.34168336673346689</v>
      </c>
      <c r="AR32" s="164">
        <f t="shared" si="30"/>
        <v>0.13419293218720152</v>
      </c>
      <c r="AS32" s="164">
        <f t="shared" si="30"/>
        <v>1.3066796684544122</v>
      </c>
      <c r="AT32" s="164">
        <f t="shared" si="30"/>
        <v>0.51718749999999991</v>
      </c>
      <c r="AU32" s="164">
        <f t="shared" si="30"/>
        <v>0.57324681806838051</v>
      </c>
      <c r="AV32" s="164">
        <f t="shared" si="30"/>
        <v>0.61445108289768502</v>
      </c>
      <c r="AW32" s="164">
        <f t="shared" si="30"/>
        <v>0.58568421052631581</v>
      </c>
      <c r="AX32" s="164">
        <f t="shared" si="30"/>
        <v>-7.3346015641513329E-2</v>
      </c>
      <c r="AY32" s="164">
        <f t="shared" si="30"/>
        <v>7.5180226570545905E-2</v>
      </c>
      <c r="AZ32" s="164">
        <f t="shared" si="30"/>
        <v>0.4471763959390862</v>
      </c>
      <c r="BA32" s="164">
        <f t="shared" si="30"/>
        <v>0.24025673644038381</v>
      </c>
      <c r="BB32" s="164">
        <f t="shared" si="30"/>
        <v>0.28916622411046222</v>
      </c>
      <c r="BC32" s="164">
        <f t="shared" si="30"/>
        <v>1.4429744525547443</v>
      </c>
      <c r="BD32" s="164">
        <f t="shared" si="30"/>
        <v>0.2885536398467432</v>
      </c>
      <c r="BE32" s="164">
        <f t="shared" si="30"/>
        <v>-0.4284774745149621</v>
      </c>
      <c r="BF32" s="164">
        <f t="shared" si="30"/>
        <v>0.2196372791272323</v>
      </c>
      <c r="BG32" s="164">
        <f>IFERROR(BG31/BB31-1,0)</f>
        <v>-6.8795056642636521E-2</v>
      </c>
      <c r="BH32" s="164">
        <f>IFERROR(BH31/BC31-1,0)</f>
        <v>-0.60476190476190483</v>
      </c>
      <c r="BI32" s="164">
        <f>IFERROR(BI31/BD31-1,0)</f>
        <v>-0.26797992938115589</v>
      </c>
      <c r="BJ32" s="164">
        <f>IFERROR(BJ31/BE31-1,0)</f>
        <v>-1</v>
      </c>
      <c r="BK32" s="164">
        <f t="shared" ref="BK32" si="31">IFERROR(BK31/BF31-1,0)</f>
        <v>-0.51479357798165148</v>
      </c>
      <c r="BL32" s="164">
        <f>IFERROR(BL31/BG31-1,0)</f>
        <v>-0.10418049104180493</v>
      </c>
      <c r="BM32" s="164">
        <f>IFERROR(BM31/BH31-1,0)</f>
        <v>-1</v>
      </c>
      <c r="BN32" s="164">
        <f t="shared" ref="BN32:BO32" si="32">IFERROR(BN31/BI31-1,0)</f>
        <v>-1</v>
      </c>
      <c r="BO32" s="164">
        <f t="shared" si="32"/>
        <v>0</v>
      </c>
      <c r="BP32" s="164">
        <f t="shared" ref="BP32" si="33">IFERROR(BP31/BK31-1,0)</f>
        <v>-0.68092649491845902</v>
      </c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65"/>
      <c r="CD32" s="165"/>
      <c r="CE32" s="87"/>
      <c r="CF32" s="87"/>
      <c r="CG32" s="87"/>
      <c r="CH32" s="87"/>
      <c r="CI32" s="87"/>
    </row>
    <row r="33" spans="1:87" s="163" customFormat="1">
      <c r="A33" s="1"/>
      <c r="B33" s="1"/>
      <c r="C33" s="1"/>
      <c r="D33" s="157"/>
      <c r="E33" s="157"/>
      <c r="F33" s="157"/>
      <c r="G33" s="157"/>
      <c r="H33" s="157"/>
      <c r="I33" s="157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  <c r="AI33" s="164"/>
      <c r="AJ33" s="164"/>
      <c r="AK33" s="164"/>
      <c r="AL33" s="164"/>
      <c r="AM33" s="164"/>
      <c r="AN33" s="164"/>
      <c r="AO33" s="164"/>
      <c r="AP33" s="164"/>
      <c r="AQ33" s="164"/>
      <c r="AR33" s="164"/>
      <c r="AS33" s="164"/>
      <c r="AT33" s="164"/>
      <c r="AU33" s="164"/>
      <c r="AV33" s="164"/>
      <c r="AW33" s="164"/>
      <c r="AX33" s="164"/>
      <c r="AY33" s="164"/>
      <c r="AZ33" s="164"/>
      <c r="BA33" s="164"/>
      <c r="BB33" s="164"/>
      <c r="BC33" s="164"/>
      <c r="BD33" s="164"/>
      <c r="BE33" s="164"/>
      <c r="BF33" s="164"/>
      <c r="BG33" s="164"/>
      <c r="BH33" s="164"/>
      <c r="BI33" s="165"/>
      <c r="BJ33" s="165"/>
      <c r="BK33" s="164"/>
      <c r="BL33" s="165"/>
      <c r="BM33" s="165"/>
      <c r="BN33" s="165"/>
      <c r="BO33" s="165"/>
      <c r="BP33" s="164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65"/>
      <c r="CD33" s="165"/>
      <c r="CE33" s="87"/>
      <c r="CF33" s="87"/>
      <c r="CG33" s="87"/>
      <c r="CH33" s="87"/>
      <c r="CI33" s="87"/>
    </row>
    <row r="34" spans="1:87" s="168" customFormat="1" ht="17.399999999999999">
      <c r="A34" s="1"/>
      <c r="B34" s="1"/>
      <c r="C34" s="118" t="s">
        <v>47</v>
      </c>
      <c r="D34" s="167">
        <f t="shared" ref="D34:AI34" si="34">SUM(D20,D28,D31)</f>
        <v>21.319000000000003</v>
      </c>
      <c r="E34" s="167">
        <f t="shared" si="34"/>
        <v>26.477999999999998</v>
      </c>
      <c r="F34" s="167">
        <f t="shared" si="34"/>
        <v>29.992000000000001</v>
      </c>
      <c r="G34" s="167">
        <f t="shared" si="34"/>
        <v>37.319000000000003</v>
      </c>
      <c r="H34" s="167">
        <f t="shared" si="34"/>
        <v>115.108</v>
      </c>
      <c r="I34" s="167">
        <f t="shared" si="34"/>
        <v>34.283000000000001</v>
      </c>
      <c r="J34" s="167">
        <f t="shared" si="34"/>
        <v>39.527999999999999</v>
      </c>
      <c r="K34" s="167">
        <f t="shared" si="34"/>
        <v>43.838000000000001</v>
      </c>
      <c r="L34" s="167">
        <f t="shared" si="34"/>
        <v>52.356999999999985</v>
      </c>
      <c r="M34" s="167">
        <f t="shared" si="34"/>
        <v>170.006</v>
      </c>
      <c r="N34" s="167">
        <f t="shared" si="34"/>
        <v>50.881</v>
      </c>
      <c r="O34" s="167">
        <f t="shared" si="34"/>
        <v>64.566999999999993</v>
      </c>
      <c r="P34" s="167">
        <f t="shared" si="34"/>
        <v>73.292999999999992</v>
      </c>
      <c r="Q34" s="167">
        <f t="shared" si="34"/>
        <v>83.53600000000003</v>
      </c>
      <c r="R34" s="167">
        <f t="shared" si="34"/>
        <v>272.27700000000004</v>
      </c>
      <c r="S34" s="167">
        <f t="shared" si="34"/>
        <v>108.41400000000002</v>
      </c>
      <c r="T34" s="167">
        <f t="shared" si="34"/>
        <v>129.53900000000002</v>
      </c>
      <c r="U34" s="167">
        <f t="shared" si="34"/>
        <v>175.51500000000001</v>
      </c>
      <c r="V34" s="167">
        <f t="shared" si="34"/>
        <v>172.51100000000002</v>
      </c>
      <c r="W34" s="167">
        <f t="shared" si="34"/>
        <v>585.97900000000004</v>
      </c>
      <c r="X34" s="167">
        <f t="shared" si="34"/>
        <v>196.23699999999999</v>
      </c>
      <c r="Y34" s="167">
        <f t="shared" si="34"/>
        <v>208.25199999999995</v>
      </c>
      <c r="Z34" s="167">
        <f t="shared" si="34"/>
        <v>232.16</v>
      </c>
      <c r="AA34" s="167">
        <f t="shared" si="34"/>
        <v>170.17400000000012</v>
      </c>
      <c r="AB34" s="167">
        <f t="shared" si="34"/>
        <v>872.423</v>
      </c>
      <c r="AC34" s="167">
        <f t="shared" si="34"/>
        <v>246.91900000000001</v>
      </c>
      <c r="AD34" s="167">
        <f t="shared" si="34"/>
        <v>291.23</v>
      </c>
      <c r="AE34" s="167">
        <f t="shared" si="34"/>
        <v>306.584</v>
      </c>
      <c r="AF34" s="167">
        <f t="shared" si="34"/>
        <v>328.142</v>
      </c>
      <c r="AG34" s="167">
        <f t="shared" si="34"/>
        <v>1172.875</v>
      </c>
      <c r="AH34" s="167">
        <f t="shared" si="34"/>
        <v>309.303</v>
      </c>
      <c r="AI34" s="167">
        <f t="shared" si="34"/>
        <v>333.74700000000001</v>
      </c>
      <c r="AJ34" s="167">
        <f t="shared" ref="AJ34:BP34" si="35">SUM(AJ20,AJ28,AJ31)</f>
        <v>340.87200000000001</v>
      </c>
      <c r="AK34" s="167">
        <f t="shared" si="35"/>
        <v>340.88099999999997</v>
      </c>
      <c r="AL34" s="167">
        <f t="shared" si="35"/>
        <v>1324.8030000000001</v>
      </c>
      <c r="AM34" s="167">
        <f t="shared" si="35"/>
        <v>336.01000000000005</v>
      </c>
      <c r="AN34" s="167">
        <f t="shared" si="35"/>
        <v>381.161</v>
      </c>
      <c r="AO34" s="167">
        <f t="shared" si="35"/>
        <v>374.18099999999998</v>
      </c>
      <c r="AP34" s="167">
        <f t="shared" si="35"/>
        <v>396.62100000000004</v>
      </c>
      <c r="AQ34" s="167">
        <f t="shared" si="35"/>
        <v>1487.9729999999997</v>
      </c>
      <c r="AR34" s="167">
        <f t="shared" si="35"/>
        <v>376.053</v>
      </c>
      <c r="AS34" s="167">
        <f t="shared" si="35"/>
        <v>394.38600000000002</v>
      </c>
      <c r="AT34" s="167">
        <f t="shared" si="35"/>
        <v>411.85500000000002</v>
      </c>
      <c r="AU34" s="167">
        <f t="shared" si="35"/>
        <v>436.39899999999994</v>
      </c>
      <c r="AV34" s="167">
        <f t="shared" si="35"/>
        <v>1618.6930000000002</v>
      </c>
      <c r="AW34" s="167">
        <f t="shared" si="35"/>
        <v>444.613</v>
      </c>
      <c r="AX34" s="167">
        <f t="shared" si="35"/>
        <v>500.47900000000004</v>
      </c>
      <c r="AY34" s="167">
        <f t="shared" si="35"/>
        <v>469.37299999999999</v>
      </c>
      <c r="AZ34" s="167">
        <f t="shared" si="35"/>
        <v>476.45699999999994</v>
      </c>
      <c r="BA34" s="167">
        <f t="shared" si="35"/>
        <v>1890.922</v>
      </c>
      <c r="BB34" s="167">
        <f t="shared" si="35"/>
        <v>508.18600000000004</v>
      </c>
      <c r="BC34" s="167">
        <f t="shared" si="35"/>
        <v>534.13300000000004</v>
      </c>
      <c r="BD34" s="167">
        <f t="shared" si="35"/>
        <v>537.70199999999988</v>
      </c>
      <c r="BE34" s="167">
        <f t="shared" si="35"/>
        <v>581.74</v>
      </c>
      <c r="BF34" s="167">
        <f t="shared" si="35"/>
        <v>2161.761</v>
      </c>
      <c r="BG34" s="167">
        <f t="shared" si="35"/>
        <v>534.726</v>
      </c>
      <c r="BH34" s="167">
        <f t="shared" si="35"/>
        <v>562.43599999999981</v>
      </c>
      <c r="BI34" s="167">
        <f t="shared" si="35"/>
        <v>600.88800000000003</v>
      </c>
      <c r="BJ34" s="167">
        <f t="shared" si="35"/>
        <v>661.303</v>
      </c>
      <c r="BK34" s="167">
        <f t="shared" si="35"/>
        <v>2268.9730000000004</v>
      </c>
      <c r="BL34" s="167">
        <f t="shared" si="35"/>
        <v>607.5809999999999</v>
      </c>
      <c r="BM34" s="167">
        <f t="shared" si="35"/>
        <v>0</v>
      </c>
      <c r="BN34" s="167">
        <f t="shared" si="35"/>
        <v>0</v>
      </c>
      <c r="BO34" s="167">
        <f t="shared" si="35"/>
        <v>0</v>
      </c>
      <c r="BP34" s="167">
        <f t="shared" si="35"/>
        <v>477.83099999999996</v>
      </c>
      <c r="BQ34" s="166"/>
      <c r="BR34" s="166"/>
      <c r="BS34" s="166"/>
      <c r="BT34" s="166"/>
      <c r="BU34" s="166"/>
      <c r="BV34" s="166"/>
      <c r="BW34" s="166"/>
      <c r="BX34" s="166"/>
      <c r="BY34" s="166"/>
      <c r="BZ34" s="166"/>
      <c r="CA34" s="166"/>
      <c r="CB34" s="166"/>
      <c r="CC34" s="166"/>
      <c r="CD34" s="166"/>
    </row>
    <row r="35" spans="1:87" s="168" customFormat="1">
      <c r="A35" s="1"/>
      <c r="B35" s="1"/>
      <c r="C35" s="118"/>
      <c r="D35" s="154" t="s">
        <v>63</v>
      </c>
      <c r="E35" s="154" t="s">
        <v>63</v>
      </c>
      <c r="F35" s="154" t="s">
        <v>63</v>
      </c>
      <c r="G35" s="154" t="s">
        <v>63</v>
      </c>
      <c r="H35" s="154" t="s">
        <v>63</v>
      </c>
      <c r="I35" s="140">
        <f>IFERROR(I34/D34-1,0)</f>
        <v>0.60809606454336484</v>
      </c>
      <c r="J35" s="140">
        <f t="shared" ref="J35:BF35" si="36">IFERROR(J34/E34-1,0)</f>
        <v>0.49286199864038083</v>
      </c>
      <c r="K35" s="140">
        <f t="shared" si="36"/>
        <v>0.4616564417177913</v>
      </c>
      <c r="L35" s="140">
        <f t="shared" si="36"/>
        <v>0.40295827862482869</v>
      </c>
      <c r="M35" s="140">
        <f t="shared" si="36"/>
        <v>0.476926017305487</v>
      </c>
      <c r="N35" s="140">
        <f t="shared" si="36"/>
        <v>0.48414666161071085</v>
      </c>
      <c r="O35" s="140">
        <f t="shared" si="36"/>
        <v>0.63344970653713806</v>
      </c>
      <c r="P35" s="140">
        <f t="shared" si="36"/>
        <v>0.67190565263013813</v>
      </c>
      <c r="Q35" s="140">
        <f t="shared" si="36"/>
        <v>0.59550776400481409</v>
      </c>
      <c r="R35" s="140">
        <f t="shared" si="36"/>
        <v>0.60157288566285927</v>
      </c>
      <c r="S35" s="140">
        <f t="shared" si="36"/>
        <v>1.1307364242054994</v>
      </c>
      <c r="T35" s="140">
        <f t="shared" si="36"/>
        <v>1.0062725540910997</v>
      </c>
      <c r="U35" s="140">
        <f t="shared" si="36"/>
        <v>1.3947034505341578</v>
      </c>
      <c r="V35" s="140">
        <f t="shared" si="36"/>
        <v>1.0651096533231179</v>
      </c>
      <c r="W35" s="140">
        <f t="shared" si="36"/>
        <v>1.1521428545194783</v>
      </c>
      <c r="X35" s="140">
        <f t="shared" si="36"/>
        <v>0.81007065508144671</v>
      </c>
      <c r="Y35" s="140">
        <f t="shared" si="36"/>
        <v>0.60763939817352242</v>
      </c>
      <c r="Z35" s="140">
        <f t="shared" si="36"/>
        <v>0.32273594849443055</v>
      </c>
      <c r="AA35" s="140">
        <f t="shared" si="36"/>
        <v>-1.3546962222698244E-2</v>
      </c>
      <c r="AB35" s="140">
        <f t="shared" si="36"/>
        <v>0.48882980448104796</v>
      </c>
      <c r="AC35" s="140">
        <f t="shared" si="36"/>
        <v>0.25826933758669379</v>
      </c>
      <c r="AD35" s="140">
        <f t="shared" si="36"/>
        <v>0.39844995486237877</v>
      </c>
      <c r="AE35" s="140">
        <f t="shared" si="36"/>
        <v>0.32057201929703649</v>
      </c>
      <c r="AF35" s="140">
        <f t="shared" si="36"/>
        <v>0.92827341427009857</v>
      </c>
      <c r="AG35" s="140">
        <f t="shared" si="36"/>
        <v>0.34438798610307164</v>
      </c>
      <c r="AH35" s="140">
        <f t="shared" si="36"/>
        <v>0.25264965434008713</v>
      </c>
      <c r="AI35" s="140">
        <f t="shared" si="36"/>
        <v>0.14599114102255939</v>
      </c>
      <c r="AJ35" s="140">
        <f t="shared" si="36"/>
        <v>0.1118388435143387</v>
      </c>
      <c r="AK35" s="140">
        <f t="shared" si="36"/>
        <v>3.8821607718609652E-2</v>
      </c>
      <c r="AL35" s="140">
        <f t="shared" si="36"/>
        <v>0.12953469039752763</v>
      </c>
      <c r="AM35" s="140">
        <f t="shared" si="36"/>
        <v>8.6345751576932805E-2</v>
      </c>
      <c r="AN35" s="140">
        <f t="shared" si="36"/>
        <v>0.1420656964706799</v>
      </c>
      <c r="AO35" s="140">
        <f t="shared" si="36"/>
        <v>9.7717031613039351E-2</v>
      </c>
      <c r="AP35" s="140">
        <f t="shared" si="36"/>
        <v>0.16351747383984461</v>
      </c>
      <c r="AQ35" s="140">
        <f t="shared" si="36"/>
        <v>0.12316548196222343</v>
      </c>
      <c r="AR35" s="140">
        <f t="shared" si="36"/>
        <v>0.11917204845093887</v>
      </c>
      <c r="AS35" s="140">
        <f t="shared" si="36"/>
        <v>3.4696624261139064E-2</v>
      </c>
      <c r="AT35" s="140">
        <f t="shared" si="36"/>
        <v>0.10068389362367425</v>
      </c>
      <c r="AU35" s="140">
        <f t="shared" si="36"/>
        <v>0.10029221851591297</v>
      </c>
      <c r="AV35" s="140">
        <f t="shared" si="36"/>
        <v>8.7851056437180386E-2</v>
      </c>
      <c r="AW35" s="140">
        <f t="shared" si="36"/>
        <v>0.18231472691349349</v>
      </c>
      <c r="AX35" s="140">
        <f t="shared" si="36"/>
        <v>0.26900802766832488</v>
      </c>
      <c r="AY35" s="140">
        <f t="shared" si="36"/>
        <v>0.13965594687450666</v>
      </c>
      <c r="AZ35" s="140">
        <f t="shared" si="36"/>
        <v>9.179214434496874E-2</v>
      </c>
      <c r="BA35" s="140">
        <f t="shared" si="36"/>
        <v>0.16817827716558953</v>
      </c>
      <c r="BB35" s="140">
        <f t="shared" si="36"/>
        <v>0.14298502293005377</v>
      </c>
      <c r="BC35" s="140">
        <f t="shared" si="36"/>
        <v>6.7243580649737567E-2</v>
      </c>
      <c r="BD35" s="140">
        <f t="shared" si="36"/>
        <v>0.145575054381057</v>
      </c>
      <c r="BE35" s="140">
        <f t="shared" si="36"/>
        <v>0.22097062274245127</v>
      </c>
      <c r="BF35" s="140">
        <f t="shared" si="36"/>
        <v>0.14323118563325199</v>
      </c>
      <c r="BG35" s="140">
        <f>IFERROR(BG34/BB34-1,0)</f>
        <v>5.2224972746199194E-2</v>
      </c>
      <c r="BH35" s="140">
        <f>IFERROR(BH34/BC34-1,0)</f>
        <v>5.2988675105263505E-2</v>
      </c>
      <c r="BI35" s="140">
        <f>IFERROR(BI34/BD34-1,0)</f>
        <v>0.11751118649363423</v>
      </c>
      <c r="BJ35" s="140">
        <f>IFERROR(BJ34/BE34-1,0)</f>
        <v>0.13676728435383501</v>
      </c>
      <c r="BK35" s="140">
        <f t="shared" ref="BK35" si="37">IFERROR(BK34/BF34-1,0)</f>
        <v>4.9594751686241167E-2</v>
      </c>
      <c r="BL35" s="140">
        <f>IFERROR(BL34/BG34-1,0)</f>
        <v>0.13624734910963721</v>
      </c>
      <c r="BM35" s="140">
        <f>IFERROR(BM34/BH34-1,0)</f>
        <v>-1</v>
      </c>
      <c r="BN35" s="140">
        <f t="shared" ref="BN35:BO35" si="38">IFERROR(BN34/BI34-1,0)</f>
        <v>-1</v>
      </c>
      <c r="BO35" s="140">
        <f t="shared" si="38"/>
        <v>-1</v>
      </c>
      <c r="BP35" s="140">
        <f t="shared" ref="BP35" si="39">IFERROR(BP34/BK34-1,0)</f>
        <v>-0.78940648478408515</v>
      </c>
      <c r="BQ35" s="140"/>
      <c r="BR35" s="140"/>
      <c r="BS35" s="140"/>
      <c r="BT35" s="140"/>
      <c r="BU35" s="140"/>
      <c r="BV35" s="140"/>
      <c r="BW35" s="140"/>
      <c r="BX35" s="140"/>
      <c r="BY35" s="140"/>
      <c r="BZ35" s="140"/>
      <c r="CA35" s="140"/>
      <c r="CB35" s="140"/>
      <c r="CC35" s="140"/>
      <c r="CD35" s="140"/>
    </row>
  </sheetData>
  <phoneticPr fontId="43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374B-CB3B-A64E-96B7-00A62BA67A0D}">
  <dimension ref="A3:T3"/>
  <sheetViews>
    <sheetView topLeftCell="A27" zoomScale="90" workbookViewId="0">
      <selection activeCell="U71" sqref="U71"/>
    </sheetView>
  </sheetViews>
  <sheetFormatPr defaultColWidth="11.44140625" defaultRowHeight="14.4"/>
  <cols>
    <col min="1" max="18" width="10.77734375" style="433"/>
  </cols>
  <sheetData>
    <row r="3" spans="20:20" ht="23.4">
      <c r="T3" s="432" t="s">
        <v>386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Cover</vt:lpstr>
      <vt:lpstr>Cintas PNL</vt:lpstr>
      <vt:lpstr>Cintas BS</vt:lpstr>
      <vt:lpstr>Cintas CF</vt:lpstr>
      <vt:lpstr>Cintas Cash Flow</vt:lpstr>
      <vt:lpstr>Vestis Corporation PNL</vt:lpstr>
      <vt:lpstr>Merger Model_Updated</vt:lpstr>
      <vt:lpstr>Pro-Forma DCF Valuation_Updated</vt:lpstr>
      <vt:lpstr>Add_Pro-Forma BS_Debt Schedule</vt:lpstr>
      <vt:lpstr>Conclusion_Updated</vt:lpstr>
      <vt:lpstr>Appendix</vt:lpstr>
      <vt:lpstr>JAZZ Products</vt:lpstr>
      <vt:lpstr>Transaction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Aaron Wei</dc:creator>
  <cp:keywords/>
  <dc:description/>
  <cp:lastModifiedBy>Tianyu Zhou</cp:lastModifiedBy>
  <cp:lastPrinted>2021-06-29T20:40:27Z</cp:lastPrinted>
  <dcterms:created xsi:type="dcterms:W3CDTF">2021-06-17T11:11:49Z</dcterms:created>
  <dcterms:modified xsi:type="dcterms:W3CDTF">2023-11-12T00:54:47Z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d">
    <vt:lpwstr>13572e7d-6dfb-4187-8cf0-c8087cfda58a</vt:lpwstr>
  </property>
</Properties>
</file>