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Build" sheetId="1" r:id="rId4"/>
    <sheet state="visible" name="Income Build (Consolidated)" sheetId="2" r:id="rId5"/>
    <sheet state="visible" name="Copy of Income Build (Consolida" sheetId="3" r:id="rId6"/>
    <sheet state="visible" name="Revenue Assumptions" sheetId="4" r:id="rId7"/>
    <sheet state="visible" name="Expense Assumptions" sheetId="5" r:id="rId8"/>
    <sheet state="visible" name="Revenue Assumptions Charts" sheetId="6" r:id="rId9"/>
    <sheet state="visible" name="DCF" sheetId="7" r:id="rId10"/>
    <sheet state="visible" name="TV Calc" sheetId="8" r:id="rId11"/>
    <sheet state="visible" name="Comparable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1">
      <text>
        <t xml:space="preserve">Assumptions: https://docs.google.com/document/d/1UKhwfwblIOkMOAdlbu46vnD4InasyAIkZr3IaiIcGK8/edit</t>
      </text>
    </comment>
    <comment authorId="0" ref="E74">
      <text>
        <t xml:space="preserve">why is this -
	-Rachel Blumenstein</t>
      </text>
    </comment>
    <comment authorId="0" ref="B112">
      <text>
        <t xml:space="preserve">After seeing 2020 10K, stopped for 2019 data. Will add after discussions
	-Whijae Chyun</t>
      </text>
    </comment>
    <comment authorId="0" ref="F117">
      <text>
        <t xml:space="preserve">Couldn't make a good estimate, just did 3% as a benchmark
	-Whijae Chyun</t>
      </text>
    </comment>
    <comment authorId="0" ref="C123">
      <text>
        <t xml:space="preserve">Seems little weird 2020 10 K v.s 2021 10 K
- currently 2021 10 K data 
2020 !0K: https://www.bamsec.com/filing/119312521127499?cik=1823945
	-Whijae Chyun</t>
      </text>
    </comment>
    <comment authorId="0" ref="E123">
      <text>
        <t xml:space="preserve">https://www.bamsec.com/filing/182394523000013?cik=1823945 P. F-4 
Cash + Due from related Parties - Accrued Comp. - Acc. Payable 
-&gt; Include TRA liab., warrant liab., earnout liab. ?
	-Whijae Chyun</t>
      </text>
    </comment>
    <comment authorId="0" ref="E112">
      <text>
        <t xml:space="preserve">https://www.bamsec.com/filing/182394523000013?cik=1823945 P. F-10
	-Whijae Chyun</t>
      </text>
    </comment>
    <comment authorId="0" ref="E114">
      <text>
        <t xml:space="preserve">https://www.bamsec.com/filing/182394523000013?cik=1823945 P. F-10
	-Whijae Chyun</t>
      </text>
    </comment>
    <comment authorId="0" ref="A123">
      <text>
        <t xml:space="preserve">CHANGES IN SHORT TERM OPERATING LIABILITIES
	-Joshua Gindi</t>
      </text>
    </comment>
    <comment authorId="0" ref="A114">
      <text>
        <t xml:space="preserve">PURCHASE OF FIXED ASSETS -- CASH FLOW STATEMENT
	-Joshua Gindi</t>
      </text>
    </comment>
    <comment authorId="0" ref="A112">
      <text>
        <t xml:space="preserve">CASH FLOW STATEMENT
	-Joshua Gindi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1">
      <text>
        <t xml:space="preserve">Footnote as (Total Debt - Cash &amp; Equivalents + Non-controlling Interest)
</t>
      </text>
    </comment>
    <comment authorId="0" ref="B39">
      <text>
        <t xml:space="preserve">As of June 2023
</t>
      </text>
    </comment>
  </commentList>
</comments>
</file>

<file path=xl/sharedStrings.xml><?xml version="1.0" encoding="utf-8"?>
<sst xmlns="http://schemas.openxmlformats.org/spreadsheetml/2006/main" count="390" uniqueCount="235">
  <si>
    <t>a</t>
  </si>
  <si>
    <t>Assumptions</t>
  </si>
  <si>
    <t>Annual Sum of Weighted Average 0-3Yr Forward Rate (%)</t>
  </si>
  <si>
    <t>Interest rate: Historical + yield curve spot rates (%)</t>
  </si>
  <si>
    <t>Our expected interest rate</t>
  </si>
  <si>
    <t>GDP Growth</t>
  </si>
  <si>
    <t>Beginning Balance</t>
  </si>
  <si>
    <t>Direct Lending</t>
  </si>
  <si>
    <t>Direct Lending AUM (millions)</t>
  </si>
  <si>
    <t>Direct Lending FPAUM (millions)</t>
  </si>
  <si>
    <t>δ (YoY Growth)</t>
  </si>
  <si>
    <t>% (of AUM)</t>
  </si>
  <si>
    <t>Direct Lending Debt Raised in AUM (mm)</t>
  </si>
  <si>
    <t>Diversified Lending AUM (mm)</t>
  </si>
  <si>
    <t>Diversified Lending FPAUM (mm)</t>
  </si>
  <si>
    <t>Diversified Lending Revenues (mm)</t>
  </si>
  <si>
    <t>%</t>
  </si>
  <si>
    <t>Technology Lending AUM (mm)</t>
  </si>
  <si>
    <t>Technology Lending FPAUM (mm)</t>
  </si>
  <si>
    <t>δ</t>
  </si>
  <si>
    <t>Technology Lending Revenues (mm)</t>
  </si>
  <si>
    <t>First Lien Lending AUM (mm)</t>
  </si>
  <si>
    <t>First Lien Lending FPAUM (mm)</t>
  </si>
  <si>
    <t>First Lien Lending Revenues (mm)</t>
  </si>
  <si>
    <t>Opportunistic Lending AUM (mm)</t>
  </si>
  <si>
    <t>Opportunistic Lending FPAUM (mm)</t>
  </si>
  <si>
    <t>Opportunistic Lending Revenues (mm)</t>
  </si>
  <si>
    <t>CLOs AUM (mm)</t>
  </si>
  <si>
    <t>CLOs FPAUM (mm)</t>
  </si>
  <si>
    <t>CLOs Revenues (mm)</t>
  </si>
  <si>
    <t>Direct Lending Management Fees, Net (mm)</t>
  </si>
  <si>
    <t>% (of FEAUM)</t>
  </si>
  <si>
    <t>Administrative, transaction and other fees (mm)</t>
  </si>
  <si>
    <t>% (of Management Fees, Net)</t>
  </si>
  <si>
    <t>Realized performance income (mm)</t>
  </si>
  <si>
    <t>Revenues (mm)</t>
  </si>
  <si>
    <t>GP Capital Solutions Products</t>
  </si>
  <si>
    <t>GP Capital Solutions FEAUM</t>
  </si>
  <si>
    <t>GP Minority Equity AUM (mm)</t>
  </si>
  <si>
    <t>GP Minority Equity FPAUM (mm)</t>
  </si>
  <si>
    <t>GP minority equity revenues</t>
  </si>
  <si>
    <t>GP Debt financing AUM (mm)</t>
  </si>
  <si>
    <t>GP Debt Financing FPAUM (mm)</t>
  </si>
  <si>
    <t>GP debt financing revenues (mm)</t>
  </si>
  <si>
    <t>Professional sports miniority AUM (mm)</t>
  </si>
  <si>
    <t>Professional sports miniority FPAUM (mm)</t>
  </si>
  <si>
    <t>Professional sports miniority revenues (mm)</t>
  </si>
  <si>
    <t>Management Fees, Net (mm)</t>
  </si>
  <si>
    <t>Real Estaet Products</t>
  </si>
  <si>
    <t>Real Estate AUM (mm)</t>
  </si>
  <si>
    <t>Real Estate FPAUM (mm)</t>
  </si>
  <si>
    <t>Net Lease (mm)</t>
  </si>
  <si>
    <t>Management Fees, Net</t>
  </si>
  <si>
    <t>Total Revenues (mm)</t>
  </si>
  <si>
    <t>Expenses</t>
  </si>
  <si>
    <t>Compensation and benefits (mm)</t>
  </si>
  <si>
    <t>% (of revenue)</t>
  </si>
  <si>
    <t>Amortization of intangible assets (mm)</t>
  </si>
  <si>
    <t>General, administrative and other expenses (mm)</t>
  </si>
  <si>
    <t>Total Expenses (mm)</t>
  </si>
  <si>
    <t>EBIT</t>
  </si>
  <si>
    <t>NOPAT</t>
  </si>
  <si>
    <t>($ mm)</t>
  </si>
  <si>
    <t>+D&amp;A</t>
  </si>
  <si>
    <t>% of Revenue</t>
  </si>
  <si>
    <t>-CAPEX</t>
  </si>
  <si>
    <t xml:space="preserve"> - Change in NWC</t>
  </si>
  <si>
    <t>UFCF</t>
  </si>
  <si>
    <t>NWC</t>
  </si>
  <si>
    <t>Fixed Assets</t>
  </si>
  <si>
    <t>Year</t>
  </si>
  <si>
    <t>$ in millions</t>
  </si>
  <si>
    <t>Direct Lending FPAUM</t>
  </si>
  <si>
    <t xml:space="preserve">   % Growth</t>
  </si>
  <si>
    <t>Mgmt Fees</t>
  </si>
  <si>
    <t xml:space="preserve">   % of FPAUM</t>
  </si>
  <si>
    <t>Real Estate FPAUM</t>
  </si>
  <si>
    <t>Compensation Expenses</t>
  </si>
  <si>
    <t xml:space="preserve">   % of Revenue</t>
  </si>
  <si>
    <t>Amortization of Intangibles</t>
  </si>
  <si>
    <t>SG&amp;A</t>
  </si>
  <si>
    <t>Total Expenses</t>
  </si>
  <si>
    <t>Revenue Assumptions:</t>
  </si>
  <si>
    <t>From 2023E to 2027E growth</t>
  </si>
  <si>
    <t>Factors</t>
  </si>
  <si>
    <t>Sources</t>
  </si>
  <si>
    <t>Revenues</t>
  </si>
  <si>
    <t>Direct Lending FPAUN</t>
  </si>
  <si>
    <t>28.0%-26.0%</t>
  </si>
  <si>
    <t>https://www.preqin.com/news/direct-lending-set-to-spur-private-debt-aum-to-2-8tn-by-2028#:~:text=Preqin%20is%20currently%20tracking%20565,Group%2C%20and%20Redwood%20Capital%20Management.</t>
  </si>
  <si>
    <t>Diversified Lending FPAUM</t>
  </si>
  <si>
    <t>21.0%-27.0%</t>
  </si>
  <si>
    <t>Comparables benchmarking; Historical CAGR; Portfolio diversification</t>
  </si>
  <si>
    <t>Diversified Lending Revenues / FPAUM</t>
  </si>
  <si>
    <t>1.9%-1.7%</t>
  </si>
  <si>
    <t>Stabilization of management fees</t>
  </si>
  <si>
    <t>Technology Lending FPAUM</t>
  </si>
  <si>
    <t>50.0%-29.0%</t>
  </si>
  <si>
    <t>Comparables benchmarking; Historical CAGR; Portfolio diversification; Tech middle-market growth trend</t>
  </si>
  <si>
    <t>Technology Lending Revenues / FEAUM</t>
  </si>
  <si>
    <t>0.9%-1.9%</t>
  </si>
  <si>
    <t>Stabilization of management fees; Internal and external benchmark</t>
  </si>
  <si>
    <t>First Lien Lending FEAUM</t>
  </si>
  <si>
    <t>19.0%-25.0%</t>
  </si>
  <si>
    <t>First Lien Lending Revenues / FEAUM</t>
  </si>
  <si>
    <t>0.7%-1.1%</t>
  </si>
  <si>
    <t>Opportunistic Lending FEAUM</t>
  </si>
  <si>
    <t>24.0%-23.0%</t>
  </si>
  <si>
    <t>Initial Fund Growth Rate; Comparables Opportunistic Lending benchmarking; Macro Assumptions</t>
  </si>
  <si>
    <t>Opportunistic Lending Revenues / FEAUM</t>
  </si>
  <si>
    <t>0.9%-1.1%</t>
  </si>
  <si>
    <t>CLOs FEAUM</t>
  </si>
  <si>
    <t>20.0%-10.0%</t>
  </si>
  <si>
    <t>Initial Fund Growth Rate; Comparables CLO benchmarking; Historical CAGR</t>
  </si>
  <si>
    <t>CLOs Revenues / FEAUM</t>
  </si>
  <si>
    <t>0.4.0%-1.0%</t>
  </si>
  <si>
    <t>GP Strategic Capital FEAUM</t>
  </si>
  <si>
    <t>30.0%-21.0%</t>
  </si>
  <si>
    <t>GP Minority Equity FEAUM</t>
  </si>
  <si>
    <t>29.0%-21.0%</t>
  </si>
  <si>
    <t>Maturation of Dyal's core business; Historical CAGR of GP-led secondaries</t>
  </si>
  <si>
    <t>Wolfe Research 2023/10</t>
  </si>
  <si>
    <t>GP Minority Equity Revenues / FEAUM</t>
  </si>
  <si>
    <t>Stabilization of Management Fees</t>
  </si>
  <si>
    <t>GP Debt Financing FEAUM</t>
  </si>
  <si>
    <t>30.0%-27.0%</t>
  </si>
  <si>
    <t>Initial Fund Growth Rate; Historical CAGR of GP Debt Financing</t>
  </si>
  <si>
    <t>https://settercapital.com/media/reports/Setter_Capital_Volume_Report_FY_2022.pdf</t>
  </si>
  <si>
    <t>GP Debt Financing Revenues / FEAUM</t>
  </si>
  <si>
    <t>Professional Sports Minority</t>
  </si>
  <si>
    <t>15.0%-11%</t>
  </si>
  <si>
    <t>Initial Fund Growth Rate; Equity Research on Sports Investment</t>
  </si>
  <si>
    <t>https://wearerockwater.com/2022-prediction-why-20b-was-invested-in-sports-leagues-teams-and-media-assets-in-2021-and-whats-next-for-this-soon-to-be-825b-industry/</t>
  </si>
  <si>
    <t>Professional Sports Revenues / FEAUM</t>
  </si>
  <si>
    <t>1.8%-2.0%</t>
  </si>
  <si>
    <t>Real Estate FEAUM</t>
  </si>
  <si>
    <t>32.0%-28.0%</t>
  </si>
  <si>
    <t>Real Estate Revenues / FEAUM</t>
  </si>
  <si>
    <t>Net lease volume; Product differentiation due to retail focus as advisors diversify from non-traded REITS; Macro assumptions</t>
  </si>
  <si>
    <t>Expense Assumptions:</t>
  </si>
  <si>
    <t>From 2023E to 2027E</t>
  </si>
  <si>
    <t>From 2023E to 2027E as % of Revenue</t>
  </si>
  <si>
    <t>55%-45%</t>
  </si>
  <si>
    <t>Comparables benchmarking; Comparables historicals</t>
  </si>
  <si>
    <t>12%-5%</t>
  </si>
  <si>
    <t>Comparables benchmarking; Comparables historicals; Acquisitions predictions</t>
  </si>
  <si>
    <t>14%-13%</t>
  </si>
  <si>
    <t>We see a recovery in M&amp;A volumes as a catalyst for DL deployment which would be an overall positive for OWL, even if the firm cedes share to new entrants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</si>
  <si>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</si>
  <si>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</si>
  <si>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</si>
  <si>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</si>
  <si>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</si>
  <si>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</si>
  <si>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</si>
  <si>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</si>
  <si>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</si>
  <si>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U.S M&amp;A volumes ($bn)</t>
  </si>
  <si>
    <t>OWL Net Funded Deployment ($bn) (RHS)</t>
  </si>
  <si>
    <t>($ in millions except per-share)</t>
  </si>
  <si>
    <t>2023E</t>
  </si>
  <si>
    <t>2024E</t>
  </si>
  <si>
    <t>2025E</t>
  </si>
  <si>
    <t>2026E</t>
  </si>
  <si>
    <t>2027E</t>
  </si>
  <si>
    <t>Weighted Average Cost of Capital</t>
  </si>
  <si>
    <t>Effective Tax Rate</t>
  </si>
  <si>
    <t>Less: 19% Income Tax</t>
  </si>
  <si>
    <t>Perpetual Growth in FCF</t>
  </si>
  <si>
    <t>Gordon Growth Model</t>
  </si>
  <si>
    <t>Plus: D&amp;A</t>
  </si>
  <si>
    <t>UFCF in 2027E (mm)</t>
  </si>
  <si>
    <t>Less: Changes OWC</t>
  </si>
  <si>
    <t>Less: CAPEX</t>
  </si>
  <si>
    <t>Terminal Value (mm)</t>
  </si>
  <si>
    <t>Unlevered Free Cash Flow</t>
  </si>
  <si>
    <t>Discount Factor</t>
  </si>
  <si>
    <t>Market Data (mm)</t>
  </si>
  <si>
    <t>Total Debt</t>
  </si>
  <si>
    <t>Discounted UFCF</t>
  </si>
  <si>
    <t>Cash &amp; Cash Equivalents</t>
  </si>
  <si>
    <t>Discounted Terminal Value</t>
  </si>
  <si>
    <t>Non-controlling Interest</t>
  </si>
  <si>
    <t>Diluted Class A Shares Outstanding</t>
  </si>
  <si>
    <t>Enterprise Value</t>
  </si>
  <si>
    <t>Less: Net Debt</t>
  </si>
  <si>
    <t>Implied Public Market Capitalization</t>
  </si>
  <si>
    <t>Implied Price Per-share</t>
  </si>
  <si>
    <t>$ in 000s</t>
  </si>
  <si>
    <t>Cash and Cash Equivalents</t>
  </si>
  <si>
    <t>NCI</t>
  </si>
  <si>
    <t>#</t>
  </si>
  <si>
    <t>Shares outstanding</t>
  </si>
  <si>
    <t>Final Year UFCF</t>
  </si>
  <si>
    <t>Terminal Growth Rate</t>
  </si>
  <si>
    <t>WACC</t>
  </si>
  <si>
    <t>Terminal Value</t>
  </si>
  <si>
    <t>Blackstone</t>
  </si>
  <si>
    <t>Real Estate</t>
  </si>
  <si>
    <t>Private Equity</t>
  </si>
  <si>
    <t>Credit &amp; Insurance</t>
  </si>
  <si>
    <t>Hedge Fund Solutions</t>
  </si>
  <si>
    <t>StepStone</t>
  </si>
  <si>
    <t>{$ in millions unless otherwise stated)</t>
  </si>
  <si>
    <t>Company Name</t>
  </si>
  <si>
    <t>Company Logo</t>
  </si>
  <si>
    <t>AUM 
 ($ in billions)</t>
  </si>
  <si>
    <t>Revenue 
 (LTM)</t>
  </si>
  <si>
    <t>EBITDA 
 (LTM)</t>
  </si>
  <si>
    <t>YTD Price 
 Performance</t>
  </si>
  <si>
    <t>Market Cap 
 ($ in billions)</t>
  </si>
  <si>
    <t>EV/EBITDA</t>
  </si>
  <si>
    <t>EV/Revenue</t>
  </si>
  <si>
    <t>Blue Owl Capital Inc</t>
  </si>
  <si>
    <t>Carlyle Group Inc</t>
  </si>
  <si>
    <t>Blackstone Inc</t>
  </si>
  <si>
    <t>N/A</t>
  </si>
  <si>
    <t>KKR &amp; Co Inc</t>
  </si>
  <si>
    <t>T Rowe Price Group Inc</t>
  </si>
  <si>
    <t>BlackRock Inc</t>
  </si>
  <si>
    <t>Stepstone</t>
  </si>
  <si>
    <t>P.E</t>
  </si>
  <si>
    <t>Revenue (LTM)</t>
  </si>
  <si>
    <t>Market Cap</t>
  </si>
  <si>
    <t>EBITDA
 (FY0, usd)</t>
  </si>
  <si>
    <t>Enterprise Value (Daily Time Series)
 (usd)</t>
  </si>
  <si>
    <t>YTD PP</t>
  </si>
  <si>
    <t>Total Debt to Total Equity, Percent
 (FY0)</t>
  </si>
  <si>
    <t>Total Debt
 (FY0, usd)</t>
  </si>
  <si>
    <t>Monthly Beta Unlevered - 5 Year</t>
  </si>
  <si>
    <t>Debt / Market Cap</t>
  </si>
  <si>
    <t>Equity / Market Cap</t>
  </si>
  <si>
    <t>###########</t>
  </si>
  <si>
    <t>##########</t>
  </si>
  <si>
    <t>#########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</si>
</sst>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"/>
    <numFmt numFmtId="165" formatCode="0.0%"/>
    <numFmt numFmtId="166" formatCode="0.000"/>
    <numFmt numFmtId="167" formatCode="&quot;$&quot;#,##0"/>
    <numFmt numFmtId="168" formatCode="&quot;$&quot;#,##0.00"/>
    <numFmt numFmtId="169" formatCode="#,##0.0%"/>
  </numFmts>
  <fonts count="26">
    <font>
      <sz val="10.0"/>
      <color rgb="FF000000"/>
      <name val="Arial"/>
      <scheme val="minor"/>
    </font>
    <font>
      <sz val="5.0"/>
      <color theme="1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FFFFFF"/>
      <name val="Arial"/>
      <scheme val="minor"/>
    </font>
    <font>
      <sz val="10.0"/>
      <color rgb="FFFFFFFF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sz val="10.0"/>
      <color theme="1"/>
      <name val="Arial"/>
      <scheme val="minor"/>
    </font>
    <font>
      <color rgb="FFFFFFFF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color theme="1"/>
      <name val="Arial"/>
    </font>
    <font>
      <color rgb="FFFFFFFF"/>
      <name val="Arial"/>
    </font>
    <font>
      <sz val="9.0"/>
      <color rgb="FF000000"/>
      <name val="Arial"/>
    </font>
    <font>
      <sz val="6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FFFFFF"/>
      <name val="Arial"/>
    </font>
    <font>
      <b/>
      <sz val="10.0"/>
      <color rgb="FFFFFFFF"/>
      <name val="Arial"/>
    </font>
    <font>
      <b/>
      <i/>
      <sz val="9.0"/>
      <color rgb="FFFFFFFF"/>
      <name val="Arial"/>
    </font>
    <font>
      <sz val="11.0"/>
      <color theme="1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0">
    <border/>
    <border>
      <top style="thick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2" numFmtId="10" xfId="0" applyAlignment="1" applyFont="1" applyNumberFormat="1">
      <alignment readingOrder="0"/>
    </xf>
    <xf borderId="0" fillId="0" fontId="2" numFmtId="10" xfId="0" applyFont="1" applyNumberFormat="1"/>
    <xf borderId="0" fillId="0" fontId="2" numFmtId="9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" fontId="3" numFmtId="0" xfId="0" applyFill="1" applyFont="1"/>
    <xf borderId="0" fillId="2" fontId="2" numFmtId="166" xfId="0" applyFont="1" applyNumberFormat="1"/>
    <xf borderId="0" fillId="2" fontId="3" numFmtId="10" xfId="0" applyFont="1" applyNumberFormat="1"/>
    <xf borderId="0" fillId="2" fontId="2" numFmtId="10" xfId="0" applyFont="1" applyNumberFormat="1"/>
    <xf borderId="0" fillId="2" fontId="3" numFmtId="0" xfId="0" applyAlignment="1" applyFont="1">
      <alignment readingOrder="0"/>
    </xf>
    <xf quotePrefix="1" borderId="0" fillId="0" fontId="5" numFmtId="0" xfId="0" applyAlignment="1" applyFont="1">
      <alignment readingOrder="0"/>
    </xf>
    <xf borderId="0" fillId="2" fontId="3" numFmtId="166" xfId="0" applyFont="1" applyNumberFormat="1"/>
    <xf borderId="0" fillId="3" fontId="6" numFmtId="0" xfId="0" applyAlignment="1" applyFill="1" applyFont="1">
      <alignment readingOrder="0"/>
    </xf>
    <xf borderId="0" fillId="3" fontId="7" numFmtId="0" xfId="0" applyAlignment="1" applyFont="1">
      <alignment horizontal="center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167" xfId="0" applyFont="1" applyNumberFormat="1"/>
    <xf borderId="0" fillId="0" fontId="10" numFmtId="0" xfId="0" applyAlignment="1" applyFont="1">
      <alignment readingOrder="0"/>
    </xf>
    <xf borderId="0" fillId="0" fontId="9" numFmtId="10" xfId="0" applyFont="1" applyNumberFormat="1"/>
    <xf borderId="0" fillId="0" fontId="9" numFmtId="0" xfId="0" applyFont="1"/>
    <xf borderId="0" fillId="0" fontId="8" numFmtId="0" xfId="0" applyFont="1"/>
    <xf borderId="1" fillId="0" fontId="8" numFmtId="0" xfId="0" applyBorder="1" applyFont="1"/>
    <xf borderId="1" fillId="0" fontId="9" numFmtId="167" xfId="0" applyBorder="1" applyFont="1" applyNumberFormat="1"/>
    <xf borderId="0" fillId="0" fontId="9" numFmtId="165" xfId="0" applyFont="1" applyNumberFormat="1"/>
    <xf borderId="0" fillId="0" fontId="2" numFmtId="165" xfId="0" applyFont="1" applyNumberFormat="1"/>
    <xf borderId="0" fillId="0" fontId="9" numFmtId="0" xfId="0" applyAlignment="1" applyFont="1">
      <alignment readingOrder="0"/>
    </xf>
    <xf borderId="0" fillId="0" fontId="2" numFmtId="166" xfId="0" applyFont="1" applyNumberFormat="1"/>
    <xf borderId="0" fillId="3" fontId="11" numFmtId="0" xfId="0" applyAlignment="1" applyFont="1">
      <alignment readingOrder="0"/>
    </xf>
    <xf borderId="0" fillId="4" fontId="12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2" numFmtId="165" xfId="0" applyAlignment="1" applyFont="1" applyNumberFormat="1">
      <alignment horizontal="left"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0"/>
    </xf>
    <xf borderId="0" fillId="3" fontId="15" numFmtId="0" xfId="0" applyAlignment="1" applyFont="1">
      <alignment vertical="bottom"/>
    </xf>
    <xf borderId="0" fillId="2" fontId="16" numFmtId="0" xfId="0" applyAlignment="1" applyFont="1">
      <alignment horizontal="left" readingOrder="0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horizontal="right" readingOrder="0" shrinkToFit="0" vertical="bottom" wrapText="0"/>
    </xf>
    <xf borderId="0" fillId="3" fontId="22" numFmtId="0" xfId="0" applyAlignment="1" applyFont="1">
      <alignment horizontal="center" readingOrder="0" shrinkToFit="0" vertical="center" wrapText="0"/>
    </xf>
    <xf borderId="0" fillId="3" fontId="23" numFmtId="0" xfId="0" applyAlignment="1" applyFont="1">
      <alignment horizontal="center" readingOrder="0" shrinkToFit="0" vertical="center" wrapText="0"/>
    </xf>
    <xf borderId="0" fillId="0" fontId="20" numFmtId="0" xfId="0" applyAlignment="1" applyFont="1">
      <alignment readingOrder="0" shrinkToFit="0" vertical="bottom" wrapText="0"/>
    </xf>
    <xf borderId="0" fillId="0" fontId="20" numFmtId="10" xfId="0" applyAlignment="1" applyFont="1" applyNumberFormat="1">
      <alignment horizontal="right" readingOrder="0" shrinkToFit="0" vertical="bottom" wrapText="0"/>
    </xf>
    <xf borderId="0" fillId="0" fontId="20" numFmtId="168" xfId="0" applyAlignment="1" applyFont="1" applyNumberFormat="1">
      <alignment horizontal="right" readingOrder="0" shrinkToFit="0" vertical="bottom" wrapText="0"/>
    </xf>
    <xf borderId="0" fillId="0" fontId="20" numFmtId="9" xfId="0" applyAlignment="1" applyFont="1" applyNumberFormat="1">
      <alignment horizontal="right" readingOrder="0" shrinkToFit="0" vertical="bottom" wrapText="0"/>
    </xf>
    <xf borderId="0" fillId="0" fontId="20" numFmtId="0" xfId="0" applyAlignment="1" applyFont="1">
      <alignment horizontal="left" readingOrder="0" shrinkToFit="0" vertical="bottom" wrapText="0"/>
    </xf>
    <xf borderId="0" fillId="0" fontId="20" numFmtId="167" xfId="0" applyAlignment="1" applyFont="1" applyNumberFormat="1">
      <alignment horizontal="right" readingOrder="0" shrinkToFit="0" vertical="bottom" wrapText="0"/>
    </xf>
    <xf borderId="0" fillId="0" fontId="20" numFmtId="167" xfId="0" applyAlignment="1" applyFont="1" applyNumberFormat="1">
      <alignment shrinkToFit="0" vertical="bottom" wrapText="0"/>
    </xf>
    <xf borderId="2" fillId="4" fontId="19" numFmtId="0" xfId="0" applyAlignment="1" applyBorder="1" applyFont="1">
      <alignment readingOrder="0" shrinkToFit="0" wrapText="0"/>
    </xf>
    <xf borderId="3" fillId="4" fontId="20" numFmtId="168" xfId="0" applyAlignment="1" applyBorder="1" applyFont="1" applyNumberFormat="1">
      <alignment horizontal="right" readingOrder="0" shrinkToFit="0" wrapText="0"/>
    </xf>
    <xf borderId="4" fillId="4" fontId="20" numFmtId="168" xfId="0" applyAlignment="1" applyBorder="1" applyFont="1" applyNumberFormat="1">
      <alignment horizontal="right" readingOrder="0" shrinkToFit="0" wrapText="0"/>
    </xf>
    <xf borderId="5" fillId="4" fontId="19" numFmtId="0" xfId="0" applyAlignment="1" applyBorder="1" applyFont="1">
      <alignment readingOrder="0" shrinkToFit="0" wrapText="0"/>
    </xf>
    <xf borderId="0" fillId="4" fontId="19" numFmtId="0" xfId="0" applyAlignment="1" applyFont="1">
      <alignment readingOrder="0" shrinkToFit="0" wrapText="0"/>
    </xf>
    <xf borderId="0" fillId="4" fontId="20" numFmtId="0" xfId="0" applyAlignment="1" applyFont="1">
      <alignment shrinkToFit="0" wrapText="0"/>
    </xf>
    <xf borderId="6" fillId="4" fontId="20" numFmtId="168" xfId="0" applyAlignment="1" applyBorder="1" applyFont="1" applyNumberFormat="1">
      <alignment horizontal="right" readingOrder="0" shrinkToFit="0" wrapText="0"/>
    </xf>
    <xf borderId="5" fillId="4" fontId="19" numFmtId="0" xfId="0" applyAlignment="1" applyBorder="1" applyFont="1">
      <alignment shrinkToFit="0" wrapText="0"/>
    </xf>
    <xf borderId="6" fillId="4" fontId="20" numFmtId="0" xfId="0" applyAlignment="1" applyBorder="1" applyFont="1">
      <alignment shrinkToFit="0" wrapText="0"/>
    </xf>
    <xf borderId="0" fillId="0" fontId="20" numFmtId="3" xfId="0" applyAlignment="1" applyFont="1" applyNumberFormat="1">
      <alignment readingOrder="0" shrinkToFit="0" vertical="bottom" wrapText="0"/>
    </xf>
    <xf borderId="0" fillId="4" fontId="20" numFmtId="168" xfId="0" applyAlignment="1" applyFont="1" applyNumberFormat="1">
      <alignment horizontal="right" readingOrder="0" shrinkToFit="0" wrapText="0"/>
    </xf>
    <xf borderId="7" fillId="0" fontId="18" numFmtId="0" xfId="0" applyBorder="1" applyFont="1"/>
    <xf borderId="3" fillId="0" fontId="18" numFmtId="0" xfId="0" applyBorder="1" applyFont="1"/>
    <xf borderId="0" fillId="2" fontId="20" numFmtId="168" xfId="0" applyAlignment="1" applyFont="1" applyNumberFormat="1">
      <alignment horizontal="right" readingOrder="0" shrinkToFit="0" wrapText="0"/>
    </xf>
    <xf borderId="6" fillId="4" fontId="20" numFmtId="168" xfId="0" applyAlignment="1" applyBorder="1" applyFont="1" applyNumberFormat="1">
      <alignment readingOrder="0" shrinkToFit="0" wrapText="0"/>
    </xf>
    <xf borderId="0" fillId="2" fontId="20" numFmtId="0" xfId="0" applyAlignment="1" applyFont="1">
      <alignment shrinkToFit="0" wrapText="0"/>
    </xf>
    <xf borderId="8" fillId="4" fontId="19" numFmtId="0" xfId="0" applyAlignment="1" applyBorder="1" applyFont="1">
      <alignment readingOrder="0" shrinkToFit="0" wrapText="0"/>
    </xf>
    <xf borderId="9" fillId="4" fontId="20" numFmtId="168" xfId="0" applyAlignment="1" applyBorder="1" applyFont="1" applyNumberFormat="1">
      <alignment shrinkToFit="0" wrapText="0"/>
    </xf>
    <xf borderId="0" fillId="2" fontId="19" numFmtId="0" xfId="0" applyAlignment="1" applyFont="1">
      <alignment readingOrder="0" shrinkToFit="0" wrapText="0"/>
    </xf>
    <xf borderId="0" fillId="0" fontId="20" numFmtId="168" xfId="0" applyAlignment="1" applyFont="1" applyNumberFormat="1">
      <alignment readingOrder="0"/>
    </xf>
    <xf borderId="0" fillId="0" fontId="20" numFmtId="168" xfId="0" applyAlignment="1" applyFont="1" applyNumberFormat="1">
      <alignment readingOrder="0" shrinkToFit="0" vertical="bottom" wrapText="0"/>
    </xf>
    <xf borderId="0" fillId="0" fontId="20" numFmtId="4" xfId="0" applyAlignment="1" applyFont="1" applyNumberFormat="1">
      <alignment readingOrder="0"/>
    </xf>
    <xf borderId="0" fillId="0" fontId="20" numFmtId="4" xfId="0" applyAlignment="1" applyFont="1" applyNumberFormat="1">
      <alignment readingOrder="0" shrinkToFit="0" vertical="bottom" wrapText="0"/>
    </xf>
    <xf borderId="0" fillId="0" fontId="18" numFmtId="0" xfId="0" applyAlignment="1" applyFont="1">
      <alignment readingOrder="0"/>
    </xf>
    <xf borderId="0" fillId="0" fontId="18" numFmtId="3" xfId="0" applyAlignment="1" applyFont="1" applyNumberFormat="1">
      <alignment readingOrder="0"/>
    </xf>
    <xf borderId="0" fillId="5" fontId="2" numFmtId="166" xfId="0" applyFill="1" applyFont="1" applyNumberFormat="1"/>
    <xf borderId="0" fillId="6" fontId="24" numFmtId="0" xfId="0" applyAlignment="1" applyFill="1" applyFont="1">
      <alignment vertical="bottom"/>
    </xf>
    <xf borderId="0" fillId="0" fontId="25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horizontal="center" vertical="bottom"/>
    </xf>
    <xf borderId="0" fillId="0" fontId="24" numFmtId="0" xfId="0" applyAlignment="1" applyFont="1">
      <alignment horizontal="right" vertical="bottom"/>
    </xf>
    <xf borderId="0" fillId="0" fontId="24" numFmtId="10" xfId="0" applyAlignment="1" applyFont="1" applyNumberFormat="1">
      <alignment horizontal="right" vertical="bottom"/>
    </xf>
    <xf borderId="0" fillId="0" fontId="24" numFmtId="4" xfId="0" applyAlignment="1" applyFont="1" applyNumberFormat="1">
      <alignment horizontal="right" vertical="bottom"/>
    </xf>
    <xf borderId="0" fillId="0" fontId="24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0" fontId="25" numFmtId="4" xfId="0" applyAlignment="1" applyFont="1" applyNumberFormat="1">
      <alignment vertical="bottom"/>
    </xf>
    <xf borderId="0" fillId="0" fontId="25" numFmtId="169" xfId="0" applyAlignment="1" applyFont="1" applyNumberFormat="1">
      <alignment vertical="bottom"/>
    </xf>
    <xf borderId="0" fillId="0" fontId="25" numFmtId="10" xfId="0" applyAlignment="1" applyFont="1" applyNumberFormat="1">
      <alignment vertical="bottom"/>
    </xf>
    <xf borderId="0" fillId="0" fontId="25" numFmtId="0" xfId="0" applyAlignment="1" applyFont="1">
      <alignment horizontal="right" vertical="bottom"/>
    </xf>
    <xf borderId="0" fillId="0" fontId="25" numFmtId="0" xfId="0" applyAlignment="1" applyFont="1">
      <alignment horizontal="center" vertical="bottom"/>
    </xf>
    <xf borderId="0" fillId="0" fontId="25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U.S M&amp;A volumes ($bn) and OWL Net Funded Deployment ($bn) (RHS)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'Revenue Assumptions Charts'!$A$4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'Revenue Assumptions Charts'!$B$3:$J$3</c:f>
            </c:strRef>
          </c:cat>
          <c:val>
            <c:numRef>
              <c:f>'Revenue Assumptions Charts'!$B$4:$J$4</c:f>
              <c:numCache/>
            </c:numRef>
          </c:val>
        </c:ser>
        <c:axId val="527124843"/>
        <c:axId val="31586065"/>
      </c:barChart>
      <c:lineChart>
        <c:varyColors val="0"/>
        <c:ser>
          <c:idx val="1"/>
          <c:order val="1"/>
          <c:tx>
            <c:strRef>
              <c:f>'Revenue Assumptions Charts'!$A$5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'Revenue Assumptions Charts'!$B$3:$J$3</c:f>
            </c:strRef>
          </c:cat>
          <c:val>
            <c:numRef>
              <c:f>'Revenue Assumptions Charts'!$B$5:$J$5</c:f>
              <c:numCache/>
            </c:numRef>
          </c:val>
          <c:smooth val="0"/>
        </c:ser>
        <c:axId val="527124843"/>
        <c:axId val="31586065"/>
      </c:lineChart>
      <c:catAx>
        <c:axId val="527124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86065"/>
      </c:catAx>
      <c:valAx>
        <c:axId val="315860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7124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647700</xdr:colOff>
      <xdr:row>8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qin.com/news/direct-lending-set-to-spur-private-debt-aum-to-2-8tn-by-2028" TargetMode="External"/><Relationship Id="rId2" Type="http://schemas.openxmlformats.org/officeDocument/2006/relationships/hyperlink" Target="https://settercapital.com/media/reports/Setter_Capital_Volume_Report_FY_2022.pdf" TargetMode="External"/><Relationship Id="rId3" Type="http://schemas.openxmlformats.org/officeDocument/2006/relationships/hyperlink" Target="https://wearerockwater.com/2022-prediction-why-20b-was-invested-in-sports-leagues-teams-and-media-assets-in-2021-and-whats-next-for-this-soon-to-be-825b-industry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</cols>
  <sheetData>
    <row r="1">
      <c r="A1" s="1" t="s">
        <v>0</v>
      </c>
      <c r="B1" s="2">
        <v>2019.0</v>
      </c>
      <c r="C1" s="2">
        <v>2020.0</v>
      </c>
      <c r="D1" s="3">
        <f t="shared" ref="D1:J1" si="1">C1+1</f>
        <v>2021</v>
      </c>
      <c r="E1" s="3">
        <f t="shared" si="1"/>
        <v>2022</v>
      </c>
      <c r="F1" s="4">
        <f t="shared" si="1"/>
        <v>2023</v>
      </c>
      <c r="G1" s="4">
        <f t="shared" si="1"/>
        <v>2024</v>
      </c>
      <c r="H1" s="4">
        <f t="shared" si="1"/>
        <v>2025</v>
      </c>
      <c r="I1" s="4">
        <f t="shared" si="1"/>
        <v>2026</v>
      </c>
      <c r="J1" s="4">
        <f t="shared" si="1"/>
        <v>2027</v>
      </c>
    </row>
    <row r="2">
      <c r="A2" s="5" t="s">
        <v>1</v>
      </c>
    </row>
    <row r="3">
      <c r="A3" s="5" t="s">
        <v>2</v>
      </c>
      <c r="B3" s="6">
        <v>4.97</v>
      </c>
      <c r="C3" s="6">
        <v>1.0</v>
      </c>
      <c r="D3" s="6">
        <v>0.74</v>
      </c>
      <c r="E3" s="6">
        <v>7.16</v>
      </c>
      <c r="F3" s="6">
        <v>9.27</v>
      </c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 t="s">
        <v>3</v>
      </c>
      <c r="B4" s="6"/>
      <c r="C4" s="6">
        <v>0.02</v>
      </c>
      <c r="D4" s="9">
        <v>0.03</v>
      </c>
      <c r="E4" s="9">
        <v>0.01</v>
      </c>
      <c r="F4" s="9">
        <v>0.0175</v>
      </c>
      <c r="G4" s="9">
        <v>0.0475</v>
      </c>
      <c r="H4" s="6">
        <v>0.051</v>
      </c>
      <c r="I4" s="6">
        <v>0.05</v>
      </c>
      <c r="J4" s="6">
        <v>0.05</v>
      </c>
    </row>
    <row r="5">
      <c r="A5" s="5" t="s">
        <v>4</v>
      </c>
      <c r="B5" s="6"/>
      <c r="C5" s="6">
        <v>0.02</v>
      </c>
      <c r="D5" s="9">
        <v>0.03</v>
      </c>
      <c r="E5" s="9">
        <v>0.01</v>
      </c>
      <c r="F5" s="9">
        <v>0.0175</v>
      </c>
      <c r="G5" s="9">
        <v>0.0475</v>
      </c>
      <c r="H5" s="6">
        <v>0.051</v>
      </c>
      <c r="I5" s="6">
        <v>0.05</v>
      </c>
      <c r="J5" s="6">
        <v>0.05</v>
      </c>
    </row>
    <row r="6">
      <c r="A6" s="5" t="s">
        <v>5</v>
      </c>
    </row>
    <row r="7">
      <c r="A7" s="5" t="s">
        <v>6</v>
      </c>
    </row>
    <row r="8">
      <c r="A8" s="5"/>
    </row>
    <row r="9">
      <c r="A9" s="5" t="s">
        <v>7</v>
      </c>
    </row>
    <row r="10">
      <c r="A10" s="2" t="s">
        <v>8</v>
      </c>
      <c r="B10" s="2">
        <v>23700.0</v>
      </c>
      <c r="C10" s="2">
        <v>27100.0</v>
      </c>
      <c r="D10" s="2">
        <v>39200.0</v>
      </c>
      <c r="E10" s="2">
        <v>68600.0</v>
      </c>
    </row>
    <row r="11">
      <c r="A11" s="5" t="s">
        <v>9</v>
      </c>
      <c r="B11" s="7">
        <f>C11*B10/C10</f>
        <v>16903.43469</v>
      </c>
      <c r="C11" s="7">
        <f t="shared" ref="C11:J11" si="2">SUM(C18+C25+C32+C39+C46)</f>
        <v>19328.4</v>
      </c>
      <c r="D11" s="7">
        <f t="shared" si="2"/>
        <v>32000</v>
      </c>
      <c r="E11" s="7">
        <f t="shared" si="2"/>
        <v>49000</v>
      </c>
      <c r="F11" s="7">
        <f t="shared" si="2"/>
        <v>62727.56522</v>
      </c>
      <c r="G11" s="7">
        <f t="shared" si="2"/>
        <v>80473.64786</v>
      </c>
      <c r="H11" s="7">
        <f t="shared" si="2"/>
        <v>101870.6119</v>
      </c>
      <c r="I11" s="7">
        <f t="shared" si="2"/>
        <v>127948.7517</v>
      </c>
      <c r="J11" s="7">
        <f t="shared" si="2"/>
        <v>160871.6056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" t="s">
        <v>10</v>
      </c>
      <c r="B12" s="9"/>
      <c r="C12" s="9">
        <f t="shared" ref="C12:J12" si="3">IFERROR((C11-B11)/B11,0)</f>
        <v>0.1434599156</v>
      </c>
      <c r="D12" s="9">
        <f t="shared" si="3"/>
        <v>0.6555948759</v>
      </c>
      <c r="E12" s="9">
        <f t="shared" si="3"/>
        <v>0.53125</v>
      </c>
      <c r="F12" s="9">
        <f t="shared" si="3"/>
        <v>0.2801543922</v>
      </c>
      <c r="G12" s="9">
        <f t="shared" si="3"/>
        <v>0.2829072448</v>
      </c>
      <c r="H12" s="9">
        <f t="shared" si="3"/>
        <v>0.2658878355</v>
      </c>
      <c r="I12" s="9">
        <f t="shared" si="3"/>
        <v>0.2559927667</v>
      </c>
      <c r="J12" s="9">
        <f t="shared" si="3"/>
        <v>0.257312818</v>
      </c>
    </row>
    <row r="13">
      <c r="A13" s="2" t="s">
        <v>11</v>
      </c>
      <c r="C13" s="2"/>
      <c r="D13" s="2"/>
      <c r="E13" s="2"/>
    </row>
    <row r="14">
      <c r="A14" s="2" t="s">
        <v>12</v>
      </c>
      <c r="C14" s="2">
        <v>4500.0</v>
      </c>
      <c r="D14" s="2">
        <v>7300.0</v>
      </c>
      <c r="E14" s="2">
        <v>11000.0</v>
      </c>
    </row>
    <row r="15">
      <c r="A15" s="2" t="s">
        <v>11</v>
      </c>
      <c r="C15" s="10">
        <f t="shared" ref="C15:E15" si="4">C14/C10</f>
        <v>0.1660516605</v>
      </c>
      <c r="D15" s="10">
        <f t="shared" si="4"/>
        <v>0.1862244898</v>
      </c>
      <c r="E15" s="10">
        <f t="shared" si="4"/>
        <v>0.1603498542</v>
      </c>
      <c r="F15" s="10"/>
      <c r="G15" s="10"/>
      <c r="H15" s="10"/>
      <c r="I15" s="10"/>
    </row>
    <row r="16">
      <c r="A16" s="2"/>
      <c r="B16" s="2"/>
      <c r="C16" s="2"/>
    </row>
    <row r="17">
      <c r="A17" s="2" t="s">
        <v>13</v>
      </c>
      <c r="B17" s="2"/>
      <c r="C17" s="2">
        <v>15200.0</v>
      </c>
      <c r="D17" s="2">
        <v>25800.0</v>
      </c>
      <c r="E17" s="2">
        <v>39600.0</v>
      </c>
    </row>
    <row r="18">
      <c r="A18" s="7" t="s">
        <v>14</v>
      </c>
      <c r="B18" s="8"/>
      <c r="C18" s="8">
        <f>0.819*C17</f>
        <v>12448.8</v>
      </c>
      <c r="D18" s="7">
        <v>21600.0</v>
      </c>
      <c r="E18" s="7">
        <v>25400.0</v>
      </c>
      <c r="F18" s="8">
        <f t="shared" ref="F18:J18" si="5">(F19+1)*E18</f>
        <v>30734</v>
      </c>
      <c r="G18" s="8">
        <f t="shared" si="5"/>
        <v>39339.52</v>
      </c>
      <c r="H18" s="8">
        <f t="shared" si="5"/>
        <v>49961.1904</v>
      </c>
      <c r="I18" s="8">
        <f t="shared" si="5"/>
        <v>63450.71181</v>
      </c>
      <c r="J18" s="8">
        <f t="shared" si="5"/>
        <v>80582.404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" t="s">
        <v>10</v>
      </c>
      <c r="C19" s="9"/>
      <c r="D19" s="9">
        <f t="shared" ref="D19:E19" si="6">IFERROR((D18-C18)/C18,0)</f>
        <v>0.7351069983</v>
      </c>
      <c r="E19" s="9">
        <f t="shared" si="6"/>
        <v>0.1759259259</v>
      </c>
      <c r="F19" s="6">
        <v>0.21</v>
      </c>
      <c r="G19" s="11">
        <v>0.28</v>
      </c>
      <c r="H19" s="11">
        <v>0.27</v>
      </c>
      <c r="I19" s="11">
        <f t="shared" ref="I19:J19" si="7">H19</f>
        <v>0.27</v>
      </c>
      <c r="J19" s="11">
        <f t="shared" si="7"/>
        <v>0.27</v>
      </c>
    </row>
    <row r="20">
      <c r="A20" s="2" t="s">
        <v>15</v>
      </c>
      <c r="B20" s="2"/>
      <c r="C20" s="2">
        <v>140.2</v>
      </c>
      <c r="D20" s="2">
        <v>348.4</v>
      </c>
      <c r="E20" s="2">
        <v>480.9</v>
      </c>
      <c r="F20" s="7">
        <f t="shared" ref="F20:J20" si="8">F22*F18</f>
        <v>524.448358</v>
      </c>
      <c r="G20" s="7">
        <f t="shared" si="8"/>
        <v>671.2938983</v>
      </c>
      <c r="H20" s="7">
        <f t="shared" si="8"/>
        <v>852.5432508</v>
      </c>
      <c r="I20" s="7">
        <f t="shared" si="8"/>
        <v>1082.729929</v>
      </c>
      <c r="J20" s="7">
        <f t="shared" si="8"/>
        <v>1375.067009</v>
      </c>
    </row>
    <row r="21">
      <c r="A21" s="2" t="s">
        <v>10</v>
      </c>
      <c r="D21" s="9">
        <f t="shared" ref="D21:J21" si="9">IFERROR((D20-C20)/C20,0)</f>
        <v>1.485021398</v>
      </c>
      <c r="E21" s="9">
        <f t="shared" si="9"/>
        <v>0.3803099885</v>
      </c>
      <c r="F21" s="9">
        <f t="shared" si="9"/>
        <v>0.09055595347</v>
      </c>
      <c r="G21" s="9">
        <f t="shared" si="9"/>
        <v>0.28</v>
      </c>
      <c r="H21" s="9">
        <f t="shared" si="9"/>
        <v>0.27</v>
      </c>
      <c r="I21" s="9">
        <f t="shared" si="9"/>
        <v>0.27</v>
      </c>
      <c r="J21" s="9">
        <f t="shared" si="9"/>
        <v>0.27</v>
      </c>
    </row>
    <row r="22">
      <c r="A22" s="2" t="s">
        <v>16</v>
      </c>
      <c r="B22" s="2"/>
      <c r="C22" s="2">
        <f t="shared" ref="C22:E22" si="10">C20/C18</f>
        <v>0.01126212968</v>
      </c>
      <c r="D22" s="2">
        <f t="shared" si="10"/>
        <v>0.01612962963</v>
      </c>
      <c r="E22" s="2">
        <f t="shared" si="10"/>
        <v>0.01893307087</v>
      </c>
      <c r="F22" s="2">
        <f>($D$22+1/3 * ($E$22-$D$22))</f>
        <v>0.01706411004</v>
      </c>
      <c r="G22" s="2">
        <f t="shared" ref="G22:J22" si="11">F22</f>
        <v>0.01706411004</v>
      </c>
      <c r="H22" s="2">
        <f t="shared" si="11"/>
        <v>0.01706411004</v>
      </c>
      <c r="I22" s="2">
        <f t="shared" si="11"/>
        <v>0.01706411004</v>
      </c>
      <c r="J22" s="2">
        <f t="shared" si="11"/>
        <v>0.01706411004</v>
      </c>
    </row>
    <row r="23">
      <c r="A23" s="2"/>
      <c r="B23" s="2"/>
      <c r="C23" s="2"/>
      <c r="D23" s="2"/>
      <c r="E23" s="2"/>
    </row>
    <row r="24">
      <c r="A24" s="2" t="s">
        <v>17</v>
      </c>
      <c r="B24" s="2"/>
      <c r="C24" s="2">
        <v>4500.0</v>
      </c>
      <c r="D24" s="2">
        <v>7900.0</v>
      </c>
      <c r="E24" s="2">
        <v>1600.0</v>
      </c>
    </row>
    <row r="25">
      <c r="A25" s="2" t="s">
        <v>18</v>
      </c>
      <c r="C25" s="8">
        <f>0.819*C24</f>
        <v>3685.5</v>
      </c>
      <c r="D25" s="2">
        <v>6900.0</v>
      </c>
      <c r="E25" s="2">
        <v>12100.0</v>
      </c>
      <c r="F25" s="8">
        <f t="shared" ref="F25:J25" si="12">(F26+1)*E25</f>
        <v>18150</v>
      </c>
      <c r="G25" s="8">
        <f t="shared" si="12"/>
        <v>24684</v>
      </c>
      <c r="H25" s="8">
        <f t="shared" si="12"/>
        <v>32582.88</v>
      </c>
      <c r="I25" s="8">
        <f t="shared" si="12"/>
        <v>42031.9152</v>
      </c>
      <c r="J25" s="8">
        <f t="shared" si="12"/>
        <v>54221.17061</v>
      </c>
    </row>
    <row r="26">
      <c r="A26" s="2" t="s">
        <v>19</v>
      </c>
      <c r="C26" s="9">
        <f t="shared" ref="C26:E26" si="13">IFERROR((C25-B25)/B25,0)</f>
        <v>0</v>
      </c>
      <c r="D26" s="9">
        <f t="shared" si="13"/>
        <v>0.8722018722</v>
      </c>
      <c r="E26" s="9">
        <f t="shared" si="13"/>
        <v>0.7536231884</v>
      </c>
      <c r="F26" s="6">
        <v>0.5</v>
      </c>
      <c r="G26" s="6">
        <f>F26-14%</f>
        <v>0.36</v>
      </c>
      <c r="H26" s="6">
        <f>G26-4%</f>
        <v>0.32</v>
      </c>
      <c r="I26" s="6">
        <v>0.29</v>
      </c>
      <c r="J26" s="6">
        <f>I26</f>
        <v>0.29</v>
      </c>
    </row>
    <row r="27">
      <c r="A27" s="2" t="s">
        <v>20</v>
      </c>
      <c r="B27" s="2"/>
      <c r="C27" s="2">
        <v>42.1</v>
      </c>
      <c r="D27" s="2">
        <v>66.1</v>
      </c>
      <c r="E27" s="2">
        <v>114.9</v>
      </c>
      <c r="F27" s="3">
        <f t="shared" ref="F27:J27" si="14">F29*F25</f>
        <v>226.8</v>
      </c>
      <c r="G27" s="3">
        <f t="shared" si="14"/>
        <v>382.5</v>
      </c>
      <c r="H27" s="3">
        <f t="shared" si="14"/>
        <v>602.64864</v>
      </c>
      <c r="I27" s="3">
        <f t="shared" si="14"/>
        <v>777.4167456</v>
      </c>
      <c r="J27" s="3">
        <f t="shared" si="14"/>
        <v>1002.867602</v>
      </c>
    </row>
    <row r="28">
      <c r="A28" s="2" t="s">
        <v>19</v>
      </c>
      <c r="D28" s="9">
        <f t="shared" ref="D28:J28" si="15">IFERROR((D27-C27)/C27,0)</f>
        <v>0.5700712589</v>
      </c>
      <c r="E28" s="9">
        <f t="shared" si="15"/>
        <v>0.7382753404</v>
      </c>
      <c r="F28" s="9">
        <f t="shared" si="15"/>
        <v>0.9738903394</v>
      </c>
      <c r="G28" s="9">
        <f t="shared" si="15"/>
        <v>0.6865079365</v>
      </c>
      <c r="H28" s="9">
        <f t="shared" si="15"/>
        <v>0.575552</v>
      </c>
      <c r="I28" s="9">
        <f t="shared" si="15"/>
        <v>0.29</v>
      </c>
      <c r="J28" s="9">
        <f t="shared" si="15"/>
        <v>0.29</v>
      </c>
    </row>
    <row r="29">
      <c r="A29" s="2" t="s">
        <v>16</v>
      </c>
      <c r="B29" s="2"/>
      <c r="C29" s="2">
        <f t="shared" ref="C29:E29" si="16">C27/C25</f>
        <v>0.01142314476</v>
      </c>
      <c r="D29" s="2">
        <f t="shared" si="16"/>
        <v>0.009579710145</v>
      </c>
      <c r="E29" s="2">
        <f t="shared" si="16"/>
        <v>0.009495867769</v>
      </c>
      <c r="F29" s="2">
        <f t="shared" ref="F29:H29" si="17">E29+0.3%</f>
        <v>0.01249586777</v>
      </c>
      <c r="G29" s="2">
        <f t="shared" si="17"/>
        <v>0.01549586777</v>
      </c>
      <c r="H29" s="2">
        <f t="shared" si="17"/>
        <v>0.01849586777</v>
      </c>
      <c r="I29" s="2">
        <f t="shared" ref="I29:J29" si="18">H29</f>
        <v>0.01849586777</v>
      </c>
      <c r="J29" s="2">
        <f t="shared" si="18"/>
        <v>0.01849586777</v>
      </c>
    </row>
    <row r="30">
      <c r="A30" s="2"/>
      <c r="B30" s="2"/>
      <c r="C30" s="2"/>
      <c r="D30" s="2"/>
      <c r="E30" s="2"/>
    </row>
    <row r="31">
      <c r="A31" s="2" t="s">
        <v>21</v>
      </c>
      <c r="B31" s="2"/>
      <c r="C31" s="2">
        <v>2900.0</v>
      </c>
      <c r="D31" s="2">
        <v>3500.0</v>
      </c>
      <c r="E31" s="2">
        <v>3300.0</v>
      </c>
    </row>
    <row r="32">
      <c r="A32" s="2" t="s">
        <v>22</v>
      </c>
      <c r="C32" s="8">
        <f>0.819*C31</f>
        <v>2375.1</v>
      </c>
      <c r="D32" s="2">
        <v>2300.0</v>
      </c>
      <c r="E32" s="2">
        <v>2700.0</v>
      </c>
      <c r="F32" s="8">
        <f t="shared" ref="F32:J32" si="19">(F33+1)*E32</f>
        <v>3223.565217</v>
      </c>
      <c r="G32" s="8">
        <f t="shared" si="19"/>
        <v>3913.127864</v>
      </c>
      <c r="H32" s="8">
        <f t="shared" si="19"/>
        <v>4828.459512</v>
      </c>
      <c r="I32" s="8">
        <f t="shared" si="19"/>
        <v>6035.57439</v>
      </c>
      <c r="J32" s="8">
        <f t="shared" si="19"/>
        <v>7544.467988</v>
      </c>
    </row>
    <row r="33">
      <c r="A33" s="2" t="s">
        <v>19</v>
      </c>
      <c r="D33" s="9">
        <f t="shared" ref="D33:E33" si="20">IFERROR((D32-C32)/C32,0)</f>
        <v>-0.03161972127</v>
      </c>
      <c r="E33" s="9">
        <f t="shared" si="20"/>
        <v>0.1739130435</v>
      </c>
      <c r="F33" s="6">
        <f t="shared" ref="F33:H33" si="21">E33+2%</f>
        <v>0.1939130435</v>
      </c>
      <c r="G33" s="6">
        <f t="shared" si="21"/>
        <v>0.2139130435</v>
      </c>
      <c r="H33" s="6">
        <f t="shared" si="21"/>
        <v>0.2339130435</v>
      </c>
      <c r="I33" s="6">
        <v>0.25</v>
      </c>
      <c r="J33" s="6">
        <f>I33</f>
        <v>0.25</v>
      </c>
    </row>
    <row r="34">
      <c r="A34" s="2" t="s">
        <v>23</v>
      </c>
      <c r="B34" s="2"/>
      <c r="C34" s="2">
        <v>12.3</v>
      </c>
      <c r="D34" s="2">
        <v>15.2</v>
      </c>
      <c r="E34" s="2">
        <v>16.0</v>
      </c>
      <c r="F34" s="3">
        <f t="shared" ref="F34:J34" si="22">F36*F32</f>
        <v>22.32617391</v>
      </c>
      <c r="G34" s="3">
        <f t="shared" si="22"/>
        <v>31.01516159</v>
      </c>
      <c r="H34" s="3">
        <f t="shared" si="22"/>
        <v>43.09847194</v>
      </c>
      <c r="I34" s="3">
        <f t="shared" si="22"/>
        <v>59.90866432</v>
      </c>
      <c r="J34" s="3">
        <f t="shared" si="22"/>
        <v>82.43029838</v>
      </c>
    </row>
    <row r="35">
      <c r="A35" s="2" t="s">
        <v>19</v>
      </c>
      <c r="D35" s="9">
        <f t="shared" ref="D35:J35" si="23">IFERROR((D34-C34)/C34,0)</f>
        <v>0.2357723577</v>
      </c>
      <c r="E35" s="9">
        <f t="shared" si="23"/>
        <v>0.05263157895</v>
      </c>
      <c r="F35" s="9">
        <f t="shared" si="23"/>
        <v>0.3953858696</v>
      </c>
      <c r="G35" s="9">
        <f t="shared" si="23"/>
        <v>0.3891839107</v>
      </c>
      <c r="H35" s="9">
        <f t="shared" si="23"/>
        <v>0.3895936611</v>
      </c>
      <c r="I35" s="9">
        <f t="shared" si="23"/>
        <v>0.3900414938</v>
      </c>
      <c r="J35" s="9">
        <f t="shared" si="23"/>
        <v>0.3759328358</v>
      </c>
    </row>
    <row r="36">
      <c r="A36" s="2" t="s">
        <v>16</v>
      </c>
      <c r="B36" s="2"/>
      <c r="C36" s="2">
        <f t="shared" ref="C36:E36" si="24">C34/C32</f>
        <v>0.005178729317</v>
      </c>
      <c r="D36" s="2">
        <f t="shared" si="24"/>
        <v>0.006608695652</v>
      </c>
      <c r="E36" s="2">
        <f t="shared" si="24"/>
        <v>0.005925925926</v>
      </c>
      <c r="F36" s="2">
        <f t="shared" ref="F36:J36" si="25">E36+0.001</f>
        <v>0.006925925926</v>
      </c>
      <c r="G36" s="2">
        <f t="shared" si="25"/>
        <v>0.007925925926</v>
      </c>
      <c r="H36" s="2">
        <f t="shared" si="25"/>
        <v>0.008925925926</v>
      </c>
      <c r="I36" s="2">
        <f t="shared" si="25"/>
        <v>0.009925925926</v>
      </c>
      <c r="J36" s="2">
        <f t="shared" si="25"/>
        <v>0.01092592593</v>
      </c>
    </row>
    <row r="37">
      <c r="A37" s="2"/>
      <c r="B37" s="2"/>
      <c r="C37" s="2"/>
      <c r="D37" s="2"/>
      <c r="E37" s="2"/>
    </row>
    <row r="38">
      <c r="A38" s="2" t="s">
        <v>24</v>
      </c>
      <c r="B38" s="2"/>
      <c r="C38" s="2">
        <v>1000.0</v>
      </c>
      <c r="D38" s="2">
        <v>2000.0</v>
      </c>
      <c r="E38" s="2">
        <v>2300.0</v>
      </c>
    </row>
    <row r="39">
      <c r="A39" s="2" t="s">
        <v>25</v>
      </c>
      <c r="C39" s="8">
        <f>0.819*C38</f>
        <v>819</v>
      </c>
      <c r="D39" s="2">
        <v>1200.0</v>
      </c>
      <c r="E39" s="2">
        <v>1500.0</v>
      </c>
      <c r="F39" s="3">
        <f t="shared" ref="F39:J39" si="26">(F40+1)*E39</f>
        <v>1860</v>
      </c>
      <c r="G39" s="3">
        <f t="shared" si="26"/>
        <v>2287.8</v>
      </c>
      <c r="H39" s="3">
        <f t="shared" si="26"/>
        <v>2813.994</v>
      </c>
      <c r="I39" s="3">
        <f t="shared" si="26"/>
        <v>3461.21262</v>
      </c>
      <c r="J39" s="3">
        <f t="shared" si="26"/>
        <v>4257.291523</v>
      </c>
    </row>
    <row r="40">
      <c r="A40" s="2" t="s">
        <v>19</v>
      </c>
      <c r="C40" s="9">
        <f t="shared" ref="C40:E40" si="27">IFERROR((C39-B39)/B39,0)</f>
        <v>0</v>
      </c>
      <c r="D40" s="9">
        <f t="shared" si="27"/>
        <v>0.4652014652</v>
      </c>
      <c r="E40" s="9">
        <f t="shared" si="27"/>
        <v>0.25</v>
      </c>
      <c r="F40" s="9">
        <f>E40-1%</f>
        <v>0.24</v>
      </c>
      <c r="G40" s="9">
        <v>0.23</v>
      </c>
      <c r="H40" s="9">
        <f t="shared" ref="H40:J40" si="28">G40</f>
        <v>0.23</v>
      </c>
      <c r="I40" s="9">
        <f t="shared" si="28"/>
        <v>0.23</v>
      </c>
      <c r="J40" s="9">
        <f t="shared" si="28"/>
        <v>0.23</v>
      </c>
    </row>
    <row r="41">
      <c r="A41" s="2" t="s">
        <v>26</v>
      </c>
      <c r="B41" s="2"/>
      <c r="C41" s="2">
        <v>0.4</v>
      </c>
      <c r="D41" s="2">
        <v>4.0</v>
      </c>
      <c r="E41" s="2">
        <v>8.8</v>
      </c>
      <c r="F41" s="2">
        <f t="shared" ref="F41:J41" si="29">(1+E42/1.5)*E41</f>
        <v>15.84</v>
      </c>
      <c r="G41" s="2">
        <f t="shared" si="29"/>
        <v>24.288</v>
      </c>
      <c r="H41" s="2">
        <f t="shared" si="29"/>
        <v>32.92373333</v>
      </c>
      <c r="I41" s="2">
        <f t="shared" si="29"/>
        <v>40.72787753</v>
      </c>
      <c r="J41" s="2">
        <f t="shared" si="29"/>
        <v>47.16388781</v>
      </c>
    </row>
    <row r="42">
      <c r="A42" s="2" t="s">
        <v>19</v>
      </c>
      <c r="D42" s="9">
        <f t="shared" ref="D42:J42" si="30">IFERROR((D41-C41)/C41,0)</f>
        <v>9</v>
      </c>
      <c r="E42" s="9">
        <f t="shared" si="30"/>
        <v>1.2</v>
      </c>
      <c r="F42" s="9">
        <f t="shared" si="30"/>
        <v>0.8</v>
      </c>
      <c r="G42" s="9">
        <f t="shared" si="30"/>
        <v>0.5333333333</v>
      </c>
      <c r="H42" s="9">
        <f t="shared" si="30"/>
        <v>0.3555555556</v>
      </c>
      <c r="I42" s="9">
        <f t="shared" si="30"/>
        <v>0.237037037</v>
      </c>
      <c r="J42" s="9">
        <f t="shared" si="30"/>
        <v>0.1580246914</v>
      </c>
    </row>
    <row r="43">
      <c r="A43" s="2" t="s">
        <v>16</v>
      </c>
      <c r="B43" s="2"/>
      <c r="C43" s="2">
        <f t="shared" ref="C43:J43" si="31">C41/C39</f>
        <v>0.0004884004884</v>
      </c>
      <c r="D43" s="2">
        <f t="shared" si="31"/>
        <v>0.003333333333</v>
      </c>
      <c r="E43" s="2">
        <f t="shared" si="31"/>
        <v>0.005866666667</v>
      </c>
      <c r="F43" s="2">
        <f t="shared" si="31"/>
        <v>0.008516129032</v>
      </c>
      <c r="G43" s="2">
        <f t="shared" si="31"/>
        <v>0.01061631261</v>
      </c>
      <c r="H43" s="2">
        <f t="shared" si="31"/>
        <v>0.01170000126</v>
      </c>
      <c r="I43" s="2">
        <f t="shared" si="31"/>
        <v>0.01176693893</v>
      </c>
      <c r="J43" s="2">
        <f t="shared" si="31"/>
        <v>0.01107837872</v>
      </c>
    </row>
    <row r="44">
      <c r="A44" s="2"/>
      <c r="B44" s="2"/>
      <c r="C44" s="2"/>
      <c r="E44" s="2"/>
    </row>
    <row r="45">
      <c r="A45" s="2" t="s">
        <v>27</v>
      </c>
      <c r="B45" s="2"/>
      <c r="C45" s="2">
        <v>0.0</v>
      </c>
      <c r="E45" s="2">
        <v>7400.0</v>
      </c>
    </row>
    <row r="46">
      <c r="A46" s="2" t="s">
        <v>28</v>
      </c>
      <c r="C46" s="8">
        <f>0.819*C45</f>
        <v>0</v>
      </c>
      <c r="E46" s="2">
        <v>7300.0</v>
      </c>
      <c r="F46" s="8">
        <f t="shared" ref="F46:J46" si="32">(F47+1)*E46</f>
        <v>8760</v>
      </c>
      <c r="G46" s="8">
        <f t="shared" si="32"/>
        <v>10249.2</v>
      </c>
      <c r="H46" s="8">
        <f t="shared" si="32"/>
        <v>11684.088</v>
      </c>
      <c r="I46" s="8">
        <f t="shared" si="32"/>
        <v>12969.33768</v>
      </c>
      <c r="J46" s="8">
        <f t="shared" si="32"/>
        <v>14266.27145</v>
      </c>
    </row>
    <row r="47">
      <c r="A47" s="2" t="s">
        <v>19</v>
      </c>
      <c r="E47" s="2"/>
      <c r="F47" s="6">
        <v>0.2</v>
      </c>
      <c r="G47" s="6">
        <f t="shared" ref="G47:I47" si="33">F47-3%</f>
        <v>0.17</v>
      </c>
      <c r="H47" s="6">
        <f t="shared" si="33"/>
        <v>0.14</v>
      </c>
      <c r="I47" s="6">
        <f t="shared" si="33"/>
        <v>0.11</v>
      </c>
      <c r="J47" s="6">
        <v>0.1</v>
      </c>
    </row>
    <row r="48">
      <c r="A48" s="2" t="s">
        <v>29</v>
      </c>
      <c r="B48" s="2"/>
      <c r="C48" s="2">
        <v>0.0</v>
      </c>
      <c r="D48" s="2">
        <v>0.0</v>
      </c>
      <c r="E48" s="2">
        <v>19.4</v>
      </c>
      <c r="F48" s="2">
        <f t="shared" ref="F48:J48" si="34">$E$49*F46</f>
        <v>23.28</v>
      </c>
      <c r="G48" s="2">
        <f t="shared" si="34"/>
        <v>27.2376</v>
      </c>
      <c r="H48" s="2">
        <f t="shared" si="34"/>
        <v>31.050864</v>
      </c>
      <c r="I48" s="2">
        <f t="shared" si="34"/>
        <v>34.46645904</v>
      </c>
      <c r="J48" s="2">
        <f t="shared" si="34"/>
        <v>37.91310494</v>
      </c>
    </row>
    <row r="49">
      <c r="A49" s="2" t="s">
        <v>16</v>
      </c>
      <c r="C49" s="2">
        <v>0.0</v>
      </c>
      <c r="D49" s="2">
        <v>0.0</v>
      </c>
      <c r="E49" s="2">
        <f>E48/E46</f>
        <v>0.002657534247</v>
      </c>
      <c r="F49" s="2">
        <f t="shared" ref="F49:J49" si="35">E49+0.0015</f>
        <v>0.004157534247</v>
      </c>
      <c r="G49" s="2">
        <f t="shared" si="35"/>
        <v>0.005657534247</v>
      </c>
      <c r="H49" s="2">
        <f t="shared" si="35"/>
        <v>0.007157534247</v>
      </c>
      <c r="I49" s="2">
        <f t="shared" si="35"/>
        <v>0.008657534247</v>
      </c>
      <c r="J49" s="2">
        <f t="shared" si="35"/>
        <v>0.01015753425</v>
      </c>
    </row>
    <row r="50">
      <c r="A50" s="5"/>
    </row>
    <row r="51">
      <c r="A51" s="5" t="s">
        <v>30</v>
      </c>
      <c r="C51" s="3">
        <f t="shared" ref="C51:J51" si="36">SUM(C20+C27+C34+C41+C48)</f>
        <v>195</v>
      </c>
      <c r="D51" s="3">
        <f t="shared" si="36"/>
        <v>433.7</v>
      </c>
      <c r="E51" s="3">
        <f t="shared" si="36"/>
        <v>640</v>
      </c>
      <c r="F51" s="8">
        <f t="shared" si="36"/>
        <v>812.6945319</v>
      </c>
      <c r="G51" s="8">
        <f t="shared" si="36"/>
        <v>1136.33466</v>
      </c>
      <c r="H51" s="8">
        <f t="shared" si="36"/>
        <v>1562.26496</v>
      </c>
      <c r="I51" s="8">
        <f t="shared" si="36"/>
        <v>1995.249675</v>
      </c>
      <c r="J51" s="8">
        <f t="shared" si="36"/>
        <v>2545.441902</v>
      </c>
    </row>
    <row r="52">
      <c r="A52" s="5" t="s">
        <v>31</v>
      </c>
      <c r="B52" s="9"/>
      <c r="C52" s="9">
        <f t="shared" ref="C52:J52" si="37">C51/C11</f>
        <v>0.01008878128</v>
      </c>
      <c r="D52" s="9">
        <f t="shared" si="37"/>
        <v>0.013553125</v>
      </c>
      <c r="E52" s="9">
        <f t="shared" si="37"/>
        <v>0.01306122449</v>
      </c>
      <c r="F52" s="9">
        <f t="shared" si="37"/>
        <v>0.01295593937</v>
      </c>
      <c r="G52" s="9">
        <f t="shared" si="37"/>
        <v>0.01412058096</v>
      </c>
      <c r="H52" s="9">
        <f t="shared" si="37"/>
        <v>0.01533577673</v>
      </c>
      <c r="I52" s="9">
        <f t="shared" si="37"/>
        <v>0.01559413162</v>
      </c>
      <c r="J52" s="9">
        <f t="shared" si="37"/>
        <v>0.01582281655</v>
      </c>
    </row>
    <row r="53">
      <c r="A53" s="5" t="s">
        <v>19</v>
      </c>
      <c r="B53" s="9"/>
      <c r="C53" s="9">
        <f>IFERROR((C51-A51)/A51,0)</f>
        <v>0</v>
      </c>
      <c r="D53" s="9">
        <f t="shared" ref="D53:J53" si="38">IFERROR((D51-C51)/C51,0)</f>
        <v>1.224102564</v>
      </c>
      <c r="E53" s="9">
        <f t="shared" si="38"/>
        <v>0.4756744293</v>
      </c>
      <c r="F53" s="9">
        <f t="shared" si="38"/>
        <v>0.2698352062</v>
      </c>
      <c r="G53" s="9">
        <f t="shared" si="38"/>
        <v>0.3982309653</v>
      </c>
      <c r="H53" s="9">
        <f t="shared" si="38"/>
        <v>0.3748282221</v>
      </c>
      <c r="I53" s="9">
        <f t="shared" si="38"/>
        <v>0.2771519083</v>
      </c>
      <c r="J53" s="9">
        <f t="shared" si="38"/>
        <v>0.2757510672</v>
      </c>
    </row>
    <row r="54">
      <c r="A54" s="2" t="s">
        <v>32</v>
      </c>
      <c r="B54" s="2"/>
      <c r="C54" s="2">
        <v>54.9</v>
      </c>
      <c r="D54" s="2">
        <v>131.5</v>
      </c>
      <c r="E54" s="2">
        <v>112.0</v>
      </c>
      <c r="F54" s="2">
        <f t="shared" ref="F54:J54" si="39">((($C$55+$D$55)/2+$E$55)/2*F51)</f>
        <v>189.915221</v>
      </c>
      <c r="G54" s="2">
        <f t="shared" si="39"/>
        <v>265.5453428</v>
      </c>
      <c r="H54" s="2">
        <f t="shared" si="39"/>
        <v>365.0792315</v>
      </c>
      <c r="I54" s="2">
        <f t="shared" si="39"/>
        <v>466.2616372</v>
      </c>
      <c r="J54" s="2">
        <f t="shared" si="39"/>
        <v>594.8337812</v>
      </c>
    </row>
    <row r="55">
      <c r="A55" s="2" t="s">
        <v>33</v>
      </c>
      <c r="C55" s="10">
        <f t="shared" ref="C55:J55" si="40">C54/C51</f>
        <v>0.2815384615</v>
      </c>
      <c r="D55" s="10">
        <f t="shared" si="40"/>
        <v>0.3032049804</v>
      </c>
      <c r="E55" s="10">
        <f t="shared" si="40"/>
        <v>0.175</v>
      </c>
      <c r="F55" s="10">
        <f t="shared" si="40"/>
        <v>0.2336858605</v>
      </c>
      <c r="G55" s="10">
        <f t="shared" si="40"/>
        <v>0.2336858605</v>
      </c>
      <c r="H55" s="10">
        <f t="shared" si="40"/>
        <v>0.2336858605</v>
      </c>
      <c r="I55" s="10">
        <f t="shared" si="40"/>
        <v>0.2336858605</v>
      </c>
      <c r="J55" s="10">
        <f t="shared" si="40"/>
        <v>0.2336858605</v>
      </c>
    </row>
    <row r="56">
      <c r="A56" s="12" t="s">
        <v>34</v>
      </c>
      <c r="D56" s="2">
        <v>5.9</v>
      </c>
    </row>
    <row r="57">
      <c r="A57" s="5" t="s">
        <v>35</v>
      </c>
      <c r="C57" s="3">
        <f t="shared" ref="C57:J57" si="41">C51+C54+C56</f>
        <v>249.9</v>
      </c>
      <c r="D57" s="3">
        <f t="shared" si="41"/>
        <v>571.1</v>
      </c>
      <c r="E57" s="3">
        <f t="shared" si="41"/>
        <v>752</v>
      </c>
      <c r="F57" s="8">
        <f t="shared" si="41"/>
        <v>1002.609753</v>
      </c>
      <c r="G57" s="8">
        <f t="shared" si="41"/>
        <v>1401.880003</v>
      </c>
      <c r="H57" s="8">
        <f t="shared" si="41"/>
        <v>1927.344192</v>
      </c>
      <c r="I57" s="8">
        <f t="shared" si="41"/>
        <v>2461.511312</v>
      </c>
      <c r="J57" s="8">
        <f t="shared" si="41"/>
        <v>3140.275683</v>
      </c>
    </row>
    <row r="59">
      <c r="A59" s="5" t="s">
        <v>36</v>
      </c>
    </row>
    <row r="60">
      <c r="A60" s="2" t="s">
        <v>37</v>
      </c>
      <c r="B60" s="2"/>
      <c r="C60" s="7">
        <f t="shared" ref="C60:J60" si="42">C63+C68+C73</f>
        <v>15724.8</v>
      </c>
      <c r="D60" s="2">
        <f t="shared" si="42"/>
        <v>21300</v>
      </c>
      <c r="E60" s="2">
        <f t="shared" si="42"/>
        <v>28700</v>
      </c>
      <c r="F60" s="7">
        <f t="shared" si="42"/>
        <v>37295</v>
      </c>
      <c r="G60" s="7">
        <f t="shared" si="42"/>
        <v>47348.55</v>
      </c>
      <c r="H60" s="7">
        <f t="shared" si="42"/>
        <v>59193.9105</v>
      </c>
      <c r="I60" s="7">
        <f t="shared" si="42"/>
        <v>72858.29722</v>
      </c>
      <c r="J60" s="7">
        <f t="shared" si="42"/>
        <v>88270.34759</v>
      </c>
    </row>
    <row r="61">
      <c r="A61" s="2" t="s">
        <v>19</v>
      </c>
      <c r="B61" s="2"/>
      <c r="C61" s="9"/>
      <c r="D61" s="9">
        <f t="shared" ref="D61:J61" si="43">IFERROR((D60-C60)/C60,0)</f>
        <v>0.3545482295</v>
      </c>
      <c r="E61" s="9">
        <f t="shared" si="43"/>
        <v>0.3474178404</v>
      </c>
      <c r="F61" s="9">
        <f t="shared" si="43"/>
        <v>0.2994773519</v>
      </c>
      <c r="G61" s="9">
        <f t="shared" si="43"/>
        <v>0.2695683067</v>
      </c>
      <c r="H61" s="9">
        <f t="shared" si="43"/>
        <v>0.2501736695</v>
      </c>
      <c r="I61" s="9">
        <f t="shared" si="43"/>
        <v>0.2308410882</v>
      </c>
      <c r="J61" s="9">
        <f t="shared" si="43"/>
        <v>0.2115345947</v>
      </c>
    </row>
    <row r="62">
      <c r="A62" s="2" t="s">
        <v>38</v>
      </c>
      <c r="B62" s="2"/>
      <c r="C62" s="2">
        <v>19200.0</v>
      </c>
      <c r="D62" s="2">
        <v>38700.0</v>
      </c>
      <c r="E62" s="2">
        <v>46600.0</v>
      </c>
    </row>
    <row r="63">
      <c r="A63" s="2" t="s">
        <v>39</v>
      </c>
      <c r="B63" s="2"/>
      <c r="C63" s="8">
        <f>0.819*C62</f>
        <v>15724.8</v>
      </c>
      <c r="D63" s="2">
        <v>20400.0</v>
      </c>
      <c r="E63" s="2">
        <v>27800.0</v>
      </c>
      <c r="F63" s="7">
        <f t="shared" ref="F63:J63" si="44">(F64+1)*E63</f>
        <v>36140</v>
      </c>
      <c r="G63" s="7">
        <f t="shared" si="44"/>
        <v>45897.8</v>
      </c>
      <c r="H63" s="7">
        <f t="shared" si="44"/>
        <v>57372.25</v>
      </c>
      <c r="I63" s="7">
        <f t="shared" si="44"/>
        <v>70567.8675</v>
      </c>
      <c r="J63" s="7">
        <f t="shared" si="44"/>
        <v>85387.11968</v>
      </c>
    </row>
    <row r="64">
      <c r="A64" s="2" t="s">
        <v>19</v>
      </c>
      <c r="B64" s="2"/>
      <c r="C64" s="9">
        <f t="shared" ref="C64:E64" si="45">IFERROR((C63-B63)/B63,0)</f>
        <v>0</v>
      </c>
      <c r="D64" s="9">
        <f t="shared" si="45"/>
        <v>0.2973137973</v>
      </c>
      <c r="E64" s="9">
        <f t="shared" si="45"/>
        <v>0.362745098</v>
      </c>
      <c r="F64" s="9">
        <v>0.3</v>
      </c>
      <c r="G64" s="9">
        <v>0.27</v>
      </c>
      <c r="H64" s="9">
        <f t="shared" ref="H64:J64" si="46">G64-2%</f>
        <v>0.25</v>
      </c>
      <c r="I64" s="9">
        <f t="shared" si="46"/>
        <v>0.23</v>
      </c>
      <c r="J64" s="9">
        <f t="shared" si="46"/>
        <v>0.21</v>
      </c>
    </row>
    <row r="65">
      <c r="A65" s="2" t="s">
        <v>40</v>
      </c>
      <c r="B65" s="2"/>
      <c r="C65" s="2">
        <v>0.0</v>
      </c>
      <c r="D65" s="2">
        <v>233.5</v>
      </c>
      <c r="E65" s="2">
        <v>513.6</v>
      </c>
      <c r="F65" s="7">
        <f t="shared" ref="F65:J65" si="47">($E$66+1/6 * ($E$66-$D$66))*F63</f>
        <v>710.0164542</v>
      </c>
      <c r="G65" s="7">
        <f t="shared" si="47"/>
        <v>901.7208969</v>
      </c>
      <c r="H65" s="7">
        <f t="shared" si="47"/>
        <v>1127.151121</v>
      </c>
      <c r="I65" s="7">
        <f t="shared" si="47"/>
        <v>1386.395879</v>
      </c>
      <c r="J65" s="7">
        <f t="shared" si="47"/>
        <v>1677.539014</v>
      </c>
    </row>
    <row r="66">
      <c r="A66" s="2" t="s">
        <v>16</v>
      </c>
      <c r="B66" s="2"/>
      <c r="C66" s="2">
        <f t="shared" ref="C66:J66" si="48">C65/C63</f>
        <v>0</v>
      </c>
      <c r="D66" s="13">
        <f t="shared" si="48"/>
        <v>0.01144607843</v>
      </c>
      <c r="E66" s="13">
        <f t="shared" si="48"/>
        <v>0.01847482014</v>
      </c>
      <c r="F66" s="13">
        <f t="shared" si="48"/>
        <v>0.0196462771</v>
      </c>
      <c r="G66" s="13">
        <f t="shared" si="48"/>
        <v>0.0196462771</v>
      </c>
      <c r="H66" s="13">
        <f t="shared" si="48"/>
        <v>0.0196462771</v>
      </c>
      <c r="I66" s="13">
        <f t="shared" si="48"/>
        <v>0.0196462771</v>
      </c>
      <c r="J66" s="13">
        <f t="shared" si="48"/>
        <v>0.0196462771</v>
      </c>
    </row>
    <row r="67">
      <c r="A67" s="2" t="s">
        <v>41</v>
      </c>
      <c r="B67" s="2"/>
      <c r="C67" s="2">
        <v>0.0</v>
      </c>
      <c r="D67" s="2">
        <v>1000.0</v>
      </c>
      <c r="E67" s="2">
        <v>1600.0</v>
      </c>
    </row>
    <row r="68">
      <c r="A68" s="2" t="s">
        <v>42</v>
      </c>
      <c r="B68" s="2"/>
      <c r="C68" s="8">
        <f>0.819*C67</f>
        <v>0</v>
      </c>
      <c r="D68" s="2">
        <v>700.0</v>
      </c>
      <c r="E68" s="2">
        <v>800.0</v>
      </c>
      <c r="F68" s="7">
        <f t="shared" ref="F68:J68" si="49">(F69+1)*E68</f>
        <v>1040</v>
      </c>
      <c r="G68" s="7">
        <f t="shared" si="49"/>
        <v>1320.8</v>
      </c>
      <c r="H68" s="7">
        <f t="shared" si="49"/>
        <v>1677.416</v>
      </c>
      <c r="I68" s="7">
        <f t="shared" si="49"/>
        <v>2130.31832</v>
      </c>
      <c r="J68" s="7">
        <f t="shared" si="49"/>
        <v>2705.504266</v>
      </c>
      <c r="K68" s="7"/>
    </row>
    <row r="69">
      <c r="A69" s="2" t="s">
        <v>19</v>
      </c>
      <c r="B69" s="2"/>
      <c r="C69" s="9">
        <f t="shared" ref="C69:E69" si="50">IFERROR((C68-B68)/B68,0)</f>
        <v>0</v>
      </c>
      <c r="D69" s="9">
        <f t="shared" si="50"/>
        <v>0</v>
      </c>
      <c r="E69" s="9">
        <f t="shared" si="50"/>
        <v>0.1428571429</v>
      </c>
      <c r="F69" s="9">
        <f>30%</f>
        <v>0.3</v>
      </c>
      <c r="G69" s="6">
        <v>0.27</v>
      </c>
      <c r="H69" s="6">
        <v>0.27</v>
      </c>
      <c r="I69" s="6">
        <v>0.27</v>
      </c>
      <c r="J69" s="6">
        <v>0.27</v>
      </c>
    </row>
    <row r="70">
      <c r="A70" s="2" t="s">
        <v>43</v>
      </c>
      <c r="B70" s="2"/>
      <c r="C70" s="2">
        <v>0.0</v>
      </c>
      <c r="D70" s="2">
        <v>10.2</v>
      </c>
      <c r="E70" s="2">
        <v>13.6</v>
      </c>
      <c r="F70" s="7">
        <f t="shared" ref="F70:J70" si="51">($E$71+1/6 * ($E$71-$D$71))*F68</f>
        <v>18.10095238</v>
      </c>
      <c r="G70" s="7">
        <f t="shared" si="51"/>
        <v>22.98820952</v>
      </c>
      <c r="H70" s="7">
        <f t="shared" si="51"/>
        <v>29.1950261</v>
      </c>
      <c r="I70" s="7">
        <f t="shared" si="51"/>
        <v>37.07768314</v>
      </c>
      <c r="J70" s="7">
        <f t="shared" si="51"/>
        <v>47.08865759</v>
      </c>
    </row>
    <row r="71">
      <c r="A71" s="2" t="s">
        <v>16</v>
      </c>
      <c r="B71" s="2"/>
      <c r="C71" s="14"/>
      <c r="D71" s="13">
        <f t="shared" ref="D71:J71" si="52">D70/D68</f>
        <v>0.01457142857</v>
      </c>
      <c r="E71" s="13">
        <f t="shared" si="52"/>
        <v>0.017</v>
      </c>
      <c r="F71" s="13">
        <f t="shared" si="52"/>
        <v>0.0174047619</v>
      </c>
      <c r="G71" s="13">
        <f t="shared" si="52"/>
        <v>0.0174047619</v>
      </c>
      <c r="H71" s="13">
        <f t="shared" si="52"/>
        <v>0.0174047619</v>
      </c>
      <c r="I71" s="13">
        <f t="shared" si="52"/>
        <v>0.0174047619</v>
      </c>
      <c r="J71" s="13">
        <f t="shared" si="52"/>
        <v>0.0174047619</v>
      </c>
    </row>
    <row r="72">
      <c r="A72" s="2" t="s">
        <v>44</v>
      </c>
      <c r="B72" s="2"/>
      <c r="C72" s="2">
        <v>0.0</v>
      </c>
      <c r="D72" s="2">
        <v>200.0</v>
      </c>
      <c r="E72" s="2">
        <v>300.0</v>
      </c>
      <c r="F72" s="7"/>
      <c r="G72" s="7"/>
      <c r="H72" s="7"/>
      <c r="I72" s="7"/>
      <c r="J72" s="7"/>
    </row>
    <row r="73">
      <c r="A73" s="2" t="s">
        <v>45</v>
      </c>
      <c r="B73" s="2"/>
      <c r="C73" s="8">
        <f>0.819*C72</f>
        <v>0</v>
      </c>
      <c r="D73" s="2">
        <v>200.0</v>
      </c>
      <c r="E73" s="2">
        <v>100.0</v>
      </c>
      <c r="F73" s="7">
        <f t="shared" ref="F73:J73" si="53">(1+F74)*E73</f>
        <v>115</v>
      </c>
      <c r="G73" s="7">
        <f t="shared" si="53"/>
        <v>129.95</v>
      </c>
      <c r="H73" s="7">
        <f t="shared" si="53"/>
        <v>144.2445</v>
      </c>
      <c r="I73" s="7">
        <f t="shared" si="53"/>
        <v>160.111395</v>
      </c>
      <c r="J73" s="7">
        <f t="shared" si="53"/>
        <v>177.7236485</v>
      </c>
    </row>
    <row r="74">
      <c r="A74" s="2" t="s">
        <v>19</v>
      </c>
      <c r="B74" s="2"/>
      <c r="C74" s="9">
        <f t="shared" ref="C74:E74" si="54">IFERROR((C73-B73)/B73,0)</f>
        <v>0</v>
      </c>
      <c r="D74" s="9">
        <f t="shared" si="54"/>
        <v>0</v>
      </c>
      <c r="E74" s="9">
        <f t="shared" si="54"/>
        <v>-0.5</v>
      </c>
      <c r="F74" s="9">
        <f>15%</f>
        <v>0.15</v>
      </c>
      <c r="G74" s="9">
        <f t="shared" ref="G74:H74" si="55">F74-2%</f>
        <v>0.13</v>
      </c>
      <c r="H74" s="9">
        <f t="shared" si="55"/>
        <v>0.11</v>
      </c>
      <c r="I74" s="9">
        <f t="shared" ref="I74:J74" si="56">H74</f>
        <v>0.11</v>
      </c>
      <c r="J74" s="9">
        <f t="shared" si="56"/>
        <v>0.11</v>
      </c>
    </row>
    <row r="75">
      <c r="A75" s="2" t="s">
        <v>46</v>
      </c>
      <c r="B75" s="2"/>
      <c r="C75" s="2">
        <v>0.0</v>
      </c>
      <c r="D75" s="2">
        <v>0.5</v>
      </c>
      <c r="E75" s="2">
        <v>1.6</v>
      </c>
      <c r="F75" s="7">
        <f t="shared" ref="F75:J75" si="57">($E$76+1/6 * ($E$76-$D$76))*F73</f>
        <v>2.09875</v>
      </c>
      <c r="G75" s="7">
        <f t="shared" si="57"/>
        <v>2.3715875</v>
      </c>
      <c r="H75" s="7">
        <f t="shared" si="57"/>
        <v>2.632462125</v>
      </c>
      <c r="I75" s="7">
        <f t="shared" si="57"/>
        <v>2.922032959</v>
      </c>
      <c r="J75" s="7">
        <f t="shared" si="57"/>
        <v>3.243456584</v>
      </c>
    </row>
    <row r="76">
      <c r="A76" s="5" t="s">
        <v>16</v>
      </c>
      <c r="B76" s="2"/>
      <c r="C76" s="2"/>
      <c r="D76" s="2">
        <f t="shared" ref="D76:E76" si="58">D75/D73</f>
        <v>0.0025</v>
      </c>
      <c r="E76" s="2">
        <f t="shared" si="58"/>
        <v>0.016</v>
      </c>
      <c r="F76" s="2">
        <f>E76</f>
        <v>0.016</v>
      </c>
      <c r="G76" s="2">
        <f t="shared" ref="G76:J76" si="59">G75/G73</f>
        <v>0.01825</v>
      </c>
      <c r="H76" s="2">
        <f t="shared" si="59"/>
        <v>0.01825</v>
      </c>
      <c r="I76" s="2">
        <f t="shared" si="59"/>
        <v>0.01825</v>
      </c>
      <c r="J76" s="2">
        <f t="shared" si="59"/>
        <v>0.01825</v>
      </c>
    </row>
    <row r="77">
      <c r="A77" s="5" t="s">
        <v>47</v>
      </c>
      <c r="B77" s="2"/>
      <c r="D77" s="2">
        <f t="shared" ref="D77:J77" si="60">D65+D70+D75</f>
        <v>244.2</v>
      </c>
      <c r="E77" s="2">
        <f t="shared" si="60"/>
        <v>528.8</v>
      </c>
      <c r="F77" s="7">
        <f t="shared" si="60"/>
        <v>730.2161566</v>
      </c>
      <c r="G77" s="7">
        <f t="shared" si="60"/>
        <v>927.0806939</v>
      </c>
      <c r="H77" s="7">
        <f t="shared" si="60"/>
        <v>1158.978609</v>
      </c>
      <c r="I77" s="7">
        <f t="shared" si="60"/>
        <v>1426.395595</v>
      </c>
      <c r="J77" s="7">
        <f t="shared" si="60"/>
        <v>1727.871128</v>
      </c>
    </row>
    <row r="78">
      <c r="A78" s="2" t="s">
        <v>31</v>
      </c>
      <c r="B78" s="2"/>
      <c r="D78" s="9">
        <f t="shared" ref="D78:J78" si="61">D77/D60</f>
        <v>0.01146478873</v>
      </c>
      <c r="E78" s="9">
        <f t="shared" si="61"/>
        <v>0.01842508711</v>
      </c>
      <c r="F78" s="9">
        <f t="shared" si="61"/>
        <v>0.01957946525</v>
      </c>
      <c r="G78" s="9">
        <f t="shared" si="61"/>
        <v>0.01957991731</v>
      </c>
      <c r="H78" s="9">
        <f t="shared" si="61"/>
        <v>0.01957935537</v>
      </c>
      <c r="I78" s="9">
        <f t="shared" si="61"/>
        <v>0.01957766856</v>
      </c>
      <c r="J78" s="9">
        <f t="shared" si="61"/>
        <v>0.01957476293</v>
      </c>
    </row>
    <row r="79">
      <c r="A79" s="2" t="s">
        <v>32</v>
      </c>
      <c r="B79" s="2"/>
      <c r="D79" s="2">
        <v>18.6</v>
      </c>
      <c r="E79" s="2">
        <v>27.0</v>
      </c>
      <c r="F79" s="14">
        <f t="shared" ref="F79:J79" si="62">AVERAGE($D$80:$E$80)*F77</f>
        <v>46.45126873</v>
      </c>
      <c r="G79" s="14">
        <f t="shared" si="62"/>
        <v>58.97442019</v>
      </c>
      <c r="H79" s="14">
        <f t="shared" si="62"/>
        <v>73.72615129</v>
      </c>
      <c r="I79" s="14">
        <f t="shared" si="62"/>
        <v>90.73735839</v>
      </c>
      <c r="J79" s="14">
        <f t="shared" si="62"/>
        <v>109.9151332</v>
      </c>
    </row>
    <row r="80">
      <c r="A80" s="2" t="s">
        <v>33</v>
      </c>
      <c r="B80" s="2"/>
      <c r="D80" s="9">
        <f t="shared" ref="D80:J80" si="63">D79/D77</f>
        <v>0.07616707617</v>
      </c>
      <c r="E80" s="9">
        <f t="shared" si="63"/>
        <v>0.05105900151</v>
      </c>
      <c r="F80" s="9">
        <f t="shared" si="63"/>
        <v>0.06361303884</v>
      </c>
      <c r="G80" s="9">
        <f t="shared" si="63"/>
        <v>0.06361303884</v>
      </c>
      <c r="H80" s="9">
        <f t="shared" si="63"/>
        <v>0.06361303884</v>
      </c>
      <c r="I80" s="9">
        <f t="shared" si="63"/>
        <v>0.06361303884</v>
      </c>
      <c r="J80" s="9">
        <f t="shared" si="63"/>
        <v>0.06361303884</v>
      </c>
    </row>
    <row r="81">
      <c r="A81" s="5" t="s">
        <v>35</v>
      </c>
      <c r="B81" s="2"/>
      <c r="D81" s="2">
        <f t="shared" ref="D81:J81" si="64">D77+D79</f>
        <v>262.8</v>
      </c>
      <c r="E81" s="2">
        <f t="shared" si="64"/>
        <v>555.8</v>
      </c>
      <c r="F81" s="7">
        <f t="shared" si="64"/>
        <v>776.6674254</v>
      </c>
      <c r="G81" s="7">
        <f t="shared" si="64"/>
        <v>986.0551141</v>
      </c>
      <c r="H81" s="7">
        <f t="shared" si="64"/>
        <v>1232.704761</v>
      </c>
      <c r="I81" s="7">
        <f t="shared" si="64"/>
        <v>1517.132953</v>
      </c>
      <c r="J81" s="7">
        <f t="shared" si="64"/>
        <v>1837.786261</v>
      </c>
    </row>
    <row r="83">
      <c r="A83" s="5" t="s">
        <v>48</v>
      </c>
    </row>
    <row r="84">
      <c r="A84" s="2" t="s">
        <v>49</v>
      </c>
      <c r="B84" s="2"/>
      <c r="C84" s="2">
        <v>13900.0</v>
      </c>
      <c r="D84" s="2">
        <v>15400.0</v>
      </c>
      <c r="E84" s="2">
        <v>21100.0</v>
      </c>
    </row>
    <row r="85">
      <c r="A85" s="2" t="s">
        <v>50</v>
      </c>
      <c r="B85" s="2"/>
      <c r="C85" s="15">
        <f>0.819*C84</f>
        <v>11384.1</v>
      </c>
      <c r="D85" s="16">
        <v>8200.0</v>
      </c>
      <c r="E85" s="16">
        <v>11000.0</v>
      </c>
      <c r="F85" s="15">
        <f t="shared" ref="F85:J85" si="65">(F86+1)*E85</f>
        <v>14520</v>
      </c>
      <c r="G85" s="15">
        <f t="shared" si="65"/>
        <v>18876</v>
      </c>
      <c r="H85" s="15">
        <f t="shared" si="65"/>
        <v>24161.28</v>
      </c>
      <c r="I85" s="15">
        <f t="shared" si="65"/>
        <v>30926.4384</v>
      </c>
      <c r="J85" s="15">
        <f t="shared" si="65"/>
        <v>39585.84115</v>
      </c>
    </row>
    <row r="86">
      <c r="A86" s="2" t="s">
        <v>19</v>
      </c>
      <c r="B86" s="2"/>
      <c r="C86" s="9"/>
      <c r="D86" s="9">
        <f t="shared" ref="D86:E86" si="66">IFERROR((D85-C85)/C85,0)</f>
        <v>-0.2796971214</v>
      </c>
      <c r="E86" s="9">
        <f t="shared" si="66"/>
        <v>0.3414634146</v>
      </c>
      <c r="F86" s="9">
        <f>32%</f>
        <v>0.32</v>
      </c>
      <c r="G86" s="9">
        <f t="shared" ref="G86:H86" si="67">F86-2%</f>
        <v>0.3</v>
      </c>
      <c r="H86" s="9">
        <f t="shared" si="67"/>
        <v>0.28</v>
      </c>
      <c r="I86" s="9">
        <f t="shared" ref="I86:J86" si="68">H86</f>
        <v>0.28</v>
      </c>
      <c r="J86" s="9">
        <f t="shared" si="68"/>
        <v>0.28</v>
      </c>
    </row>
    <row r="87">
      <c r="A87" s="2" t="s">
        <v>51</v>
      </c>
      <c r="B87" s="2"/>
      <c r="E87" s="2">
        <v>80.2</v>
      </c>
      <c r="F87" s="3">
        <f t="shared" ref="F87:J87" si="69">F88*F85</f>
        <v>120.384</v>
      </c>
      <c r="G87" s="3">
        <f t="shared" si="69"/>
        <v>175.3752</v>
      </c>
      <c r="H87" s="3">
        <f t="shared" si="69"/>
        <v>248.641536</v>
      </c>
      <c r="I87" s="3">
        <f t="shared" si="69"/>
        <v>318.2611661</v>
      </c>
      <c r="J87" s="3">
        <f t="shared" si="69"/>
        <v>407.3742926</v>
      </c>
    </row>
    <row r="88">
      <c r="A88" s="2" t="s">
        <v>16</v>
      </c>
      <c r="B88" s="2"/>
      <c r="E88" s="2">
        <f>E87/E85</f>
        <v>0.007290909091</v>
      </c>
      <c r="F88" s="2">
        <f t="shared" ref="F88:H88" si="70">E88+0.001</f>
        <v>0.008290909091</v>
      </c>
      <c r="G88" s="2">
        <f t="shared" si="70"/>
        <v>0.009290909091</v>
      </c>
      <c r="H88" s="2">
        <f t="shared" si="70"/>
        <v>0.01029090909</v>
      </c>
      <c r="I88" s="2">
        <f t="shared" ref="I88:J88" si="71">H88</f>
        <v>0.01029090909</v>
      </c>
      <c r="J88" s="2">
        <f t="shared" si="71"/>
        <v>0.01029090909</v>
      </c>
    </row>
    <row r="89">
      <c r="A89" s="5" t="s">
        <v>52</v>
      </c>
      <c r="B89" s="2"/>
      <c r="E89" s="2">
        <f t="shared" ref="E89:J89" si="72">E87</f>
        <v>80.2</v>
      </c>
      <c r="F89" s="2">
        <f t="shared" si="72"/>
        <v>120.384</v>
      </c>
      <c r="G89" s="2">
        <f t="shared" si="72"/>
        <v>175.3752</v>
      </c>
      <c r="H89" s="2">
        <f t="shared" si="72"/>
        <v>248.641536</v>
      </c>
      <c r="I89" s="2">
        <f t="shared" si="72"/>
        <v>318.2611661</v>
      </c>
      <c r="J89" s="2">
        <f t="shared" si="72"/>
        <v>407.3742926</v>
      </c>
    </row>
    <row r="90">
      <c r="A90" s="2" t="s">
        <v>31</v>
      </c>
      <c r="B90" s="2"/>
      <c r="E90" s="9">
        <f t="shared" ref="E90:J90" si="73">E89/E85</f>
        <v>0.007290909091</v>
      </c>
      <c r="F90" s="9">
        <f t="shared" si="73"/>
        <v>0.008290909091</v>
      </c>
      <c r="G90" s="9">
        <f t="shared" si="73"/>
        <v>0.009290909091</v>
      </c>
      <c r="H90" s="9">
        <f t="shared" si="73"/>
        <v>0.01029090909</v>
      </c>
      <c r="I90" s="9">
        <f t="shared" si="73"/>
        <v>0.01029090909</v>
      </c>
      <c r="J90" s="9">
        <f t="shared" si="73"/>
        <v>0.01029090909</v>
      </c>
    </row>
    <row r="91">
      <c r="A91" s="2" t="s">
        <v>32</v>
      </c>
      <c r="B91" s="2"/>
      <c r="E91" s="2">
        <v>6.9</v>
      </c>
      <c r="F91" s="3">
        <f t="shared" ref="F91:J91" si="74">$E$92*F89</f>
        <v>10.35722693</v>
      </c>
      <c r="G91" s="3">
        <f t="shared" si="74"/>
        <v>15.08839002</v>
      </c>
      <c r="H91" s="3">
        <f t="shared" si="74"/>
        <v>21.39185285</v>
      </c>
      <c r="I91" s="3">
        <f t="shared" si="74"/>
        <v>27.38157165</v>
      </c>
      <c r="J91" s="3">
        <f t="shared" si="74"/>
        <v>35.04841171</v>
      </c>
    </row>
    <row r="92">
      <c r="A92" s="12" t="s">
        <v>33</v>
      </c>
      <c r="B92" s="2"/>
      <c r="E92" s="2">
        <f t="shared" ref="E92:J92" si="75">E91/E89</f>
        <v>0.08603491272</v>
      </c>
      <c r="F92" s="2">
        <f t="shared" si="75"/>
        <v>0.08603491272</v>
      </c>
      <c r="G92" s="2">
        <f t="shared" si="75"/>
        <v>0.08603491272</v>
      </c>
      <c r="H92" s="2">
        <f t="shared" si="75"/>
        <v>0.08603491272</v>
      </c>
      <c r="I92" s="2">
        <f t="shared" si="75"/>
        <v>0.08603491272</v>
      </c>
      <c r="J92" s="2">
        <f t="shared" si="75"/>
        <v>0.08603491272</v>
      </c>
    </row>
    <row r="93">
      <c r="A93" s="12" t="s">
        <v>34</v>
      </c>
      <c r="B93" s="2"/>
      <c r="E93" s="2">
        <v>12.2</v>
      </c>
      <c r="F93" s="2">
        <f t="shared" ref="F93:J93" si="76">$E$94*F85</f>
        <v>16.104</v>
      </c>
      <c r="G93" s="2">
        <f t="shared" si="76"/>
        <v>20.9352</v>
      </c>
      <c r="H93" s="2">
        <f t="shared" si="76"/>
        <v>26.797056</v>
      </c>
      <c r="I93" s="2">
        <f t="shared" si="76"/>
        <v>34.30023168</v>
      </c>
      <c r="J93" s="2">
        <f t="shared" si="76"/>
        <v>43.90429655</v>
      </c>
    </row>
    <row r="94">
      <c r="A94" s="2" t="s">
        <v>33</v>
      </c>
      <c r="B94" s="2"/>
      <c r="E94" s="2">
        <f t="shared" ref="E94:J94" si="77">E93/E85</f>
        <v>0.001109090909</v>
      </c>
      <c r="F94" s="2">
        <f t="shared" si="77"/>
        <v>0.001109090909</v>
      </c>
      <c r="G94" s="2">
        <f t="shared" si="77"/>
        <v>0.001109090909</v>
      </c>
      <c r="H94" s="2">
        <f t="shared" si="77"/>
        <v>0.001109090909</v>
      </c>
      <c r="I94" s="2">
        <f t="shared" si="77"/>
        <v>0.001109090909</v>
      </c>
      <c r="J94" s="2">
        <f t="shared" si="77"/>
        <v>0.001109090909</v>
      </c>
    </row>
    <row r="95">
      <c r="A95" s="5" t="s">
        <v>35</v>
      </c>
      <c r="B95" s="2"/>
      <c r="E95" s="2">
        <f t="shared" ref="E95:J95" si="78">E89+E91+E93</f>
        <v>99.3</v>
      </c>
      <c r="F95" s="2">
        <f t="shared" si="78"/>
        <v>146.8452269</v>
      </c>
      <c r="G95" s="2">
        <f t="shared" si="78"/>
        <v>211.39879</v>
      </c>
      <c r="H95" s="2">
        <f t="shared" si="78"/>
        <v>296.8304448</v>
      </c>
      <c r="I95" s="2">
        <f t="shared" si="78"/>
        <v>379.9429694</v>
      </c>
      <c r="J95" s="2">
        <f t="shared" si="78"/>
        <v>486.3270008</v>
      </c>
    </row>
    <row r="97">
      <c r="A97" s="5" t="s">
        <v>53</v>
      </c>
      <c r="C97" s="3">
        <f t="shared" ref="C97:J97" si="79">SUM(C57+C81+C95)</f>
        <v>249.9</v>
      </c>
      <c r="D97" s="3">
        <f t="shared" si="79"/>
        <v>833.9</v>
      </c>
      <c r="E97" s="3">
        <f t="shared" si="79"/>
        <v>1407.1</v>
      </c>
      <c r="F97" s="8">
        <f t="shared" si="79"/>
        <v>1926.122405</v>
      </c>
      <c r="G97" s="8">
        <f t="shared" si="79"/>
        <v>2599.333907</v>
      </c>
      <c r="H97" s="8">
        <f t="shared" si="79"/>
        <v>3456.879397</v>
      </c>
      <c r="I97" s="8">
        <f t="shared" si="79"/>
        <v>4358.587235</v>
      </c>
      <c r="J97" s="8">
        <f t="shared" si="79"/>
        <v>5464.388945</v>
      </c>
    </row>
    <row r="99">
      <c r="A99" s="5" t="s">
        <v>54</v>
      </c>
    </row>
    <row r="100">
      <c r="A100" s="2" t="s">
        <v>55</v>
      </c>
      <c r="C100" s="2">
        <v>240.7</v>
      </c>
      <c r="D100" s="2">
        <v>1497.0</v>
      </c>
      <c r="E100" s="2">
        <v>894.7</v>
      </c>
      <c r="F100" s="3">
        <f t="shared" ref="F100:J100" si="80">F101*F97</f>
        <v>1059.367323</v>
      </c>
      <c r="G100" s="3">
        <f t="shared" si="80"/>
        <v>1299.666953</v>
      </c>
      <c r="H100" s="3">
        <f t="shared" si="80"/>
        <v>1555.595729</v>
      </c>
      <c r="I100" s="3">
        <f t="shared" si="80"/>
        <v>1961.364256</v>
      </c>
      <c r="J100" s="3">
        <f t="shared" si="80"/>
        <v>2458.975025</v>
      </c>
    </row>
    <row r="101">
      <c r="A101" s="2" t="s">
        <v>56</v>
      </c>
      <c r="C101" s="17">
        <f t="shared" ref="C101:E101" si="81">C100/C97</f>
        <v>0.9631852741</v>
      </c>
      <c r="D101" s="17">
        <f t="shared" si="81"/>
        <v>1.795179278</v>
      </c>
      <c r="E101" s="17">
        <f t="shared" si="81"/>
        <v>0.6358467771</v>
      </c>
      <c r="F101" s="17">
        <v>0.55</v>
      </c>
      <c r="G101" s="17">
        <v>0.5</v>
      </c>
      <c r="H101" s="17">
        <v>0.45</v>
      </c>
      <c r="I101" s="17">
        <v>0.45</v>
      </c>
      <c r="J101" s="17">
        <v>0.45</v>
      </c>
    </row>
    <row r="102">
      <c r="A102" s="2" t="s">
        <v>57</v>
      </c>
      <c r="D102" s="2">
        <v>113.9</v>
      </c>
      <c r="E102" s="2">
        <v>256.9</v>
      </c>
      <c r="F102" s="3">
        <f>($E$103+$D$103)/2*F97</f>
        <v>307.3717781</v>
      </c>
      <c r="G102" s="3">
        <f t="shared" ref="G102:J102" si="82">G103*G97</f>
        <v>207.9467125</v>
      </c>
      <c r="H102" s="3">
        <f t="shared" si="82"/>
        <v>172.8439699</v>
      </c>
      <c r="I102" s="3">
        <f t="shared" si="82"/>
        <v>217.9293618</v>
      </c>
      <c r="J102" s="3">
        <f t="shared" si="82"/>
        <v>273.2194473</v>
      </c>
    </row>
    <row r="103">
      <c r="A103" s="2" t="s">
        <v>56</v>
      </c>
      <c r="D103" s="17">
        <f t="shared" ref="D103:E103" si="83">D102/D97</f>
        <v>0.1365871208</v>
      </c>
      <c r="E103" s="17">
        <f t="shared" si="83"/>
        <v>0.1825740886</v>
      </c>
      <c r="F103" s="17">
        <v>0.12</v>
      </c>
      <c r="G103" s="17">
        <v>0.08</v>
      </c>
      <c r="H103" s="17">
        <v>0.05</v>
      </c>
      <c r="I103" s="17">
        <v>0.05</v>
      </c>
      <c r="J103" s="17">
        <v>0.05</v>
      </c>
    </row>
    <row r="104">
      <c r="A104" s="2" t="s">
        <v>58</v>
      </c>
      <c r="C104" s="2">
        <v>67.8</v>
      </c>
      <c r="D104" s="2">
        <v>140.3</v>
      </c>
      <c r="E104" s="2">
        <v>220.6</v>
      </c>
      <c r="F104" s="3">
        <f t="shared" ref="F104:J104" si="84">F105*F97</f>
        <v>269.6571367</v>
      </c>
      <c r="G104" s="3">
        <f t="shared" si="84"/>
        <v>337.9134079</v>
      </c>
      <c r="H104" s="3">
        <f t="shared" si="84"/>
        <v>449.3943216</v>
      </c>
      <c r="I104" s="3">
        <f t="shared" si="84"/>
        <v>566.6163406</v>
      </c>
      <c r="J104" s="3">
        <f t="shared" si="84"/>
        <v>710.3705629</v>
      </c>
    </row>
    <row r="105">
      <c r="A105" s="2" t="s">
        <v>56</v>
      </c>
      <c r="C105" s="2"/>
      <c r="D105" s="17">
        <f t="shared" ref="D105:E105" si="85">D104/D97</f>
        <v>0.168245593</v>
      </c>
      <c r="E105" s="17">
        <f t="shared" si="85"/>
        <v>0.1567763485</v>
      </c>
      <c r="F105" s="17">
        <f>14%</f>
        <v>0.14</v>
      </c>
      <c r="G105" s="17">
        <v>0.13</v>
      </c>
      <c r="H105" s="17">
        <v>0.13</v>
      </c>
      <c r="I105" s="17">
        <v>0.13</v>
      </c>
      <c r="J105" s="17">
        <v>0.13</v>
      </c>
    </row>
    <row r="106">
      <c r="A106" s="5" t="s">
        <v>59</v>
      </c>
      <c r="C106" s="3">
        <f t="shared" ref="C106:J106" si="86">C100+C102+C104</f>
        <v>308.5</v>
      </c>
      <c r="D106" s="3">
        <f t="shared" si="86"/>
        <v>1751.2</v>
      </c>
      <c r="E106" s="3">
        <f t="shared" si="86"/>
        <v>1372.2</v>
      </c>
      <c r="F106" s="3">
        <f t="shared" si="86"/>
        <v>1636.396238</v>
      </c>
      <c r="G106" s="3">
        <f t="shared" si="86"/>
        <v>1845.527074</v>
      </c>
      <c r="H106" s="3">
        <f t="shared" si="86"/>
        <v>2177.83402</v>
      </c>
      <c r="I106" s="3">
        <f t="shared" si="86"/>
        <v>2745.909958</v>
      </c>
      <c r="J106" s="3">
        <f t="shared" si="86"/>
        <v>3442.565035</v>
      </c>
    </row>
    <row r="107">
      <c r="A107" s="2" t="s">
        <v>56</v>
      </c>
      <c r="B107" s="10"/>
      <c r="C107" s="10">
        <f t="shared" ref="C107:J107" si="87">C106/C97</f>
        <v>1.234493798</v>
      </c>
      <c r="D107" s="10">
        <f t="shared" si="87"/>
        <v>2.100011992</v>
      </c>
      <c r="E107" s="10">
        <f t="shared" si="87"/>
        <v>0.9751972141</v>
      </c>
      <c r="F107" s="10">
        <f t="shared" si="87"/>
        <v>0.8495806047</v>
      </c>
      <c r="G107" s="10">
        <f t="shared" si="87"/>
        <v>0.71</v>
      </c>
      <c r="H107" s="10">
        <f t="shared" si="87"/>
        <v>0.63</v>
      </c>
      <c r="I107" s="10">
        <f t="shared" si="87"/>
        <v>0.63</v>
      </c>
      <c r="J107" s="10">
        <f t="shared" si="87"/>
        <v>0.63</v>
      </c>
    </row>
    <row r="108">
      <c r="A108" s="18" t="s">
        <v>60</v>
      </c>
      <c r="C108" s="3">
        <f t="shared" ref="C108:J108" si="88">C97-C106</f>
        <v>-58.6</v>
      </c>
      <c r="D108" s="3">
        <f t="shared" si="88"/>
        <v>-917.3</v>
      </c>
      <c r="E108" s="3">
        <f t="shared" si="88"/>
        <v>34.9</v>
      </c>
      <c r="F108" s="8">
        <f t="shared" si="88"/>
        <v>289.7261676</v>
      </c>
      <c r="G108" s="8">
        <f t="shared" si="88"/>
        <v>753.806833</v>
      </c>
      <c r="H108" s="8">
        <f t="shared" si="88"/>
        <v>1279.045377</v>
      </c>
      <c r="I108" s="8">
        <f t="shared" si="88"/>
        <v>1612.677277</v>
      </c>
      <c r="J108" s="8">
        <f t="shared" si="88"/>
        <v>2021.82391</v>
      </c>
    </row>
    <row r="109">
      <c r="A109" s="2" t="s">
        <v>61</v>
      </c>
      <c r="B109" s="3">
        <f t="shared" ref="B109:J109" si="89">B108*(1-0.189)</f>
        <v>0</v>
      </c>
      <c r="C109" s="3">
        <f t="shared" si="89"/>
        <v>-47.5246</v>
      </c>
      <c r="D109" s="3">
        <f t="shared" si="89"/>
        <v>-743.9303</v>
      </c>
      <c r="E109" s="3">
        <f t="shared" si="89"/>
        <v>28.3039</v>
      </c>
      <c r="F109" s="3">
        <f t="shared" si="89"/>
        <v>234.9679219</v>
      </c>
      <c r="G109" s="3">
        <f t="shared" si="89"/>
        <v>611.3373415</v>
      </c>
      <c r="H109" s="3">
        <f t="shared" si="89"/>
        <v>1037.305801</v>
      </c>
      <c r="I109" s="3">
        <f t="shared" si="89"/>
        <v>1307.881272</v>
      </c>
      <c r="J109" s="3">
        <f t="shared" si="89"/>
        <v>1639.699191</v>
      </c>
    </row>
    <row r="110">
      <c r="A110" s="2"/>
    </row>
    <row r="111">
      <c r="A111" s="2" t="s">
        <v>62</v>
      </c>
    </row>
    <row r="112">
      <c r="A112" s="19" t="s">
        <v>63</v>
      </c>
      <c r="B112" s="20"/>
      <c r="C112" s="20">
        <f>0.673+0.787</f>
        <v>1.46</v>
      </c>
      <c r="D112" s="20">
        <f>0.665+1.868+1.692</f>
        <v>4.225</v>
      </c>
      <c r="E112" s="20">
        <f>2.304+4.381+0.006</f>
        <v>6.691</v>
      </c>
      <c r="F112" s="21">
        <f t="shared" ref="F112:J112" si="90">F113*F97</f>
        <v>10.05696685</v>
      </c>
      <c r="G112" s="21">
        <f t="shared" si="90"/>
        <v>13.57204239</v>
      </c>
      <c r="H112" s="21">
        <f t="shared" si="90"/>
        <v>18.04959094</v>
      </c>
      <c r="I112" s="21">
        <f t="shared" si="90"/>
        <v>22.75772673</v>
      </c>
      <c r="J112" s="21">
        <f t="shared" si="90"/>
        <v>28.53150887</v>
      </c>
    </row>
    <row r="113">
      <c r="A113" s="2" t="s">
        <v>64</v>
      </c>
      <c r="B113" s="20"/>
      <c r="C113" s="22">
        <f t="shared" ref="C113:E113" si="91">C112/C97</f>
        <v>0.005842336935</v>
      </c>
      <c r="D113" s="22">
        <f t="shared" si="91"/>
        <v>0.005066554743</v>
      </c>
      <c r="E113" s="22">
        <f t="shared" si="91"/>
        <v>0.004755170208</v>
      </c>
      <c r="F113" s="23">
        <f>sum(C113:E113)/3</f>
        <v>0.005221353962</v>
      </c>
      <c r="G113" s="23">
        <f t="shared" ref="G113:J113" si="92">F113</f>
        <v>0.005221353962</v>
      </c>
      <c r="H113" s="23">
        <f t="shared" si="92"/>
        <v>0.005221353962</v>
      </c>
      <c r="I113" s="23">
        <f t="shared" si="92"/>
        <v>0.005221353962</v>
      </c>
      <c r="J113" s="23">
        <f t="shared" si="92"/>
        <v>0.005221353962</v>
      </c>
    </row>
    <row r="114">
      <c r="A114" s="19" t="s">
        <v>65</v>
      </c>
      <c r="B114" s="20"/>
      <c r="C114" s="20">
        <f>0.652</f>
        <v>0.652</v>
      </c>
      <c r="D114" s="20">
        <f>5.261</f>
        <v>5.261</v>
      </c>
      <c r="E114" s="24">
        <v>65.539</v>
      </c>
      <c r="F114" s="21">
        <f t="shared" ref="F114:J114" si="93">F115*F97</f>
        <v>35.63025412</v>
      </c>
      <c r="G114" s="21">
        <f t="shared" si="93"/>
        <v>48.08361473</v>
      </c>
      <c r="H114" s="21">
        <f t="shared" si="93"/>
        <v>63.94686603</v>
      </c>
      <c r="I114" s="21">
        <f t="shared" si="93"/>
        <v>80.62705173</v>
      </c>
      <c r="J114" s="21">
        <f t="shared" si="93"/>
        <v>101.0826551</v>
      </c>
    </row>
    <row r="115">
      <c r="A115" s="2" t="s">
        <v>64</v>
      </c>
      <c r="B115" s="20"/>
      <c r="C115" s="22">
        <f t="shared" ref="C115:E115" si="94">C114/C97</f>
        <v>0.002609043617</v>
      </c>
      <c r="D115" s="22">
        <f t="shared" si="94"/>
        <v>0.006308909941</v>
      </c>
      <c r="E115" s="22">
        <f t="shared" si="94"/>
        <v>0.04657735769</v>
      </c>
      <c r="F115" s="23">
        <f>sum(C115:E115)/3</f>
        <v>0.01849843708</v>
      </c>
      <c r="G115" s="23">
        <f t="shared" ref="G115:J115" si="95">F115</f>
        <v>0.01849843708</v>
      </c>
      <c r="H115" s="23">
        <f t="shared" si="95"/>
        <v>0.01849843708</v>
      </c>
      <c r="I115" s="23">
        <f t="shared" si="95"/>
        <v>0.01849843708</v>
      </c>
      <c r="J115" s="23">
        <f t="shared" si="95"/>
        <v>0.01849843708</v>
      </c>
    </row>
    <row r="116">
      <c r="A116" s="25" t="s">
        <v>66</v>
      </c>
      <c r="D116" s="3">
        <f t="shared" ref="D116:E116" si="96">C123-D123</f>
        <v>-205.242</v>
      </c>
      <c r="E116" s="3">
        <f t="shared" si="96"/>
        <v>53.401</v>
      </c>
      <c r="F116" s="18">
        <v>0.0</v>
      </c>
      <c r="G116" s="18">
        <v>0.0</v>
      </c>
      <c r="H116" s="18">
        <v>0.0</v>
      </c>
      <c r="I116" s="18">
        <v>0.0</v>
      </c>
      <c r="J116" s="18">
        <v>0.0</v>
      </c>
    </row>
    <row r="117">
      <c r="A117" s="2" t="s">
        <v>67</v>
      </c>
      <c r="B117" s="20"/>
      <c r="C117" s="20">
        <f t="shared" ref="C117:J117" si="97">C109+C112+C116-C114</f>
        <v>-46.7166</v>
      </c>
      <c r="D117" s="20">
        <f t="shared" si="97"/>
        <v>-950.2083</v>
      </c>
      <c r="E117" s="20">
        <f t="shared" si="97"/>
        <v>22.8569</v>
      </c>
      <c r="F117" s="26">
        <f t="shared" si="97"/>
        <v>209.3946346</v>
      </c>
      <c r="G117" s="26">
        <f t="shared" si="97"/>
        <v>576.8257692</v>
      </c>
      <c r="H117" s="26">
        <f t="shared" si="97"/>
        <v>991.4085256</v>
      </c>
      <c r="I117" s="26">
        <f t="shared" si="97"/>
        <v>1250.011947</v>
      </c>
      <c r="J117" s="26">
        <f t="shared" si="97"/>
        <v>1567.148045</v>
      </c>
    </row>
    <row r="123">
      <c r="A123" s="18" t="s">
        <v>68</v>
      </c>
      <c r="B123" s="20"/>
      <c r="C123" s="20">
        <f>11.63+92.698-207.957-58.415</f>
        <v>-162.044</v>
      </c>
      <c r="D123" s="20">
        <f>42.567+224.576-68.339-155.606</f>
        <v>43.198</v>
      </c>
      <c r="E123" s="20">
        <f>(68.079+357.921)-(126.559+309.644)</f>
        <v>-10.203</v>
      </c>
      <c r="F123" s="21"/>
      <c r="G123" s="21"/>
      <c r="H123" s="21"/>
      <c r="I123" s="21"/>
      <c r="J123" s="21"/>
    </row>
    <row r="124">
      <c r="A124" s="18" t="s">
        <v>69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7.88"/>
    <col customWidth="1" min="16" max="16" width="30.63"/>
    <col customWidth="1" min="17" max="17" width="34.88"/>
  </cols>
  <sheetData>
    <row r="1">
      <c r="A1" s="2" t="s">
        <v>70</v>
      </c>
      <c r="B1" s="2">
        <v>2019.0</v>
      </c>
      <c r="C1" s="3">
        <f>'Income Build'!C1:K1</f>
        <v>2020</v>
      </c>
      <c r="D1" s="3">
        <f>'Income Build'!D1:L1</f>
        <v>2021</v>
      </c>
      <c r="E1" s="3">
        <f>'Income Build'!E1:M1</f>
        <v>2022</v>
      </c>
      <c r="F1" s="3">
        <f>'Income Build'!F1:N1</f>
        <v>2023</v>
      </c>
      <c r="G1" s="3">
        <f>'Income Build'!G1:O1</f>
        <v>2024</v>
      </c>
      <c r="H1" s="3">
        <f>'Income Build'!H1:P1</f>
        <v>2025</v>
      </c>
      <c r="I1" s="3">
        <f>'Income Build'!I1:Q1</f>
        <v>2026</v>
      </c>
      <c r="J1" s="3">
        <f>'Income Build'!J1:R1</f>
        <v>2027</v>
      </c>
      <c r="M1" s="3" t="str">
        <f>A1</f>
        <v>Year</v>
      </c>
      <c r="Q1" s="27" t="s">
        <v>71</v>
      </c>
      <c r="R1" s="28" t="str">
        <f t="shared" ref="R1:V1" si="1">concatenate(F1, "E")</f>
        <v>2023E</v>
      </c>
      <c r="S1" s="28" t="str">
        <f t="shared" si="1"/>
        <v>2024E</v>
      </c>
      <c r="T1" s="28" t="str">
        <f t="shared" si="1"/>
        <v>2025E</v>
      </c>
      <c r="U1" s="28" t="str">
        <f t="shared" si="1"/>
        <v>2026E</v>
      </c>
      <c r="V1" s="28" t="str">
        <f t="shared" si="1"/>
        <v>2027E</v>
      </c>
    </row>
    <row r="2">
      <c r="A2" s="29" t="str">
        <f>'Income Build'!A9</f>
        <v>Direct Lending</v>
      </c>
      <c r="Q2" s="30" t="s">
        <v>72</v>
      </c>
      <c r="R2" s="31">
        <f t="shared" ref="R2:V2" si="2">F3</f>
        <v>62727.56522</v>
      </c>
      <c r="S2" s="31">
        <f t="shared" si="2"/>
        <v>80473.64786</v>
      </c>
      <c r="T2" s="31">
        <f t="shared" si="2"/>
        <v>101870.6119</v>
      </c>
      <c r="U2" s="31">
        <f t="shared" si="2"/>
        <v>127948.7517</v>
      </c>
      <c r="V2" s="31">
        <f t="shared" si="2"/>
        <v>160871.6056</v>
      </c>
    </row>
    <row r="3">
      <c r="A3" s="3" t="str">
        <f t="array" ref="A3:J4">'Income Build'!A11:J12</f>
        <v>Direct Lending FPAUM (millions)</v>
      </c>
      <c r="B3" s="8">
        <v>16903.43468634686</v>
      </c>
      <c r="C3" s="8">
        <v>19328.399999999998</v>
      </c>
      <c r="D3" s="8">
        <v>32000.0</v>
      </c>
      <c r="E3" s="8">
        <v>49000.0</v>
      </c>
      <c r="F3" s="8">
        <v>62727.565217391304</v>
      </c>
      <c r="G3" s="8">
        <v>80473.64786389415</v>
      </c>
      <c r="H3" s="8">
        <v>101870.61191205721</v>
      </c>
      <c r="I3" s="8">
        <v>127948.75169807152</v>
      </c>
      <c r="J3" s="8">
        <v>160871.6055623494</v>
      </c>
      <c r="Q3" s="32" t="s">
        <v>73</v>
      </c>
      <c r="R3" s="33">
        <f t="shared" ref="R3:V3" si="3">F4</f>
        <v>0.2801543922</v>
      </c>
      <c r="S3" s="33">
        <f t="shared" si="3"/>
        <v>0.2829072448</v>
      </c>
      <c r="T3" s="33">
        <f t="shared" si="3"/>
        <v>0.2658878355</v>
      </c>
      <c r="U3" s="33">
        <f t="shared" si="3"/>
        <v>0.2559927667</v>
      </c>
      <c r="V3" s="33">
        <f t="shared" si="3"/>
        <v>0.257312818</v>
      </c>
    </row>
    <row r="4">
      <c r="A4" s="3" t="s">
        <v>10</v>
      </c>
      <c r="B4" s="10"/>
      <c r="C4" s="10">
        <v>0.14345991561181445</v>
      </c>
      <c r="D4" s="10">
        <v>0.6555948759338591</v>
      </c>
      <c r="E4" s="10">
        <v>0.53125</v>
      </c>
      <c r="F4" s="10">
        <v>0.2801543921916593</v>
      </c>
      <c r="G4" s="10">
        <v>0.2829072447655392</v>
      </c>
      <c r="H4" s="10">
        <v>0.26588783553532896</v>
      </c>
      <c r="I4" s="10">
        <v>0.2559927666727576</v>
      </c>
      <c r="J4" s="10">
        <v>0.25731281804114786</v>
      </c>
      <c r="Q4" s="18" t="s">
        <v>74</v>
      </c>
      <c r="R4" s="31">
        <f t="shared" ref="R4:V4" si="4">F5</f>
        <v>812.6945319</v>
      </c>
      <c r="S4" s="31">
        <f t="shared" si="4"/>
        <v>1136.33466</v>
      </c>
      <c r="T4" s="31">
        <f t="shared" si="4"/>
        <v>1562.26496</v>
      </c>
      <c r="U4" s="31">
        <f t="shared" si="4"/>
        <v>1995.249675</v>
      </c>
      <c r="V4" s="31">
        <f t="shared" si="4"/>
        <v>2545.441902</v>
      </c>
    </row>
    <row r="5">
      <c r="A5" s="3" t="str">
        <f t="array" ref="A5:J6">'Income Build'!A51:J52</f>
        <v>Direct Lending Management Fees, Net (mm)</v>
      </c>
      <c r="B5" s="3"/>
      <c r="C5" s="3">
        <v>195.0</v>
      </c>
      <c r="D5" s="3">
        <v>433.7</v>
      </c>
      <c r="E5" s="3">
        <v>639.9999999999999</v>
      </c>
      <c r="F5" s="8">
        <v>812.694531937735</v>
      </c>
      <c r="G5" s="8">
        <v>1136.3346598595067</v>
      </c>
      <c r="H5" s="8">
        <v>1562.2649600792267</v>
      </c>
      <c r="I5" s="8">
        <v>1995.249675009401</v>
      </c>
      <c r="J5" s="8">
        <v>2545.441902181553</v>
      </c>
      <c r="Q5" s="32" t="s">
        <v>75</v>
      </c>
      <c r="R5" s="33">
        <f t="shared" ref="R5:V5" si="5">F6</f>
        <v>0.01295593937</v>
      </c>
      <c r="S5" s="33">
        <f t="shared" si="5"/>
        <v>0.01412058096</v>
      </c>
      <c r="T5" s="33">
        <f t="shared" si="5"/>
        <v>0.01533577673</v>
      </c>
      <c r="U5" s="33">
        <f t="shared" si="5"/>
        <v>0.01559413162</v>
      </c>
      <c r="V5" s="33">
        <f t="shared" si="5"/>
        <v>0.01582281655</v>
      </c>
    </row>
    <row r="6">
      <c r="A6" s="3" t="s">
        <v>31</v>
      </c>
      <c r="B6" s="10"/>
      <c r="C6" s="10">
        <v>0.010088781275221954</v>
      </c>
      <c r="D6" s="10">
        <v>0.013553125</v>
      </c>
      <c r="E6" s="10">
        <v>0.013061224489795915</v>
      </c>
      <c r="F6" s="10">
        <v>0.012955939372446969</v>
      </c>
      <c r="G6" s="10">
        <v>0.014120580960631988</v>
      </c>
      <c r="H6" s="10">
        <v>0.015335776734392228</v>
      </c>
      <c r="I6" s="10">
        <v>0.015594131623243293</v>
      </c>
      <c r="J6" s="10">
        <v>0.015822816545428272</v>
      </c>
      <c r="Q6" s="34"/>
      <c r="R6" s="34" t="str">
        <f t="shared" ref="R6:V6" si="6">F7</f>
        <v/>
      </c>
      <c r="S6" s="34" t="str">
        <f t="shared" si="6"/>
        <v/>
      </c>
      <c r="T6" s="34" t="str">
        <f t="shared" si="6"/>
        <v/>
      </c>
      <c r="U6" s="34" t="str">
        <f t="shared" si="6"/>
        <v/>
      </c>
      <c r="V6" s="34" t="str">
        <f t="shared" si="6"/>
        <v/>
      </c>
    </row>
    <row r="7">
      <c r="A7" s="29" t="str">
        <f t="array" ref="A7:J9">'Income Build'!A59:J61</f>
        <v>GP Capital Solutions Products</v>
      </c>
      <c r="B7" s="3"/>
      <c r="C7" s="3"/>
      <c r="D7" s="3"/>
      <c r="E7" s="3"/>
      <c r="F7" s="3"/>
      <c r="G7" s="3"/>
      <c r="H7" s="3"/>
      <c r="I7" s="3"/>
      <c r="J7" s="3"/>
      <c r="Q7" s="35" t="str">
        <f>A8</f>
        <v>GP Capital Solutions FEAUM</v>
      </c>
      <c r="R7" s="31">
        <f t="shared" ref="R7:V7" si="7">F8</f>
        <v>37295</v>
      </c>
      <c r="S7" s="31">
        <f t="shared" si="7"/>
        <v>47348.55</v>
      </c>
      <c r="T7" s="31">
        <f t="shared" si="7"/>
        <v>59193.9105</v>
      </c>
      <c r="U7" s="31">
        <f t="shared" si="7"/>
        <v>72858.29722</v>
      </c>
      <c r="V7" s="31">
        <f t="shared" si="7"/>
        <v>88270.34759</v>
      </c>
    </row>
    <row r="8">
      <c r="A8" s="3" t="s">
        <v>37</v>
      </c>
      <c r="B8" s="3"/>
      <c r="C8" s="8">
        <v>15724.8</v>
      </c>
      <c r="D8" s="3">
        <v>21300.0</v>
      </c>
      <c r="E8" s="3">
        <v>28700.0</v>
      </c>
      <c r="F8" s="8">
        <v>37295.0</v>
      </c>
      <c r="G8" s="8">
        <v>47348.55</v>
      </c>
      <c r="H8" s="8">
        <v>59193.9105</v>
      </c>
      <c r="I8" s="8">
        <v>72858.297215</v>
      </c>
      <c r="J8" s="8">
        <v>88270.34758985</v>
      </c>
      <c r="Q8" s="32" t="s">
        <v>73</v>
      </c>
      <c r="R8" s="33">
        <f t="shared" ref="R8:V8" si="8">F9</f>
        <v>0.2994773519</v>
      </c>
      <c r="S8" s="33">
        <f t="shared" si="8"/>
        <v>0.2695683067</v>
      </c>
      <c r="T8" s="33">
        <f t="shared" si="8"/>
        <v>0.2501736695</v>
      </c>
      <c r="U8" s="33">
        <f t="shared" si="8"/>
        <v>0.2308410882</v>
      </c>
      <c r="V8" s="33">
        <f t="shared" si="8"/>
        <v>0.2115345947</v>
      </c>
    </row>
    <row r="9">
      <c r="A9" s="3" t="s">
        <v>19</v>
      </c>
      <c r="B9" s="3"/>
      <c r="C9" s="10"/>
      <c r="D9" s="10">
        <v>0.3545482295482296</v>
      </c>
      <c r="E9" s="10">
        <v>0.3474178403755869</v>
      </c>
      <c r="F9" s="10">
        <v>0.2994773519163763</v>
      </c>
      <c r="G9" s="10">
        <v>0.2695683067435314</v>
      </c>
      <c r="H9" s="10">
        <v>0.25017366952103065</v>
      </c>
      <c r="I9" s="10">
        <v>0.23084108820619312</v>
      </c>
      <c r="J9" s="10">
        <v>0.2115345947403913</v>
      </c>
      <c r="Q9" s="18" t="s">
        <v>74</v>
      </c>
      <c r="R9" s="31">
        <f t="shared" ref="R9:V9" si="9">F10</f>
        <v>730.2161566</v>
      </c>
      <c r="S9" s="31">
        <f t="shared" si="9"/>
        <v>927.0806939</v>
      </c>
      <c r="T9" s="31">
        <f t="shared" si="9"/>
        <v>1158.978609</v>
      </c>
      <c r="U9" s="31">
        <f t="shared" si="9"/>
        <v>1426.395595</v>
      </c>
      <c r="V9" s="31">
        <f t="shared" si="9"/>
        <v>1727.871128</v>
      </c>
    </row>
    <row r="10">
      <c r="A10" s="3" t="str">
        <f t="array" ref="A10:J11">'Income Build'!A77:J78</f>
        <v>Management Fees, Net (mm)</v>
      </c>
      <c r="B10" s="3"/>
      <c r="C10" s="3"/>
      <c r="D10" s="3">
        <v>244.2</v>
      </c>
      <c r="E10" s="3">
        <v>528.8000000000001</v>
      </c>
      <c r="F10" s="8">
        <v>730.2161566293184</v>
      </c>
      <c r="G10" s="8">
        <v>927.0806939192345</v>
      </c>
      <c r="H10" s="8">
        <v>1158.9786093395192</v>
      </c>
      <c r="I10" s="8">
        <v>1426.395595076418</v>
      </c>
      <c r="J10" s="8">
        <v>1727.871127735048</v>
      </c>
      <c r="Q10" s="32" t="s">
        <v>75</v>
      </c>
      <c r="R10" s="33">
        <f t="shared" ref="R10:V10" si="10">F11</f>
        <v>0.01957946525</v>
      </c>
      <c r="S10" s="33">
        <f t="shared" si="10"/>
        <v>0.01957991731</v>
      </c>
      <c r="T10" s="33">
        <f t="shared" si="10"/>
        <v>0.01957935537</v>
      </c>
      <c r="U10" s="33">
        <f t="shared" si="10"/>
        <v>0.01957766856</v>
      </c>
      <c r="V10" s="33">
        <f t="shared" si="10"/>
        <v>0.01957476293</v>
      </c>
    </row>
    <row r="11">
      <c r="A11" s="3" t="s">
        <v>31</v>
      </c>
      <c r="B11" s="3"/>
      <c r="C11" s="3"/>
      <c r="D11" s="10">
        <v>0.011464788732394366</v>
      </c>
      <c r="E11" s="10">
        <v>0.01842508710801394</v>
      </c>
      <c r="F11" s="10">
        <v>0.019579465253500964</v>
      </c>
      <c r="G11" s="10">
        <v>0.019579917313608006</v>
      </c>
      <c r="H11" s="10">
        <v>0.019579355368649267</v>
      </c>
      <c r="I11" s="10">
        <v>0.0195776685648749</v>
      </c>
      <c r="J11" s="10">
        <v>0.01957476292903747</v>
      </c>
      <c r="Q11" s="34"/>
      <c r="R11" s="34" t="str">
        <f t="shared" ref="R11:V11" si="11">F12</f>
        <v/>
      </c>
      <c r="S11" s="34" t="str">
        <f t="shared" si="11"/>
        <v/>
      </c>
      <c r="T11" s="34" t="str">
        <f t="shared" si="11"/>
        <v/>
      </c>
      <c r="U11" s="34" t="str">
        <f t="shared" si="11"/>
        <v/>
      </c>
      <c r="V11" s="34" t="str">
        <f t="shared" si="11"/>
        <v/>
      </c>
    </row>
    <row r="12">
      <c r="A12" s="29" t="str">
        <f>'Income Build'!A83</f>
        <v>Real Estaet Products</v>
      </c>
      <c r="Q12" s="30" t="s">
        <v>76</v>
      </c>
      <c r="R12" s="31">
        <f t="shared" ref="R12:V12" si="12">F13</f>
        <v>14520</v>
      </c>
      <c r="S12" s="31">
        <f t="shared" si="12"/>
        <v>18876</v>
      </c>
      <c r="T12" s="31">
        <f t="shared" si="12"/>
        <v>24161.28</v>
      </c>
      <c r="U12" s="31">
        <f t="shared" si="12"/>
        <v>30926.4384</v>
      </c>
      <c r="V12" s="31">
        <f t="shared" si="12"/>
        <v>39585.84115</v>
      </c>
    </row>
    <row r="13">
      <c r="A13" s="3" t="str">
        <f t="array" ref="A13:J14">'Income Build'!A85:J86</f>
        <v>Real Estate FPAUM (mm)</v>
      </c>
      <c r="B13" s="3"/>
      <c r="C13" s="15">
        <v>11384.099999999999</v>
      </c>
      <c r="D13" s="15">
        <v>8200.0</v>
      </c>
      <c r="E13" s="15">
        <v>11000.0</v>
      </c>
      <c r="F13" s="15">
        <v>14520.0</v>
      </c>
      <c r="G13" s="15">
        <v>18876.0</v>
      </c>
      <c r="H13" s="15">
        <v>24161.28</v>
      </c>
      <c r="I13" s="15">
        <v>30926.4384</v>
      </c>
      <c r="J13" s="15">
        <v>39585.841152</v>
      </c>
      <c r="Q13" s="32" t="s">
        <v>73</v>
      </c>
      <c r="R13" s="33">
        <f t="shared" ref="R13:V13" si="13">F14</f>
        <v>0.32</v>
      </c>
      <c r="S13" s="33">
        <f t="shared" si="13"/>
        <v>0.3</v>
      </c>
      <c r="T13" s="33">
        <f t="shared" si="13"/>
        <v>0.28</v>
      </c>
      <c r="U13" s="33">
        <f t="shared" si="13"/>
        <v>0.28</v>
      </c>
      <c r="V13" s="33">
        <f t="shared" si="13"/>
        <v>0.28</v>
      </c>
    </row>
    <row r="14">
      <c r="A14" s="3" t="s">
        <v>19</v>
      </c>
      <c r="B14" s="3"/>
      <c r="C14" s="10"/>
      <c r="D14" s="10">
        <v>-0.27969712142374004</v>
      </c>
      <c r="E14" s="10">
        <v>0.34146341463414637</v>
      </c>
      <c r="F14" s="10">
        <v>0.32</v>
      </c>
      <c r="G14" s="10">
        <v>0.3</v>
      </c>
      <c r="H14" s="10">
        <v>0.27999999999999997</v>
      </c>
      <c r="I14" s="10">
        <v>0.27999999999999997</v>
      </c>
      <c r="J14" s="10">
        <v>0.27999999999999997</v>
      </c>
      <c r="Q14" s="18" t="s">
        <v>74</v>
      </c>
      <c r="R14" s="31">
        <f t="shared" ref="R14:V14" si="14">F15</f>
        <v>120.384</v>
      </c>
      <c r="S14" s="31">
        <f t="shared" si="14"/>
        <v>175.3752</v>
      </c>
      <c r="T14" s="31">
        <f t="shared" si="14"/>
        <v>248.641536</v>
      </c>
      <c r="U14" s="31">
        <f t="shared" si="14"/>
        <v>318.2611661</v>
      </c>
      <c r="V14" s="31">
        <f t="shared" si="14"/>
        <v>407.3742926</v>
      </c>
    </row>
    <row r="15">
      <c r="A15" s="3" t="str">
        <f t="array" ref="A15:J16">'Income Build'!A89:J90</f>
        <v>Management Fees, Net</v>
      </c>
      <c r="B15" s="3"/>
      <c r="C15" s="3"/>
      <c r="D15" s="3"/>
      <c r="E15" s="3">
        <v>80.2</v>
      </c>
      <c r="F15" s="3">
        <v>120.38400000000001</v>
      </c>
      <c r="G15" s="3">
        <v>175.37520000000004</v>
      </c>
      <c r="H15" s="3">
        <v>248.64153600000006</v>
      </c>
      <c r="I15" s="3">
        <v>318.26116608000007</v>
      </c>
      <c r="J15" s="3">
        <v>407.37429258240013</v>
      </c>
      <c r="Q15" s="32" t="s">
        <v>75</v>
      </c>
      <c r="R15" s="33">
        <f t="shared" ref="R15:V15" si="15">F16</f>
        <v>0.008290909091</v>
      </c>
      <c r="S15" s="33">
        <f t="shared" si="15"/>
        <v>0.009290909091</v>
      </c>
      <c r="T15" s="33">
        <f t="shared" si="15"/>
        <v>0.01029090909</v>
      </c>
      <c r="U15" s="33">
        <f t="shared" si="15"/>
        <v>0.01029090909</v>
      </c>
      <c r="V15" s="33">
        <f t="shared" si="15"/>
        <v>0.01029090909</v>
      </c>
    </row>
    <row r="16">
      <c r="A16" s="3" t="s">
        <v>31</v>
      </c>
      <c r="B16" s="3"/>
      <c r="C16" s="3"/>
      <c r="D16" s="3"/>
      <c r="E16" s="10">
        <v>0.007290909090909091</v>
      </c>
      <c r="F16" s="10">
        <v>0.008290909090909092</v>
      </c>
      <c r="G16" s="10">
        <v>0.009290909090909093</v>
      </c>
      <c r="H16" s="10">
        <v>0.010290909090909094</v>
      </c>
      <c r="I16" s="10">
        <v>0.010290909090909094</v>
      </c>
      <c r="J16" s="10">
        <v>0.010290909090909094</v>
      </c>
      <c r="Q16" s="36" t="str">
        <f>A17</f>
        <v>Total Revenues (mm)</v>
      </c>
      <c r="R16" s="37">
        <f t="shared" ref="R16:V16" si="16">F17</f>
        <v>1926.122405</v>
      </c>
      <c r="S16" s="37">
        <f t="shared" si="16"/>
        <v>2599.333907</v>
      </c>
      <c r="T16" s="37">
        <f t="shared" si="16"/>
        <v>3456.879397</v>
      </c>
      <c r="U16" s="37">
        <f t="shared" si="16"/>
        <v>4358.587235</v>
      </c>
      <c r="V16" s="37">
        <f t="shared" si="16"/>
        <v>5464.388945</v>
      </c>
    </row>
    <row r="17">
      <c r="A17" s="29" t="str">
        <f t="array" ref="A17:J17">'Income Build'!A97:J97</f>
        <v>Total Revenues (mm)</v>
      </c>
      <c r="B17" s="3"/>
      <c r="C17" s="3">
        <v>249.9</v>
      </c>
      <c r="D17" s="3">
        <v>833.9000000000001</v>
      </c>
      <c r="E17" s="3">
        <v>1407.1</v>
      </c>
      <c r="F17" s="8">
        <v>1926.1224052402094</v>
      </c>
      <c r="G17" s="8">
        <v>2599.3339067818492</v>
      </c>
      <c r="H17" s="8">
        <v>3456.8793970587785</v>
      </c>
      <c r="I17" s="8">
        <v>4358.5872350686805</v>
      </c>
      <c r="J17" s="8">
        <v>5464.388945140092</v>
      </c>
      <c r="Q17" s="34"/>
      <c r="R17" s="34" t="str">
        <f t="shared" ref="R17:V17" si="17">F18</f>
        <v/>
      </c>
      <c r="S17" s="34" t="str">
        <f t="shared" si="17"/>
        <v/>
      </c>
      <c r="T17" s="34" t="str">
        <f t="shared" si="17"/>
        <v/>
      </c>
      <c r="U17" s="34" t="str">
        <f t="shared" si="17"/>
        <v/>
      </c>
      <c r="V17" s="34" t="str">
        <f t="shared" si="17"/>
        <v/>
      </c>
    </row>
    <row r="18">
      <c r="A18" s="29" t="str">
        <f t="array" ref="A18:J28">'Income Build'!A99:J109</f>
        <v>Expenses</v>
      </c>
      <c r="B18" s="3"/>
      <c r="C18" s="3"/>
      <c r="D18" s="3"/>
      <c r="E18" s="3"/>
      <c r="F18" s="3"/>
      <c r="G18" s="3"/>
      <c r="H18" s="3"/>
      <c r="I18" s="3"/>
      <c r="J18" s="3"/>
      <c r="Q18" s="30" t="s">
        <v>77</v>
      </c>
      <c r="R18" s="31">
        <f t="shared" ref="R18:V18" si="18">F19</f>
        <v>1059.367323</v>
      </c>
      <c r="S18" s="31">
        <f t="shared" si="18"/>
        <v>1299.666953</v>
      </c>
      <c r="T18" s="31">
        <f t="shared" si="18"/>
        <v>1555.595729</v>
      </c>
      <c r="U18" s="31">
        <f t="shared" si="18"/>
        <v>1961.364256</v>
      </c>
      <c r="V18" s="31">
        <f t="shared" si="18"/>
        <v>2458.975025</v>
      </c>
    </row>
    <row r="19">
      <c r="A19" s="3" t="s">
        <v>55</v>
      </c>
      <c r="B19" s="3"/>
      <c r="C19" s="3">
        <v>240.7</v>
      </c>
      <c r="D19" s="3">
        <v>1497.0</v>
      </c>
      <c r="E19" s="3">
        <v>894.7</v>
      </c>
      <c r="F19" s="3">
        <v>1059.3673228821153</v>
      </c>
      <c r="G19" s="3">
        <v>1299.6669533909246</v>
      </c>
      <c r="H19" s="3">
        <v>1555.5957286764503</v>
      </c>
      <c r="I19" s="3">
        <v>1961.3642557809062</v>
      </c>
      <c r="J19" s="3">
        <v>2458.9750253130414</v>
      </c>
      <c r="Q19" s="32" t="s">
        <v>78</v>
      </c>
      <c r="R19" s="38">
        <f t="shared" ref="R19:V19" si="19">F20</f>
        <v>0.55</v>
      </c>
      <c r="S19" s="38">
        <f t="shared" si="19"/>
        <v>0.5</v>
      </c>
      <c r="T19" s="38">
        <f t="shared" si="19"/>
        <v>0.45</v>
      </c>
      <c r="U19" s="38">
        <f t="shared" si="19"/>
        <v>0.45</v>
      </c>
      <c r="V19" s="38">
        <f t="shared" si="19"/>
        <v>0.45</v>
      </c>
    </row>
    <row r="20">
      <c r="A20" s="3" t="s">
        <v>56</v>
      </c>
      <c r="B20" s="3"/>
      <c r="C20" s="39">
        <v>0.9631852741096438</v>
      </c>
      <c r="D20" s="39">
        <v>1.795179278090898</v>
      </c>
      <c r="E20" s="39">
        <v>0.6358467770591999</v>
      </c>
      <c r="F20" s="39">
        <v>0.55</v>
      </c>
      <c r="G20" s="39">
        <v>0.5</v>
      </c>
      <c r="H20" s="39">
        <v>0.45</v>
      </c>
      <c r="I20" s="39">
        <v>0.45</v>
      </c>
      <c r="J20" s="39">
        <v>0.45</v>
      </c>
      <c r="Q20" s="40" t="s">
        <v>79</v>
      </c>
      <c r="R20" s="31">
        <f t="shared" ref="R20:V20" si="20">F21</f>
        <v>307.3717781</v>
      </c>
      <c r="S20" s="31">
        <f t="shared" si="20"/>
        <v>207.9467125</v>
      </c>
      <c r="T20" s="31">
        <f t="shared" si="20"/>
        <v>172.8439699</v>
      </c>
      <c r="U20" s="31">
        <f t="shared" si="20"/>
        <v>217.9293618</v>
      </c>
      <c r="V20" s="31">
        <f t="shared" si="20"/>
        <v>273.2194473</v>
      </c>
    </row>
    <row r="21">
      <c r="A21" s="3" t="s">
        <v>57</v>
      </c>
      <c r="B21" s="3"/>
      <c r="C21" s="3"/>
      <c r="D21" s="3">
        <v>113.9</v>
      </c>
      <c r="E21" s="3">
        <v>256.9</v>
      </c>
      <c r="F21" s="3">
        <v>307.3717780666247</v>
      </c>
      <c r="G21" s="3">
        <v>207.94671254254794</v>
      </c>
      <c r="H21" s="3">
        <v>172.84396985293893</v>
      </c>
      <c r="I21" s="3">
        <v>217.92936175343402</v>
      </c>
      <c r="J21" s="3">
        <v>273.2194472570046</v>
      </c>
      <c r="Q21" s="32" t="s">
        <v>78</v>
      </c>
      <c r="R21" s="38">
        <f t="shared" ref="R21:V21" si="21">F22</f>
        <v>0.12</v>
      </c>
      <c r="S21" s="38">
        <f t="shared" si="21"/>
        <v>0.08</v>
      </c>
      <c r="T21" s="38">
        <f t="shared" si="21"/>
        <v>0.05</v>
      </c>
      <c r="U21" s="38">
        <f t="shared" si="21"/>
        <v>0.05</v>
      </c>
      <c r="V21" s="38">
        <f t="shared" si="21"/>
        <v>0.05</v>
      </c>
    </row>
    <row r="22">
      <c r="A22" s="3" t="s">
        <v>56</v>
      </c>
      <c r="B22" s="3"/>
      <c r="C22" s="3"/>
      <c r="D22" s="39">
        <v>0.13658712075788462</v>
      </c>
      <c r="E22" s="39">
        <v>0.18257408855092033</v>
      </c>
      <c r="F22" s="39">
        <v>0.12</v>
      </c>
      <c r="G22" s="39">
        <v>0.08</v>
      </c>
      <c r="H22" s="39">
        <v>0.05</v>
      </c>
      <c r="I22" s="39">
        <v>0.05</v>
      </c>
      <c r="J22" s="39">
        <v>0.05</v>
      </c>
      <c r="Q22" s="40" t="s">
        <v>80</v>
      </c>
      <c r="R22" s="31">
        <f t="shared" ref="R22:V22" si="22">F23</f>
        <v>269.6571367</v>
      </c>
      <c r="S22" s="31">
        <f t="shared" si="22"/>
        <v>337.9134079</v>
      </c>
      <c r="T22" s="31">
        <f t="shared" si="22"/>
        <v>449.3943216</v>
      </c>
      <c r="U22" s="31">
        <f t="shared" si="22"/>
        <v>566.6163406</v>
      </c>
      <c r="V22" s="31">
        <f t="shared" si="22"/>
        <v>710.3705629</v>
      </c>
    </row>
    <row r="23">
      <c r="A23" s="3" t="s">
        <v>58</v>
      </c>
      <c r="B23" s="3"/>
      <c r="C23" s="3">
        <v>67.8</v>
      </c>
      <c r="D23" s="3">
        <v>140.3</v>
      </c>
      <c r="E23" s="3">
        <v>220.6</v>
      </c>
      <c r="F23" s="3">
        <v>269.65713673362933</v>
      </c>
      <c r="G23" s="3">
        <v>337.9134078816404</v>
      </c>
      <c r="H23" s="3">
        <v>449.3943216176412</v>
      </c>
      <c r="I23" s="3">
        <v>566.6163405589285</v>
      </c>
      <c r="J23" s="3">
        <v>710.370562868212</v>
      </c>
      <c r="Q23" s="32" t="s">
        <v>78</v>
      </c>
      <c r="R23" s="38">
        <f t="shared" ref="R23:V23" si="23">F24</f>
        <v>0.14</v>
      </c>
      <c r="S23" s="38">
        <f t="shared" si="23"/>
        <v>0.13</v>
      </c>
      <c r="T23" s="38">
        <f t="shared" si="23"/>
        <v>0.13</v>
      </c>
      <c r="U23" s="38">
        <f t="shared" si="23"/>
        <v>0.13</v>
      </c>
      <c r="V23" s="38">
        <f t="shared" si="23"/>
        <v>0.13</v>
      </c>
    </row>
    <row r="24">
      <c r="A24" s="3" t="s">
        <v>56</v>
      </c>
      <c r="B24" s="3"/>
      <c r="C24" s="3"/>
      <c r="D24" s="39">
        <v>0.1682455929967622</v>
      </c>
      <c r="E24" s="39">
        <v>0.156776348518229</v>
      </c>
      <c r="F24" s="39">
        <v>0.14</v>
      </c>
      <c r="G24" s="39">
        <v>0.13</v>
      </c>
      <c r="H24" s="39">
        <v>0.13</v>
      </c>
      <c r="I24" s="39">
        <v>0.13</v>
      </c>
      <c r="J24" s="39">
        <v>0.13</v>
      </c>
      <c r="Q24" s="36" t="s">
        <v>81</v>
      </c>
      <c r="R24" s="37">
        <f t="shared" ref="R24:V24" si="24">F25</f>
        <v>1636.396238</v>
      </c>
      <c r="S24" s="37">
        <f t="shared" si="24"/>
        <v>1845.527074</v>
      </c>
      <c r="T24" s="37">
        <f t="shared" si="24"/>
        <v>2177.83402</v>
      </c>
      <c r="U24" s="37">
        <f t="shared" si="24"/>
        <v>2745.909958</v>
      </c>
      <c r="V24" s="37">
        <f t="shared" si="24"/>
        <v>3442.565035</v>
      </c>
    </row>
    <row r="25">
      <c r="A25" s="29" t="s">
        <v>59</v>
      </c>
      <c r="B25" s="3"/>
      <c r="C25" s="3">
        <v>308.5</v>
      </c>
      <c r="D25" s="3">
        <v>1751.2</v>
      </c>
      <c r="E25" s="3">
        <v>1372.1999999999998</v>
      </c>
      <c r="F25" s="3">
        <v>1636.3962376823695</v>
      </c>
      <c r="G25" s="3">
        <v>1845.527073815113</v>
      </c>
      <c r="H25" s="3">
        <v>2177.8340201470305</v>
      </c>
      <c r="I25" s="3">
        <v>2745.909958093269</v>
      </c>
      <c r="J25" s="3">
        <v>3442.565035438258</v>
      </c>
      <c r="Q25" s="34"/>
      <c r="R25" s="34"/>
      <c r="S25" s="34"/>
      <c r="T25" s="34"/>
      <c r="U25" s="34"/>
      <c r="V25" s="34"/>
    </row>
    <row r="26">
      <c r="A26" s="3" t="s">
        <v>56</v>
      </c>
      <c r="B26" s="10"/>
      <c r="C26" s="10">
        <v>1.2344937975190076</v>
      </c>
      <c r="D26" s="10">
        <v>2.1000119918455447</v>
      </c>
      <c r="E26" s="10">
        <v>0.975197214128349</v>
      </c>
      <c r="F26" s="10">
        <v>0.8495806046544027</v>
      </c>
      <c r="G26" s="10">
        <v>0.71</v>
      </c>
      <c r="H26" s="10">
        <v>0.63</v>
      </c>
      <c r="I26" s="10">
        <v>0.63</v>
      </c>
      <c r="J26" s="10">
        <v>0.63</v>
      </c>
      <c r="Q26" s="35" t="str">
        <f>A27</f>
        <v>EBIT</v>
      </c>
      <c r="R26" s="31">
        <f t="shared" ref="R26:V26" si="25">F27</f>
        <v>289.7261676</v>
      </c>
      <c r="S26" s="31">
        <f t="shared" si="25"/>
        <v>753.806833</v>
      </c>
      <c r="T26" s="31">
        <f t="shared" si="25"/>
        <v>1279.045377</v>
      </c>
      <c r="U26" s="31">
        <f t="shared" si="25"/>
        <v>1612.677277</v>
      </c>
      <c r="V26" s="31">
        <f t="shared" si="25"/>
        <v>2021.82391</v>
      </c>
    </row>
    <row r="27">
      <c r="A27" s="29" t="s">
        <v>60</v>
      </c>
      <c r="B27" s="3"/>
      <c r="C27" s="3">
        <v>-58.599999999999994</v>
      </c>
      <c r="D27" s="3">
        <v>-917.3</v>
      </c>
      <c r="E27" s="3">
        <v>34.90000000000009</v>
      </c>
      <c r="F27" s="8">
        <v>289.72616755784</v>
      </c>
      <c r="G27" s="8">
        <v>753.8068329667362</v>
      </c>
      <c r="H27" s="8">
        <v>1279.045376911748</v>
      </c>
      <c r="I27" s="8">
        <v>1612.6772769754116</v>
      </c>
      <c r="J27" s="8">
        <v>2021.823909701834</v>
      </c>
      <c r="Q27" s="34"/>
      <c r="R27" s="34"/>
      <c r="S27" s="34"/>
      <c r="T27" s="34"/>
      <c r="U27" s="34"/>
      <c r="V27" s="34"/>
    </row>
    <row r="28">
      <c r="A28" s="29" t="s">
        <v>61</v>
      </c>
      <c r="B28" s="3">
        <v>0.0</v>
      </c>
      <c r="C28" s="3">
        <v>-47.52459999999999</v>
      </c>
      <c r="D28" s="3">
        <v>-743.9302999999999</v>
      </c>
      <c r="E28" s="3">
        <v>28.303900000000073</v>
      </c>
      <c r="F28" s="3">
        <v>234.9679218894082</v>
      </c>
      <c r="G28" s="3">
        <v>611.337341536023</v>
      </c>
      <c r="H28" s="3">
        <v>1037.3058006754275</v>
      </c>
      <c r="I28" s="3">
        <v>1307.8812716270586</v>
      </c>
      <c r="J28" s="3">
        <v>1639.6991907681872</v>
      </c>
    </row>
    <row r="29">
      <c r="A29" s="3" t="str">
        <f t="array" ref="A29:J34">'Income Build'!A112:J117</f>
        <v>+D&amp;A</v>
      </c>
      <c r="B29" s="3"/>
      <c r="C29" s="3">
        <v>1.46</v>
      </c>
      <c r="D29" s="3">
        <v>4.2250000000000005</v>
      </c>
      <c r="E29" s="3">
        <v>6.691000000000001</v>
      </c>
      <c r="F29" s="41">
        <v>10.056966851755735</v>
      </c>
      <c r="G29" s="41">
        <v>13.572042392544445</v>
      </c>
      <c r="H29" s="41">
        <v>18.04959093573381</v>
      </c>
      <c r="I29" s="41">
        <v>22.757726728226697</v>
      </c>
      <c r="J29" s="41">
        <v>28.531508868212796</v>
      </c>
      <c r="Q29" s="34"/>
      <c r="R29" s="34"/>
      <c r="S29" s="34"/>
      <c r="T29" s="34"/>
      <c r="U29" s="34"/>
      <c r="V29" s="34"/>
    </row>
    <row r="30">
      <c r="A30" s="3" t="s">
        <v>64</v>
      </c>
      <c r="B30" s="3"/>
      <c r="C30" s="10">
        <v>0.005842336934773909</v>
      </c>
      <c r="D30" s="10">
        <v>0.005066554742774913</v>
      </c>
      <c r="E30" s="10">
        <v>0.0047551702082296934</v>
      </c>
      <c r="F30" s="10">
        <v>0.005221353961926172</v>
      </c>
      <c r="G30" s="10">
        <v>0.005221353961926172</v>
      </c>
      <c r="H30" s="10">
        <v>0.005221353961926172</v>
      </c>
      <c r="I30" s="10">
        <v>0.005221353961926172</v>
      </c>
      <c r="J30" s="10">
        <v>0.005221353961926172</v>
      </c>
      <c r="Q30" s="34"/>
      <c r="R30" s="34"/>
      <c r="S30" s="34"/>
      <c r="T30" s="34"/>
      <c r="U30" s="34"/>
      <c r="V30" s="34"/>
    </row>
    <row r="31">
      <c r="A31" s="3" t="s">
        <v>65</v>
      </c>
      <c r="B31" s="3"/>
      <c r="C31" s="3">
        <v>0.652</v>
      </c>
      <c r="D31" s="3">
        <v>5.261</v>
      </c>
      <c r="E31" s="3">
        <v>65.539</v>
      </c>
      <c r="F31" s="41">
        <v>35.6302541247369</v>
      </c>
      <c r="G31" s="41">
        <v>48.0836147285937</v>
      </c>
      <c r="H31" s="41">
        <v>63.946866025064956</v>
      </c>
      <c r="I31" s="41">
        <v>80.62705173244899</v>
      </c>
      <c r="J31" s="41">
        <v>101.08265509089671</v>
      </c>
      <c r="Q31" s="34"/>
      <c r="R31" s="34"/>
      <c r="S31" s="34"/>
      <c r="T31" s="34"/>
      <c r="U31" s="34"/>
      <c r="V31" s="34"/>
    </row>
    <row r="32">
      <c r="A32" s="3" t="s">
        <v>64</v>
      </c>
      <c r="B32" s="3"/>
      <c r="C32" s="10">
        <v>0.0026090436174469787</v>
      </c>
      <c r="D32" s="10">
        <v>0.006308909941239956</v>
      </c>
      <c r="E32" s="10">
        <v>0.0465773576860209</v>
      </c>
      <c r="F32" s="10">
        <v>0.01849843708156928</v>
      </c>
      <c r="G32" s="10">
        <v>0.01849843708156928</v>
      </c>
      <c r="H32" s="10">
        <v>0.01849843708156928</v>
      </c>
      <c r="I32" s="10">
        <v>0.01849843708156928</v>
      </c>
      <c r="J32" s="10">
        <v>0.01849843708156928</v>
      </c>
      <c r="Q32" s="34"/>
      <c r="R32" s="34"/>
      <c r="S32" s="34"/>
      <c r="T32" s="34"/>
      <c r="U32" s="34"/>
      <c r="V32" s="34"/>
    </row>
    <row r="33">
      <c r="A33" s="3" t="s">
        <v>66</v>
      </c>
      <c r="B33" s="3"/>
      <c r="C33" s="3"/>
      <c r="D33" s="3">
        <v>-205.242</v>
      </c>
      <c r="E33" s="3">
        <v>53.400999999999954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Q33" s="34"/>
      <c r="R33" s="34"/>
      <c r="S33" s="34"/>
      <c r="T33" s="34"/>
      <c r="U33" s="34"/>
      <c r="V33" s="34"/>
    </row>
    <row r="34">
      <c r="A34" s="3" t="s">
        <v>67</v>
      </c>
      <c r="B34" s="3"/>
      <c r="C34" s="3">
        <v>-46.71659999999999</v>
      </c>
      <c r="D34" s="3">
        <v>-950.2082999999998</v>
      </c>
      <c r="E34" s="3">
        <v>22.856900000000024</v>
      </c>
      <c r="F34" s="41">
        <v>209.39463461642703</v>
      </c>
      <c r="G34" s="41">
        <v>576.8257691999737</v>
      </c>
      <c r="H34" s="41">
        <v>991.4085255860962</v>
      </c>
      <c r="I34" s="41">
        <v>1250.0119466228364</v>
      </c>
      <c r="J34" s="41">
        <v>1567.1480445455034</v>
      </c>
      <c r="Q34" s="34"/>
      <c r="R34" s="34"/>
      <c r="S34" s="34"/>
      <c r="T34" s="34"/>
      <c r="U34" s="34"/>
      <c r="V34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70</v>
      </c>
      <c r="B1" s="2">
        <v>2019.0</v>
      </c>
      <c r="C1" s="3">
        <f>'Income Build'!C1:K1</f>
        <v>2020</v>
      </c>
      <c r="D1" s="3">
        <f>'Income Build'!D1:L1</f>
        <v>2021</v>
      </c>
      <c r="E1" s="3">
        <f>'Income Build'!E1:M1</f>
        <v>2022</v>
      </c>
      <c r="F1" s="3">
        <f>'Income Build'!F1:N1</f>
        <v>2023</v>
      </c>
      <c r="G1" s="3">
        <f>'Income Build'!G1:O1</f>
        <v>2024</v>
      </c>
      <c r="H1" s="3">
        <f>'Income Build'!H1:P1</f>
        <v>2025</v>
      </c>
      <c r="I1" s="3">
        <f>'Income Build'!I1:Q1</f>
        <v>2026</v>
      </c>
      <c r="J1" s="3">
        <f>'Income Build'!J1:R1</f>
        <v>2027</v>
      </c>
    </row>
    <row r="2">
      <c r="A2" s="29" t="str">
        <f>'Income Build'!A9</f>
        <v>Direct Lending</v>
      </c>
    </row>
    <row r="3">
      <c r="A3" s="3" t="str">
        <f t="array" ref="A3:J4">'Income Build'!A11:J12</f>
        <v>Direct Lending FPAUM (millions)</v>
      </c>
      <c r="B3" s="8">
        <v>16903.43468634686</v>
      </c>
      <c r="C3" s="8">
        <v>19328.399999999998</v>
      </c>
      <c r="D3" s="8">
        <v>32000.0</v>
      </c>
      <c r="E3" s="8">
        <v>49000.0</v>
      </c>
      <c r="F3" s="8">
        <v>62727.565217391304</v>
      </c>
      <c r="G3" s="8">
        <v>80473.64786389415</v>
      </c>
      <c r="H3" s="8">
        <v>101870.61191205721</v>
      </c>
      <c r="I3" s="8">
        <v>127948.75169807152</v>
      </c>
      <c r="J3" s="8">
        <v>160871.6055623494</v>
      </c>
    </row>
    <row r="4">
      <c r="A4" s="3" t="s">
        <v>10</v>
      </c>
      <c r="B4" s="10"/>
      <c r="C4" s="10">
        <v>0.14345991561181445</v>
      </c>
      <c r="D4" s="10">
        <v>0.6555948759338591</v>
      </c>
      <c r="E4" s="10">
        <v>0.53125</v>
      </c>
      <c r="F4" s="10">
        <v>0.2801543921916593</v>
      </c>
      <c r="G4" s="10">
        <v>0.2829072447655392</v>
      </c>
      <c r="H4" s="10">
        <v>0.26588783553532896</v>
      </c>
      <c r="I4" s="10">
        <v>0.2559927666727576</v>
      </c>
      <c r="J4" s="10">
        <v>0.25731281804114786</v>
      </c>
    </row>
    <row r="5">
      <c r="A5" s="3" t="str">
        <f t="array" ref="A5:A9">'Income Build'!A51:J55</f>
        <v>#REF!</v>
      </c>
    </row>
    <row r="6">
      <c r="A6" s="3"/>
    </row>
    <row r="7">
      <c r="A7" s="3"/>
    </row>
    <row r="8">
      <c r="A8" s="3"/>
    </row>
    <row r="9">
      <c r="A9" s="29" t="str">
        <f t="array" ref="A9:J11">'Income Build'!A59:J61</f>
        <v>GP Capital Solutions Products</v>
      </c>
      <c r="B9" s="3"/>
      <c r="C9" s="3"/>
      <c r="D9" s="3"/>
      <c r="E9" s="3"/>
      <c r="F9" s="3"/>
      <c r="G9" s="3"/>
      <c r="H9" s="3"/>
      <c r="I9" s="3"/>
      <c r="J9" s="3"/>
    </row>
    <row r="10">
      <c r="A10" s="3" t="s">
        <v>37</v>
      </c>
      <c r="B10" s="3"/>
      <c r="C10" s="8">
        <v>15724.8</v>
      </c>
      <c r="D10" s="3">
        <v>21300.0</v>
      </c>
      <c r="E10" s="3">
        <v>28700.0</v>
      </c>
      <c r="F10" s="8">
        <v>37295.0</v>
      </c>
      <c r="G10" s="8">
        <v>47348.55</v>
      </c>
      <c r="H10" s="8">
        <v>59193.9105</v>
      </c>
      <c r="I10" s="8">
        <v>72858.297215</v>
      </c>
      <c r="J10" s="8">
        <v>88270.34758985</v>
      </c>
    </row>
    <row r="11">
      <c r="A11" s="3" t="s">
        <v>19</v>
      </c>
      <c r="B11" s="3"/>
      <c r="C11" s="10"/>
      <c r="D11" s="10">
        <v>0.3545482295482296</v>
      </c>
      <c r="E11" s="10">
        <v>0.3474178403755869</v>
      </c>
      <c r="F11" s="10">
        <v>0.2994773519163763</v>
      </c>
      <c r="G11" s="10">
        <v>0.2695683067435314</v>
      </c>
      <c r="H11" s="10">
        <v>0.25017366952103065</v>
      </c>
      <c r="I11" s="10">
        <v>0.23084108820619312</v>
      </c>
      <c r="J11" s="10">
        <v>0.2115345947403913</v>
      </c>
    </row>
    <row r="12">
      <c r="A12" s="3" t="str">
        <f t="array" ref="A12:J15">'Income Build'!A77:J80</f>
        <v>Management Fees, Net (mm)</v>
      </c>
      <c r="B12" s="3"/>
      <c r="C12" s="3"/>
      <c r="D12" s="3">
        <v>244.2</v>
      </c>
      <c r="E12" s="3">
        <v>528.8000000000001</v>
      </c>
      <c r="F12" s="8">
        <v>730.2161566293184</v>
      </c>
      <c r="G12" s="8">
        <v>927.0806939192345</v>
      </c>
      <c r="H12" s="8">
        <v>1158.9786093395192</v>
      </c>
      <c r="I12" s="8">
        <v>1426.395595076418</v>
      </c>
      <c r="J12" s="8">
        <v>1727.871127735048</v>
      </c>
    </row>
    <row r="13">
      <c r="A13" s="3" t="s">
        <v>31</v>
      </c>
      <c r="B13" s="3"/>
      <c r="C13" s="3"/>
      <c r="D13" s="10">
        <v>0.011464788732394366</v>
      </c>
      <c r="E13" s="10">
        <v>0.01842508710801394</v>
      </c>
      <c r="F13" s="10">
        <v>0.019579465253500964</v>
      </c>
      <c r="G13" s="10">
        <v>0.019579917313608006</v>
      </c>
      <c r="H13" s="10">
        <v>0.019579355368649267</v>
      </c>
      <c r="I13" s="10">
        <v>0.0195776685648749</v>
      </c>
      <c r="J13" s="10">
        <v>0.01957476292903747</v>
      </c>
    </row>
    <row r="14">
      <c r="A14" s="3" t="s">
        <v>32</v>
      </c>
      <c r="B14" s="3"/>
      <c r="C14" s="3"/>
      <c r="D14" s="3">
        <v>18.6</v>
      </c>
      <c r="E14" s="3">
        <v>27.0</v>
      </c>
      <c r="F14" s="14">
        <v>46.451268733232794</v>
      </c>
      <c r="G14" s="14">
        <v>58.9744201900685</v>
      </c>
      <c r="H14" s="14">
        <v>73.72615129060662</v>
      </c>
      <c r="I14" s="14">
        <v>90.73735839075506</v>
      </c>
      <c r="J14" s="14">
        <v>109.91513315906846</v>
      </c>
    </row>
    <row r="15">
      <c r="A15" s="3" t="s">
        <v>33</v>
      </c>
      <c r="B15" s="3"/>
      <c r="C15" s="3"/>
      <c r="D15" s="10">
        <v>0.07616707616707617</v>
      </c>
      <c r="E15" s="10">
        <v>0.051059001512859296</v>
      </c>
      <c r="F15" s="10">
        <v>0.06361303883996773</v>
      </c>
      <c r="G15" s="10">
        <v>0.06361303883996773</v>
      </c>
      <c r="H15" s="10">
        <v>0.06361303883996773</v>
      </c>
      <c r="I15" s="10">
        <v>0.06361303883996773</v>
      </c>
      <c r="J15" s="10">
        <v>0.06361303883996773</v>
      </c>
    </row>
    <row r="16">
      <c r="A16" s="29" t="str">
        <f>'Income Build'!A83</f>
        <v>Real Estaet Products</v>
      </c>
    </row>
    <row r="17">
      <c r="A17" s="3" t="str">
        <f t="array" ref="A17:J18">'Income Build'!A85:J86</f>
        <v>Real Estate FPAUM (mm)</v>
      </c>
      <c r="B17" s="3"/>
      <c r="C17" s="15">
        <v>11384.099999999999</v>
      </c>
      <c r="D17" s="15">
        <v>8200.0</v>
      </c>
      <c r="E17" s="15">
        <v>11000.0</v>
      </c>
      <c r="F17" s="15">
        <v>14520.0</v>
      </c>
      <c r="G17" s="15">
        <v>18876.0</v>
      </c>
      <c r="H17" s="15">
        <v>24161.28</v>
      </c>
      <c r="I17" s="15">
        <v>30926.4384</v>
      </c>
      <c r="J17" s="15">
        <v>39585.841152</v>
      </c>
    </row>
    <row r="18">
      <c r="A18" s="3" t="s">
        <v>19</v>
      </c>
      <c r="B18" s="3"/>
      <c r="C18" s="10"/>
      <c r="D18" s="10">
        <v>-0.27969712142374004</v>
      </c>
      <c r="E18" s="10">
        <v>0.34146341463414637</v>
      </c>
      <c r="F18" s="10">
        <v>0.32</v>
      </c>
      <c r="G18" s="10">
        <v>0.3</v>
      </c>
      <c r="H18" s="10">
        <v>0.27999999999999997</v>
      </c>
      <c r="I18" s="10">
        <v>0.27999999999999997</v>
      </c>
      <c r="J18" s="10">
        <v>0.27999999999999997</v>
      </c>
    </row>
    <row r="19">
      <c r="A19" s="3" t="str">
        <f t="array" ref="A19:A22">'Income Build'!A89:J92</f>
        <v>#REF!</v>
      </c>
    </row>
    <row r="20">
      <c r="A20" s="3"/>
    </row>
    <row r="21">
      <c r="A21" s="3"/>
    </row>
    <row r="22">
      <c r="A22" s="29" t="str">
        <f t="array" ref="A22:J22">'Income Build'!A97:J97</f>
        <v>Total Revenues (mm)</v>
      </c>
      <c r="B22" s="3"/>
      <c r="C22" s="3">
        <v>249.9</v>
      </c>
      <c r="D22" s="3">
        <v>833.9000000000001</v>
      </c>
      <c r="E22" s="3">
        <v>1407.1</v>
      </c>
      <c r="F22" s="8">
        <v>1926.1224052402094</v>
      </c>
      <c r="G22" s="8">
        <v>2599.3339067818492</v>
      </c>
      <c r="H22" s="8">
        <v>3456.8793970587785</v>
      </c>
      <c r="I22" s="8">
        <v>4358.5872350686805</v>
      </c>
      <c r="J22" s="8">
        <v>5464.388945140092</v>
      </c>
    </row>
    <row r="23">
      <c r="A23" s="29" t="str">
        <f t="array" ref="A23:J33">'Income Build'!A99:J109</f>
        <v>Expenses</v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3" t="s">
        <v>55</v>
      </c>
      <c r="B24" s="3"/>
      <c r="C24" s="3">
        <v>240.7</v>
      </c>
      <c r="D24" s="3">
        <v>1497.0</v>
      </c>
      <c r="E24" s="3">
        <v>894.7</v>
      </c>
      <c r="F24" s="3">
        <v>1059.3673228821153</v>
      </c>
      <c r="G24" s="3">
        <v>1299.6669533909246</v>
      </c>
      <c r="H24" s="3">
        <v>1555.5957286764503</v>
      </c>
      <c r="I24" s="3">
        <v>1961.3642557809062</v>
      </c>
      <c r="J24" s="3">
        <v>2458.9750253130414</v>
      </c>
    </row>
    <row r="25">
      <c r="A25" s="3" t="s">
        <v>56</v>
      </c>
      <c r="B25" s="3"/>
      <c r="C25" s="39">
        <v>0.9631852741096438</v>
      </c>
      <c r="D25" s="39">
        <v>1.795179278090898</v>
      </c>
      <c r="E25" s="39">
        <v>0.6358467770591999</v>
      </c>
      <c r="F25" s="39">
        <v>0.55</v>
      </c>
      <c r="G25" s="39">
        <v>0.5</v>
      </c>
      <c r="H25" s="39">
        <v>0.45</v>
      </c>
      <c r="I25" s="39">
        <v>0.45</v>
      </c>
      <c r="J25" s="39">
        <v>0.45</v>
      </c>
    </row>
    <row r="26">
      <c r="A26" s="3" t="s">
        <v>57</v>
      </c>
      <c r="B26" s="3"/>
      <c r="C26" s="3"/>
      <c r="D26" s="3">
        <v>113.9</v>
      </c>
      <c r="E26" s="3">
        <v>256.9</v>
      </c>
      <c r="F26" s="3">
        <v>307.3717780666247</v>
      </c>
      <c r="G26" s="3">
        <v>207.94671254254794</v>
      </c>
      <c r="H26" s="3">
        <v>172.84396985293893</v>
      </c>
      <c r="I26" s="3">
        <v>217.92936175343402</v>
      </c>
      <c r="J26" s="3">
        <v>273.2194472570046</v>
      </c>
    </row>
    <row r="27">
      <c r="A27" s="3" t="s">
        <v>56</v>
      </c>
      <c r="B27" s="3"/>
      <c r="C27" s="3"/>
      <c r="D27" s="39">
        <v>0.13658712075788462</v>
      </c>
      <c r="E27" s="39">
        <v>0.18257408855092033</v>
      </c>
      <c r="F27" s="39">
        <v>0.12</v>
      </c>
      <c r="G27" s="39">
        <v>0.08</v>
      </c>
      <c r="H27" s="39">
        <v>0.05</v>
      </c>
      <c r="I27" s="39">
        <v>0.05</v>
      </c>
      <c r="J27" s="39">
        <v>0.05</v>
      </c>
    </row>
    <row r="28">
      <c r="A28" s="3" t="s">
        <v>58</v>
      </c>
      <c r="B28" s="3"/>
      <c r="C28" s="3">
        <v>67.8</v>
      </c>
      <c r="D28" s="3">
        <v>140.3</v>
      </c>
      <c r="E28" s="3">
        <v>220.6</v>
      </c>
      <c r="F28" s="3">
        <v>269.65713673362933</v>
      </c>
      <c r="G28" s="3">
        <v>337.9134078816404</v>
      </c>
      <c r="H28" s="3">
        <v>449.3943216176412</v>
      </c>
      <c r="I28" s="3">
        <v>566.6163405589285</v>
      </c>
      <c r="J28" s="3">
        <v>710.370562868212</v>
      </c>
    </row>
    <row r="29">
      <c r="A29" s="3" t="s">
        <v>56</v>
      </c>
      <c r="B29" s="3"/>
      <c r="C29" s="3"/>
      <c r="D29" s="39">
        <v>0.1682455929967622</v>
      </c>
      <c r="E29" s="39">
        <v>0.156776348518229</v>
      </c>
      <c r="F29" s="39">
        <v>0.14</v>
      </c>
      <c r="G29" s="39">
        <v>0.13</v>
      </c>
      <c r="H29" s="39">
        <v>0.13</v>
      </c>
      <c r="I29" s="39">
        <v>0.13</v>
      </c>
      <c r="J29" s="39">
        <v>0.13</v>
      </c>
    </row>
    <row r="30">
      <c r="A30" s="29" t="s">
        <v>59</v>
      </c>
      <c r="B30" s="3"/>
      <c r="C30" s="3">
        <v>308.5</v>
      </c>
      <c r="D30" s="3">
        <v>1751.2</v>
      </c>
      <c r="E30" s="3">
        <v>1372.1999999999998</v>
      </c>
      <c r="F30" s="3">
        <v>1636.3962376823695</v>
      </c>
      <c r="G30" s="3">
        <v>1845.527073815113</v>
      </c>
      <c r="H30" s="3">
        <v>2177.8340201470305</v>
      </c>
      <c r="I30" s="3">
        <v>2745.909958093269</v>
      </c>
      <c r="J30" s="3">
        <v>3442.565035438258</v>
      </c>
    </row>
    <row r="31">
      <c r="A31" s="3" t="s">
        <v>56</v>
      </c>
      <c r="B31" s="10"/>
      <c r="C31" s="10">
        <v>1.2344937975190076</v>
      </c>
      <c r="D31" s="10">
        <v>2.1000119918455447</v>
      </c>
      <c r="E31" s="10">
        <v>0.975197214128349</v>
      </c>
      <c r="F31" s="10">
        <v>0.8495806046544027</v>
      </c>
      <c r="G31" s="10">
        <v>0.71</v>
      </c>
      <c r="H31" s="10">
        <v>0.63</v>
      </c>
      <c r="I31" s="10">
        <v>0.63</v>
      </c>
      <c r="J31" s="10">
        <v>0.63</v>
      </c>
    </row>
    <row r="32">
      <c r="A32" s="29" t="s">
        <v>60</v>
      </c>
      <c r="B32" s="3"/>
      <c r="C32" s="3">
        <v>-58.599999999999994</v>
      </c>
      <c r="D32" s="3">
        <v>-917.3</v>
      </c>
      <c r="E32" s="3">
        <v>34.90000000000009</v>
      </c>
      <c r="F32" s="8">
        <v>289.72616755784</v>
      </c>
      <c r="G32" s="8">
        <v>753.8068329667362</v>
      </c>
      <c r="H32" s="8">
        <v>1279.045376911748</v>
      </c>
      <c r="I32" s="8">
        <v>1612.6772769754116</v>
      </c>
      <c r="J32" s="8">
        <v>2021.823909701834</v>
      </c>
    </row>
    <row r="33">
      <c r="A33" s="29" t="s">
        <v>61</v>
      </c>
      <c r="B33" s="3">
        <v>0.0</v>
      </c>
      <c r="C33" s="3">
        <v>-47.52459999999999</v>
      </c>
      <c r="D33" s="3">
        <v>-743.9302999999999</v>
      </c>
      <c r="E33" s="3">
        <v>28.303900000000073</v>
      </c>
      <c r="F33" s="3">
        <v>234.9679218894082</v>
      </c>
      <c r="G33" s="3">
        <v>611.337341536023</v>
      </c>
      <c r="H33" s="3">
        <v>1037.3058006754275</v>
      </c>
      <c r="I33" s="3">
        <v>1307.8812716270586</v>
      </c>
      <c r="J33" s="3">
        <v>1639.6991907681872</v>
      </c>
    </row>
    <row r="34">
      <c r="A34" s="3" t="str">
        <f t="array" ref="A34:J39">'Income Build'!A112:J117</f>
        <v>+D&amp;A</v>
      </c>
      <c r="B34" s="3"/>
      <c r="C34" s="3">
        <v>1.46</v>
      </c>
      <c r="D34" s="3">
        <v>4.2250000000000005</v>
      </c>
      <c r="E34" s="3">
        <v>6.691000000000001</v>
      </c>
      <c r="F34" s="41">
        <v>10.056966851755735</v>
      </c>
      <c r="G34" s="41">
        <v>13.572042392544445</v>
      </c>
      <c r="H34" s="41">
        <v>18.04959093573381</v>
      </c>
      <c r="I34" s="41">
        <v>22.757726728226697</v>
      </c>
      <c r="J34" s="41">
        <v>28.531508868212796</v>
      </c>
    </row>
    <row r="35">
      <c r="A35" s="3" t="s">
        <v>64</v>
      </c>
      <c r="B35" s="3"/>
      <c r="C35" s="10">
        <v>0.005842336934773909</v>
      </c>
      <c r="D35" s="10">
        <v>0.005066554742774913</v>
      </c>
      <c r="E35" s="10">
        <v>0.0047551702082296934</v>
      </c>
      <c r="F35" s="10">
        <v>0.005221353961926172</v>
      </c>
      <c r="G35" s="10">
        <v>0.005221353961926172</v>
      </c>
      <c r="H35" s="10">
        <v>0.005221353961926172</v>
      </c>
      <c r="I35" s="10">
        <v>0.005221353961926172</v>
      </c>
      <c r="J35" s="10">
        <v>0.005221353961926172</v>
      </c>
    </row>
    <row r="36">
      <c r="A36" s="3" t="s">
        <v>65</v>
      </c>
      <c r="B36" s="3"/>
      <c r="C36" s="3">
        <v>0.652</v>
      </c>
      <c r="D36" s="3">
        <v>5.261</v>
      </c>
      <c r="E36" s="3">
        <v>65.539</v>
      </c>
      <c r="F36" s="41">
        <v>35.6302541247369</v>
      </c>
      <c r="G36" s="41">
        <v>48.0836147285937</v>
      </c>
      <c r="H36" s="41">
        <v>63.946866025064956</v>
      </c>
      <c r="I36" s="41">
        <v>80.62705173244899</v>
      </c>
      <c r="J36" s="41">
        <v>101.08265509089671</v>
      </c>
    </row>
    <row r="37">
      <c r="A37" s="3" t="s">
        <v>64</v>
      </c>
      <c r="B37" s="3"/>
      <c r="C37" s="10">
        <v>0.0026090436174469787</v>
      </c>
      <c r="D37" s="10">
        <v>0.006308909941239956</v>
      </c>
      <c r="E37" s="10">
        <v>0.0465773576860209</v>
      </c>
      <c r="F37" s="10">
        <v>0.01849843708156928</v>
      </c>
      <c r="G37" s="10">
        <v>0.01849843708156928</v>
      </c>
      <c r="H37" s="10">
        <v>0.01849843708156928</v>
      </c>
      <c r="I37" s="10">
        <v>0.01849843708156928</v>
      </c>
      <c r="J37" s="10">
        <v>0.01849843708156928</v>
      </c>
    </row>
    <row r="38">
      <c r="A38" s="3" t="s">
        <v>66</v>
      </c>
      <c r="B38" s="3"/>
      <c r="C38" s="3"/>
      <c r="D38" s="3">
        <v>-205.242</v>
      </c>
      <c r="E38" s="3">
        <v>53.400999999999954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</row>
    <row r="39">
      <c r="A39" s="3" t="s">
        <v>67</v>
      </c>
      <c r="B39" s="3"/>
      <c r="C39" s="3">
        <v>-46.71659999999999</v>
      </c>
      <c r="D39" s="3">
        <v>-950.2082999999998</v>
      </c>
      <c r="E39" s="3">
        <v>22.856900000000024</v>
      </c>
      <c r="F39" s="41">
        <v>209.39463461642703</v>
      </c>
      <c r="G39" s="41">
        <v>576.8257691999737</v>
      </c>
      <c r="H39" s="41">
        <v>991.4085255860962</v>
      </c>
      <c r="I39" s="41">
        <v>1250.0119466228364</v>
      </c>
      <c r="J39" s="41">
        <v>1567.1480445455034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2.75"/>
    <col customWidth="1" min="3" max="3" width="93.13"/>
  </cols>
  <sheetData>
    <row r="2">
      <c r="A2" s="2" t="s">
        <v>82</v>
      </c>
      <c r="B2" s="2" t="s">
        <v>83</v>
      </c>
      <c r="C2" s="2" t="s">
        <v>84</v>
      </c>
      <c r="E2" s="2" t="s">
        <v>85</v>
      </c>
    </row>
    <row r="3">
      <c r="A3" s="42" t="s">
        <v>86</v>
      </c>
      <c r="B3" s="2"/>
    </row>
    <row r="4">
      <c r="A4" s="43" t="s">
        <v>87</v>
      </c>
      <c r="B4" s="44" t="s">
        <v>88</v>
      </c>
      <c r="C4" s="44"/>
      <c r="E4" s="45" t="s">
        <v>89</v>
      </c>
    </row>
    <row r="5">
      <c r="A5" s="18" t="s">
        <v>90</v>
      </c>
      <c r="B5" s="2" t="s">
        <v>91</v>
      </c>
      <c r="C5" s="2" t="s">
        <v>92</v>
      </c>
    </row>
    <row r="6">
      <c r="A6" s="18" t="s">
        <v>93</v>
      </c>
      <c r="B6" s="2" t="s">
        <v>94</v>
      </c>
      <c r="C6" s="2" t="s">
        <v>95</v>
      </c>
    </row>
    <row r="7">
      <c r="A7" s="18" t="s">
        <v>96</v>
      </c>
      <c r="B7" s="2" t="s">
        <v>97</v>
      </c>
      <c r="C7" s="2" t="s">
        <v>98</v>
      </c>
    </row>
    <row r="8">
      <c r="A8" s="2" t="s">
        <v>99</v>
      </c>
      <c r="B8" s="2" t="s">
        <v>100</v>
      </c>
      <c r="C8" s="2" t="s">
        <v>101</v>
      </c>
    </row>
    <row r="9">
      <c r="A9" s="2" t="s">
        <v>102</v>
      </c>
      <c r="B9" s="2" t="s">
        <v>103</v>
      </c>
      <c r="C9" s="2" t="s">
        <v>92</v>
      </c>
    </row>
    <row r="10">
      <c r="A10" s="2" t="s">
        <v>104</v>
      </c>
      <c r="B10" s="2" t="s">
        <v>105</v>
      </c>
      <c r="C10" s="2" t="s">
        <v>101</v>
      </c>
    </row>
    <row r="11">
      <c r="A11" s="2" t="s">
        <v>106</v>
      </c>
      <c r="B11" s="2" t="s">
        <v>107</v>
      </c>
      <c r="C11" s="2" t="s">
        <v>108</v>
      </c>
    </row>
    <row r="12">
      <c r="A12" s="2" t="s">
        <v>109</v>
      </c>
      <c r="B12" s="2" t="s">
        <v>110</v>
      </c>
      <c r="C12" s="2" t="s">
        <v>101</v>
      </c>
    </row>
    <row r="13">
      <c r="A13" s="2" t="s">
        <v>111</v>
      </c>
      <c r="B13" s="2" t="s">
        <v>112</v>
      </c>
      <c r="C13" s="2" t="s">
        <v>113</v>
      </c>
    </row>
    <row r="14">
      <c r="A14" s="2" t="s">
        <v>114</v>
      </c>
      <c r="B14" s="2" t="s">
        <v>115</v>
      </c>
      <c r="C14" s="2" t="s">
        <v>101</v>
      </c>
    </row>
    <row r="15">
      <c r="A15" s="44" t="s">
        <v>116</v>
      </c>
      <c r="B15" s="44" t="s">
        <v>117</v>
      </c>
      <c r="C15" s="44"/>
    </row>
    <row r="16">
      <c r="A16" s="2" t="s">
        <v>118</v>
      </c>
      <c r="B16" s="2" t="s">
        <v>119</v>
      </c>
      <c r="C16" s="2" t="s">
        <v>120</v>
      </c>
      <c r="E16" s="2" t="s">
        <v>121</v>
      </c>
    </row>
    <row r="17">
      <c r="A17" s="2" t="s">
        <v>122</v>
      </c>
      <c r="B17" s="46">
        <v>0.02</v>
      </c>
      <c r="C17" s="2" t="s">
        <v>123</v>
      </c>
    </row>
    <row r="18">
      <c r="A18" s="2" t="s">
        <v>124</v>
      </c>
      <c r="B18" s="2" t="s">
        <v>125</v>
      </c>
      <c r="C18" s="2" t="s">
        <v>126</v>
      </c>
      <c r="E18" s="45" t="s">
        <v>127</v>
      </c>
    </row>
    <row r="19">
      <c r="A19" s="2" t="s">
        <v>128</v>
      </c>
      <c r="B19" s="46">
        <v>0.02</v>
      </c>
      <c r="C19" s="2" t="s">
        <v>123</v>
      </c>
    </row>
    <row r="20">
      <c r="A20" s="2" t="s">
        <v>129</v>
      </c>
      <c r="B20" s="2" t="s">
        <v>130</v>
      </c>
      <c r="C20" s="2" t="s">
        <v>131</v>
      </c>
      <c r="E20" s="45" t="s">
        <v>132</v>
      </c>
    </row>
    <row r="21">
      <c r="A21" s="2" t="s">
        <v>133</v>
      </c>
      <c r="B21" s="2" t="s">
        <v>134</v>
      </c>
      <c r="C21" s="2" t="s">
        <v>123</v>
      </c>
    </row>
    <row r="22">
      <c r="A22" s="44" t="s">
        <v>135</v>
      </c>
      <c r="B22" s="44" t="s">
        <v>136</v>
      </c>
      <c r="C22" s="44"/>
    </row>
    <row r="23">
      <c r="A23" s="2" t="s">
        <v>137</v>
      </c>
      <c r="B23" s="2" t="s">
        <v>136</v>
      </c>
      <c r="C23" s="2" t="s">
        <v>138</v>
      </c>
    </row>
    <row r="25">
      <c r="A25" s="2" t="s">
        <v>139</v>
      </c>
      <c r="B25" s="2" t="s">
        <v>140</v>
      </c>
      <c r="C25" s="2" t="s">
        <v>84</v>
      </c>
    </row>
    <row r="26">
      <c r="A26" s="47" t="s">
        <v>54</v>
      </c>
    </row>
    <row r="27">
      <c r="A27" s="47" t="s">
        <v>55</v>
      </c>
    </row>
    <row r="28">
      <c r="A28" s="47" t="s">
        <v>57</v>
      </c>
    </row>
    <row r="29">
      <c r="A29" s="48" t="s">
        <v>58</v>
      </c>
    </row>
    <row r="30">
      <c r="A30" s="47"/>
    </row>
  </sheetData>
  <hyperlinks>
    <hyperlink r:id="rId1" location=":~:text=Preqin%20is%20currently%20tracking%20565,Group%2C%20and%20Redwood%20Capital%20Management." ref="E4"/>
    <hyperlink r:id="rId2" ref="E18"/>
    <hyperlink r:id="rId3" ref="E20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0.5"/>
    <col customWidth="1" min="3" max="3" width="53.13"/>
  </cols>
  <sheetData>
    <row r="1">
      <c r="A1" s="2" t="s">
        <v>139</v>
      </c>
      <c r="B1" s="2" t="s">
        <v>141</v>
      </c>
      <c r="C1" s="2" t="s">
        <v>84</v>
      </c>
    </row>
    <row r="2">
      <c r="A2" s="49" t="s">
        <v>54</v>
      </c>
    </row>
    <row r="3">
      <c r="A3" s="47" t="s">
        <v>55</v>
      </c>
      <c r="B3" s="2" t="s">
        <v>142</v>
      </c>
      <c r="C3" s="50" t="s">
        <v>143</v>
      </c>
    </row>
    <row r="4">
      <c r="A4" s="47" t="s">
        <v>57</v>
      </c>
      <c r="B4" s="2" t="s">
        <v>144</v>
      </c>
      <c r="C4" s="50" t="s">
        <v>145</v>
      </c>
    </row>
    <row r="5">
      <c r="A5" s="48" t="s">
        <v>58</v>
      </c>
      <c r="B5" s="2" t="s">
        <v>146</v>
      </c>
      <c r="C5" s="50" t="s">
        <v>143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147</v>
      </c>
    </row>
    <row r="3"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  <c r="G3" s="2" t="s">
        <v>153</v>
      </c>
      <c r="H3" s="2" t="s">
        <v>154</v>
      </c>
      <c r="I3" s="2" t="s">
        <v>155</v>
      </c>
      <c r="J3" s="2" t="s">
        <v>156</v>
      </c>
    </row>
    <row r="4">
      <c r="A4" s="2" t="s">
        <v>157</v>
      </c>
      <c r="B4" s="2">
        <v>605.0</v>
      </c>
      <c r="C4" s="2">
        <v>830.0</v>
      </c>
      <c r="D4" s="2">
        <v>980.0</v>
      </c>
      <c r="E4" s="2">
        <v>600.0</v>
      </c>
      <c r="F4" s="2">
        <v>590.0</v>
      </c>
      <c r="G4" s="2">
        <v>420.0</v>
      </c>
      <c r="H4" s="2">
        <v>500.0</v>
      </c>
      <c r="I4" s="2">
        <v>390.0</v>
      </c>
      <c r="J4" s="2">
        <v>280.0</v>
      </c>
    </row>
    <row r="5">
      <c r="A5" s="2" t="s">
        <v>158</v>
      </c>
      <c r="B5" s="2">
        <v>3.0</v>
      </c>
      <c r="C5" s="2">
        <v>2.8</v>
      </c>
      <c r="D5" s="2">
        <v>4.8</v>
      </c>
      <c r="E5" s="2">
        <v>3.2</v>
      </c>
      <c r="F5" s="2">
        <v>4.6</v>
      </c>
      <c r="G5" s="2">
        <v>4.0</v>
      </c>
      <c r="H5" s="2">
        <v>2.35</v>
      </c>
      <c r="I5" s="2">
        <v>1.2</v>
      </c>
      <c r="J5" s="2">
        <v>1.6</v>
      </c>
    </row>
    <row r="6">
      <c r="A6" s="2" t="s">
        <v>158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8.38"/>
    <col customWidth="1" min="5" max="5" width="32.13"/>
  </cols>
  <sheetData>
    <row r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2"/>
      <c r="B2" s="53"/>
      <c r="C2" s="54"/>
      <c r="D2" s="54"/>
      <c r="E2" s="52"/>
      <c r="F2" s="54"/>
      <c r="G2" s="54"/>
      <c r="H2" s="54"/>
      <c r="I2" s="54"/>
      <c r="J2" s="54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2"/>
      <c r="B3" s="54"/>
      <c r="C3" s="54"/>
      <c r="D3" s="54"/>
      <c r="E3" s="54"/>
      <c r="F3" s="55">
        <v>1.0</v>
      </c>
      <c r="G3" s="55">
        <v>2.0</v>
      </c>
      <c r="H3" s="55">
        <v>3.0</v>
      </c>
      <c r="I3" s="55">
        <v>4.0</v>
      </c>
      <c r="J3" s="55">
        <v>5.0</v>
      </c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2"/>
      <c r="B4" s="56" t="s">
        <v>1</v>
      </c>
      <c r="D4" s="54"/>
      <c r="E4" s="57" t="s">
        <v>159</v>
      </c>
      <c r="F4" s="56" t="s">
        <v>160</v>
      </c>
      <c r="G4" s="56" t="s">
        <v>161</v>
      </c>
      <c r="H4" s="56" t="s">
        <v>162</v>
      </c>
      <c r="I4" s="56" t="s">
        <v>163</v>
      </c>
      <c r="J4" s="56" t="s">
        <v>164</v>
      </c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2"/>
      <c r="B5" s="58" t="s">
        <v>165</v>
      </c>
      <c r="C5" s="59">
        <v>0.11008</v>
      </c>
      <c r="D5" s="54"/>
      <c r="E5" s="53" t="s">
        <v>60</v>
      </c>
      <c r="F5" s="60">
        <f>'Income Build'!F108</f>
        <v>289.7261676</v>
      </c>
      <c r="G5" s="60">
        <f>'Income Build'!G108</f>
        <v>753.806833</v>
      </c>
      <c r="H5" s="60">
        <f>'Income Build'!H108</f>
        <v>1279.045377</v>
      </c>
      <c r="I5" s="60">
        <f>'Income Build'!I108</f>
        <v>1612.677277</v>
      </c>
      <c r="J5" s="60">
        <f>'Income Build'!J108</f>
        <v>2021.82391</v>
      </c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2"/>
      <c r="B6" s="58" t="s">
        <v>166</v>
      </c>
      <c r="C6" s="61">
        <v>0.21</v>
      </c>
      <c r="D6" s="54"/>
      <c r="E6" s="62" t="s">
        <v>167</v>
      </c>
      <c r="F6" s="60">
        <f t="shared" ref="F6:J6" si="1">F5*(0.189)</f>
        <v>54.75824567</v>
      </c>
      <c r="G6" s="60">
        <f t="shared" si="1"/>
        <v>142.4694914</v>
      </c>
      <c r="H6" s="60">
        <f t="shared" si="1"/>
        <v>241.7395762</v>
      </c>
      <c r="I6" s="60">
        <f t="shared" si="1"/>
        <v>304.7960053</v>
      </c>
      <c r="J6" s="60">
        <f t="shared" si="1"/>
        <v>382.1247189</v>
      </c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52"/>
      <c r="B7" s="58" t="s">
        <v>168</v>
      </c>
      <c r="C7" s="61">
        <v>0.02</v>
      </c>
      <c r="D7" s="54"/>
      <c r="E7" s="54"/>
      <c r="F7" s="54"/>
      <c r="G7" s="54"/>
      <c r="H7" s="54"/>
      <c r="I7" s="54"/>
      <c r="J7" s="54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52"/>
      <c r="B8" s="54"/>
      <c r="C8" s="54"/>
      <c r="D8" s="54"/>
      <c r="E8" s="53" t="s">
        <v>61</v>
      </c>
      <c r="F8" s="63">
        <f t="shared" ref="F8:J8" si="2">F5-F6</f>
        <v>234.9679219</v>
      </c>
      <c r="G8" s="63">
        <f t="shared" si="2"/>
        <v>611.3373415</v>
      </c>
      <c r="H8" s="63">
        <f t="shared" si="2"/>
        <v>1037.305801</v>
      </c>
      <c r="I8" s="63">
        <f t="shared" si="2"/>
        <v>1307.881272</v>
      </c>
      <c r="J8" s="63">
        <f t="shared" si="2"/>
        <v>1639.699191</v>
      </c>
      <c r="K8" s="60" t="str">
        <f>'Income Build'!K108</f>
        <v/>
      </c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52"/>
      <c r="B9" s="56" t="s">
        <v>169</v>
      </c>
      <c r="D9" s="54"/>
      <c r="E9" s="62" t="s">
        <v>170</v>
      </c>
      <c r="F9" s="63">
        <f>'Income Build'!F112</f>
        <v>10.05696685</v>
      </c>
      <c r="G9" s="63">
        <f>'Income Build'!G112</f>
        <v>13.57204239</v>
      </c>
      <c r="H9" s="63">
        <f>'Income Build'!H112</f>
        <v>18.04959094</v>
      </c>
      <c r="I9" s="63">
        <f>'Income Build'!I112</f>
        <v>22.75772673</v>
      </c>
      <c r="J9" s="63">
        <f>'Income Build'!J112</f>
        <v>28.53150887</v>
      </c>
      <c r="K9" s="60" t="str">
        <f>'Income Build'!K109</f>
        <v/>
      </c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52"/>
      <c r="B10" s="58" t="s">
        <v>171</v>
      </c>
      <c r="C10" s="63">
        <f>J16</f>
        <v>929.6910162</v>
      </c>
      <c r="D10" s="54"/>
      <c r="E10" s="62" t="s">
        <v>172</v>
      </c>
      <c r="F10" s="63">
        <f>'Income Build'!F116</f>
        <v>0</v>
      </c>
      <c r="G10" s="63">
        <f>'Income Build'!G116</f>
        <v>0</v>
      </c>
      <c r="H10" s="63">
        <f>'Income Build'!H116</f>
        <v>0</v>
      </c>
      <c r="I10" s="63">
        <f>'Income Build'!I116</f>
        <v>0</v>
      </c>
      <c r="J10" s="63">
        <f>'Income Build'!J116</f>
        <v>0</v>
      </c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52"/>
      <c r="B11" s="58" t="s">
        <v>165</v>
      </c>
      <c r="C11" s="61">
        <f>C5</f>
        <v>0.11008</v>
      </c>
      <c r="D11" s="54"/>
      <c r="E11" s="62" t="s">
        <v>173</v>
      </c>
      <c r="F11" s="63">
        <f>'Income Build'!F114*-1</f>
        <v>-35.63025412</v>
      </c>
      <c r="G11" s="63">
        <f>'Income Build'!G114*-1</f>
        <v>-48.08361473</v>
      </c>
      <c r="H11" s="63">
        <f>'Income Build'!H114*-1</f>
        <v>-63.94686603</v>
      </c>
      <c r="I11" s="63">
        <f>'Income Build'!I114*-1</f>
        <v>-80.62705173</v>
      </c>
      <c r="J11" s="63">
        <f>'Income Build'!J114*-1</f>
        <v>-101.0826551</v>
      </c>
      <c r="K11" s="63" t="str">
        <f>'Income Build'!K109</f>
        <v/>
      </c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52"/>
      <c r="B12" s="58" t="s">
        <v>168</v>
      </c>
      <c r="C12" s="61">
        <v>0.02</v>
      </c>
      <c r="D12" s="54"/>
      <c r="E12" s="54"/>
      <c r="F12" s="54"/>
      <c r="G12" s="54"/>
      <c r="H12" s="54"/>
      <c r="I12" s="54"/>
      <c r="J12" s="54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52"/>
      <c r="B13" s="58" t="s">
        <v>174</v>
      </c>
      <c r="C13" s="63">
        <f>C10*(1+C12)/(C11-C12)</f>
        <v>10527.14073</v>
      </c>
      <c r="D13" s="54"/>
      <c r="E13" s="53" t="s">
        <v>175</v>
      </c>
      <c r="F13" s="63">
        <f t="shared" ref="F13:J13" si="3">sum(F8:F11)</f>
        <v>209.3946346</v>
      </c>
      <c r="G13" s="63">
        <f t="shared" si="3"/>
        <v>576.8257692</v>
      </c>
      <c r="H13" s="63">
        <f t="shared" si="3"/>
        <v>991.4085256</v>
      </c>
      <c r="I13" s="63">
        <f t="shared" si="3"/>
        <v>1250.011947</v>
      </c>
      <c r="J13" s="63">
        <f t="shared" si="3"/>
        <v>1567.148045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52"/>
      <c r="B14" s="54"/>
      <c r="C14" s="54"/>
      <c r="D14" s="54"/>
      <c r="E14" s="62" t="s">
        <v>176</v>
      </c>
      <c r="F14" s="61">
        <f t="shared" ref="F14:J14" si="4">(1+$C$5)^-F3</f>
        <v>0.9008359758</v>
      </c>
      <c r="G14" s="61">
        <f t="shared" si="4"/>
        <v>0.8115054553</v>
      </c>
      <c r="H14" s="61">
        <f t="shared" si="4"/>
        <v>0.7310333087</v>
      </c>
      <c r="I14" s="61">
        <f t="shared" si="4"/>
        <v>0.6585411039</v>
      </c>
      <c r="J14" s="61">
        <f t="shared" si="4"/>
        <v>0.593237518</v>
      </c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52"/>
      <c r="B15" s="56" t="s">
        <v>177</v>
      </c>
      <c r="D15" s="54"/>
      <c r="E15" s="54"/>
      <c r="F15" s="54"/>
      <c r="G15" s="54"/>
      <c r="H15" s="54"/>
      <c r="I15" s="54"/>
      <c r="J15" s="54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2"/>
      <c r="B16" s="58" t="s">
        <v>178</v>
      </c>
      <c r="C16" s="64">
        <f t="shared" ref="C16:C18" si="6">C39/1000</f>
        <v>1754.969</v>
      </c>
      <c r="D16" s="54"/>
      <c r="E16" s="65" t="s">
        <v>179</v>
      </c>
      <c r="F16" s="66">
        <f t="shared" ref="F16:J16" si="5">F13*F14</f>
        <v>188.63022</v>
      </c>
      <c r="G16" s="66">
        <f t="shared" si="5"/>
        <v>468.0972584</v>
      </c>
      <c r="H16" s="66">
        <f t="shared" si="5"/>
        <v>724.7526547</v>
      </c>
      <c r="I16" s="66">
        <f t="shared" si="5"/>
        <v>823.1842473</v>
      </c>
      <c r="J16" s="67">
        <f t="shared" si="5"/>
        <v>929.6910162</v>
      </c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52"/>
      <c r="B17" s="58" t="s">
        <v>180</v>
      </c>
      <c r="C17" s="64">
        <f t="shared" si="6"/>
        <v>41.321</v>
      </c>
      <c r="D17" s="54"/>
      <c r="E17" s="68" t="s">
        <v>181</v>
      </c>
      <c r="F17" s="69"/>
      <c r="G17" s="70"/>
      <c r="H17" s="70"/>
      <c r="I17" s="70"/>
      <c r="J17" s="71">
        <f>C13*J14</f>
        <v>6245.094835</v>
      </c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52"/>
      <c r="B18" s="58" t="s">
        <v>182</v>
      </c>
      <c r="C18" s="64">
        <f t="shared" si="6"/>
        <v>3800.075</v>
      </c>
      <c r="D18" s="54"/>
      <c r="E18" s="72"/>
      <c r="F18" s="70"/>
      <c r="G18" s="70"/>
      <c r="H18" s="70"/>
      <c r="I18" s="70"/>
      <c r="J18" s="73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2"/>
      <c r="B19" s="58" t="s">
        <v>183</v>
      </c>
      <c r="C19" s="74">
        <v>454.557</v>
      </c>
      <c r="D19" s="54"/>
      <c r="E19" s="68" t="s">
        <v>184</v>
      </c>
      <c r="F19" s="75">
        <f>sum(F16:J17)</f>
        <v>9379.450232</v>
      </c>
      <c r="G19" s="70"/>
      <c r="H19" s="70"/>
      <c r="I19" s="70"/>
      <c r="J19" s="73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52"/>
      <c r="B20" s="54"/>
      <c r="D20" s="54"/>
      <c r="E20" s="76"/>
      <c r="F20" s="77"/>
      <c r="G20" s="77"/>
      <c r="H20" s="77"/>
      <c r="I20" s="77"/>
      <c r="J20" s="77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52"/>
      <c r="D21" s="58"/>
      <c r="E21" s="65" t="s">
        <v>185</v>
      </c>
      <c r="F21" s="67">
        <f>C16-C17</f>
        <v>1713.648</v>
      </c>
      <c r="G21" s="78"/>
      <c r="H21" s="78"/>
      <c r="I21" s="78"/>
      <c r="J21" s="78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52"/>
      <c r="D22" s="52"/>
      <c r="E22" s="68" t="s">
        <v>186</v>
      </c>
      <c r="F22" s="79">
        <f>F19-F21</f>
        <v>7665.802232</v>
      </c>
      <c r="G22" s="80"/>
      <c r="H22" s="80"/>
      <c r="I22" s="80"/>
      <c r="J22" s="78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52"/>
      <c r="D23" s="52"/>
      <c r="E23" s="81" t="s">
        <v>187</v>
      </c>
      <c r="F23" s="82">
        <f>F22/C19</f>
        <v>16.86433656</v>
      </c>
      <c r="G23" s="80"/>
      <c r="H23" s="80"/>
      <c r="I23" s="80"/>
      <c r="J23" s="80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52"/>
      <c r="D24" s="52"/>
      <c r="E24" s="83"/>
      <c r="F24" s="78"/>
      <c r="G24" s="80"/>
      <c r="H24" s="80"/>
      <c r="I24" s="80"/>
      <c r="J24" s="80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52"/>
      <c r="D25" s="58"/>
      <c r="E25" s="54"/>
      <c r="F25" s="54"/>
      <c r="G25" s="54"/>
      <c r="H25" s="54"/>
      <c r="I25" s="54"/>
      <c r="J25" s="54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52"/>
      <c r="D26" s="52"/>
      <c r="E26" s="54"/>
      <c r="F26" s="54"/>
      <c r="G26" s="54"/>
      <c r="H26" s="54"/>
      <c r="I26" s="54"/>
      <c r="J26" s="54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52"/>
      <c r="B27" s="52"/>
      <c r="C27" s="84"/>
      <c r="D27" s="85"/>
      <c r="E27" s="54"/>
      <c r="F27" s="54"/>
      <c r="G27" s="54"/>
      <c r="H27" s="54"/>
      <c r="I27" s="54"/>
      <c r="J27" s="54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52"/>
      <c r="B28" s="58"/>
      <c r="C28" s="86"/>
      <c r="D28" s="87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52"/>
      <c r="B38" s="52"/>
      <c r="C38" s="88" t="s">
        <v>188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52"/>
      <c r="B39" s="88" t="s">
        <v>178</v>
      </c>
      <c r="C39" s="88">
        <v>1754969.0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52"/>
      <c r="B40" s="88" t="s">
        <v>189</v>
      </c>
      <c r="C40" s="88">
        <v>41321.0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52"/>
      <c r="B41" s="58" t="s">
        <v>190</v>
      </c>
      <c r="C41" s="58">
        <v>3800075.0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52"/>
      <c r="B42" s="52"/>
      <c r="C42" s="58" t="s">
        <v>191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52"/>
      <c r="B43" s="88" t="s">
        <v>192</v>
      </c>
      <c r="C43" s="89">
        <v>1.430462269E9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mergeCells count="3">
    <mergeCell ref="B4:C4"/>
    <mergeCell ref="B9:C9"/>
    <mergeCell ref="B15:C15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193</v>
      </c>
      <c r="C3" s="90">
        <f>'Income Build'!J117</f>
        <v>1567.148045</v>
      </c>
    </row>
    <row r="4">
      <c r="B4" s="2" t="s">
        <v>194</v>
      </c>
      <c r="C4" s="2">
        <v>0.02</v>
      </c>
    </row>
    <row r="5">
      <c r="B5" s="2" t="s">
        <v>195</v>
      </c>
      <c r="C5" s="3">
        <f>0.11</f>
        <v>0.11</v>
      </c>
    </row>
    <row r="6">
      <c r="B6" s="2" t="s">
        <v>196</v>
      </c>
      <c r="C6" s="3">
        <f>C3*(1+C4)/(C5-C4)</f>
        <v>17761.01117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25"/>
  </cols>
  <sheetData>
    <row r="1">
      <c r="A1" s="2" t="s">
        <v>197</v>
      </c>
      <c r="B1" s="2">
        <v>2019.0</v>
      </c>
      <c r="C1" s="3">
        <f t="shared" ref="C1:I1" si="1">B1+1</f>
        <v>2020</v>
      </c>
      <c r="D1" s="3">
        <f t="shared" si="1"/>
        <v>2021</v>
      </c>
      <c r="E1" s="3">
        <f t="shared" si="1"/>
        <v>2022</v>
      </c>
      <c r="F1" s="3">
        <f t="shared" si="1"/>
        <v>2023</v>
      </c>
      <c r="G1" s="3">
        <f t="shared" si="1"/>
        <v>2024</v>
      </c>
      <c r="H1" s="3">
        <f t="shared" si="1"/>
        <v>2025</v>
      </c>
      <c r="I1" s="3">
        <f t="shared" si="1"/>
        <v>2026</v>
      </c>
    </row>
    <row r="2">
      <c r="A2" s="2" t="s">
        <v>198</v>
      </c>
      <c r="B2" s="2">
        <v>128.2</v>
      </c>
      <c r="C2" s="2">
        <v>149.0</v>
      </c>
      <c r="D2" s="2">
        <v>156.6</v>
      </c>
      <c r="E2" s="2">
        <v>282.0</v>
      </c>
    </row>
    <row r="3">
      <c r="A3" s="2" t="s">
        <v>19</v>
      </c>
    </row>
    <row r="4">
      <c r="A4" s="2" t="s">
        <v>199</v>
      </c>
      <c r="B4" s="2">
        <v>97.8</v>
      </c>
      <c r="C4" s="2">
        <v>129.5</v>
      </c>
      <c r="D4" s="2">
        <v>156.6</v>
      </c>
      <c r="E4" s="2">
        <v>167.0</v>
      </c>
    </row>
    <row r="5">
      <c r="A5" s="2" t="s">
        <v>19</v>
      </c>
    </row>
    <row r="6">
      <c r="A6" s="2" t="s">
        <v>200</v>
      </c>
      <c r="B6" s="2">
        <v>106.5</v>
      </c>
      <c r="C6" s="2">
        <v>116.6</v>
      </c>
      <c r="D6" s="2">
        <v>197.9</v>
      </c>
      <c r="E6" s="2">
        <v>198.2</v>
      </c>
    </row>
    <row r="7">
      <c r="A7" s="2" t="s">
        <v>19</v>
      </c>
    </row>
    <row r="8">
      <c r="A8" s="2" t="s">
        <v>201</v>
      </c>
      <c r="B8" s="2">
        <v>75.6</v>
      </c>
      <c r="C8" s="2">
        <v>74.0</v>
      </c>
      <c r="D8" s="2">
        <v>74.0</v>
      </c>
      <c r="E8" s="2">
        <v>71.2</v>
      </c>
    </row>
    <row r="9">
      <c r="A9" s="2" t="s">
        <v>19</v>
      </c>
    </row>
    <row r="11">
      <c r="A11" s="2" t="s">
        <v>202</v>
      </c>
    </row>
    <row r="15">
      <c r="A15" s="91" t="s">
        <v>203</v>
      </c>
      <c r="K15" s="92"/>
      <c r="L15" s="92"/>
      <c r="M15" s="92"/>
      <c r="N15" s="92"/>
      <c r="O15" s="92"/>
    </row>
    <row r="16">
      <c r="A16" s="93" t="s">
        <v>204</v>
      </c>
      <c r="B16" s="94" t="s">
        <v>205</v>
      </c>
      <c r="C16" s="94" t="s">
        <v>206</v>
      </c>
      <c r="D16" s="94" t="s">
        <v>207</v>
      </c>
      <c r="E16" s="94" t="s">
        <v>208</v>
      </c>
      <c r="F16" s="94" t="s">
        <v>209</v>
      </c>
      <c r="G16" s="94" t="s">
        <v>210</v>
      </c>
      <c r="H16" s="94" t="s">
        <v>184</v>
      </c>
      <c r="I16" s="94" t="s">
        <v>211</v>
      </c>
      <c r="J16" s="94" t="s">
        <v>212</v>
      </c>
      <c r="K16" s="92"/>
      <c r="L16" s="92"/>
      <c r="M16" s="92"/>
      <c r="N16" s="92"/>
      <c r="O16" s="92"/>
    </row>
    <row r="17">
      <c r="A17" s="93" t="s">
        <v>213</v>
      </c>
      <c r="B17" s="93"/>
      <c r="C17" s="95">
        <v>150.0</v>
      </c>
      <c r="D17" s="95">
        <v>1574.422</v>
      </c>
      <c r="E17" s="95">
        <v>466.0</v>
      </c>
      <c r="F17" s="96">
        <v>0.2101</v>
      </c>
      <c r="G17" s="95">
        <v>17.18</v>
      </c>
      <c r="H17" s="97">
        <v>19150.0</v>
      </c>
      <c r="I17" s="95">
        <v>41.09</v>
      </c>
      <c r="J17" s="95">
        <v>12.16</v>
      </c>
      <c r="K17" s="92"/>
      <c r="L17" s="92"/>
      <c r="M17" s="92"/>
      <c r="N17" s="92"/>
      <c r="O17" s="92"/>
    </row>
    <row r="18">
      <c r="A18" s="93" t="s">
        <v>214</v>
      </c>
      <c r="B18" s="93"/>
      <c r="C18" s="95">
        <v>384.8</v>
      </c>
      <c r="D18" s="95">
        <v>2531.6</v>
      </c>
      <c r="E18" s="95">
        <v>1237.0</v>
      </c>
      <c r="F18" s="96">
        <v>-0.081</v>
      </c>
      <c r="G18" s="95">
        <v>9.92</v>
      </c>
      <c r="H18" s="97">
        <v>17820.0</v>
      </c>
      <c r="I18" s="95">
        <v>14.41</v>
      </c>
      <c r="J18" s="95">
        <v>7.04</v>
      </c>
      <c r="K18" s="92"/>
      <c r="L18" s="92"/>
      <c r="M18" s="92"/>
      <c r="N18" s="92"/>
      <c r="O18" s="92"/>
    </row>
    <row r="19">
      <c r="A19" s="93" t="s">
        <v>215</v>
      </c>
      <c r="B19" s="93"/>
      <c r="C19" s="95">
        <v>1001.4</v>
      </c>
      <c r="D19" s="95">
        <v>6257.77</v>
      </c>
      <c r="E19" s="95">
        <v>2707.0</v>
      </c>
      <c r="F19" s="96">
        <v>0.2073</v>
      </c>
      <c r="G19" s="95">
        <v>111.89</v>
      </c>
      <c r="H19" s="93" t="s">
        <v>216</v>
      </c>
      <c r="I19" s="94" t="e">
        <v>#VALUE!</v>
      </c>
      <c r="J19" s="94" t="e">
        <v>#VALUE!</v>
      </c>
      <c r="K19" s="92"/>
      <c r="L19" s="92"/>
      <c r="M19" s="92"/>
      <c r="N19" s="92"/>
      <c r="O19" s="92"/>
    </row>
    <row r="20">
      <c r="A20" s="93" t="s">
        <v>217</v>
      </c>
      <c r="B20" s="93"/>
      <c r="C20" s="95">
        <v>518.5</v>
      </c>
      <c r="D20" s="95">
        <v>11142.68</v>
      </c>
      <c r="E20" s="95">
        <v>616.0</v>
      </c>
      <c r="F20" s="96">
        <v>0.1757</v>
      </c>
      <c r="G20" s="95">
        <v>61.4</v>
      </c>
      <c r="H20" s="97">
        <v>96700.0</v>
      </c>
      <c r="I20" s="95">
        <v>156.98</v>
      </c>
      <c r="J20" s="95">
        <v>8.68</v>
      </c>
      <c r="K20" s="92"/>
      <c r="L20" s="92"/>
      <c r="M20" s="92"/>
      <c r="N20" s="92"/>
      <c r="O20" s="92"/>
    </row>
    <row r="21">
      <c r="A21" s="93" t="s">
        <v>218</v>
      </c>
      <c r="B21" s="93"/>
      <c r="C21" s="95">
        <v>1350.0</v>
      </c>
      <c r="D21" s="95">
        <v>6260.2</v>
      </c>
      <c r="E21" s="95">
        <v>2491.0</v>
      </c>
      <c r="F21" s="96">
        <v>0.0255</v>
      </c>
      <c r="G21" s="95">
        <v>20.96</v>
      </c>
      <c r="H21" s="97">
        <v>19040.0</v>
      </c>
      <c r="I21" s="95">
        <v>7.64</v>
      </c>
      <c r="J21" s="95">
        <v>3.04</v>
      </c>
      <c r="K21" s="92"/>
      <c r="L21" s="92"/>
      <c r="M21" s="92"/>
      <c r="N21" s="92"/>
      <c r="O21" s="92"/>
    </row>
    <row r="22">
      <c r="A22" s="93" t="s">
        <v>219</v>
      </c>
      <c r="B22" s="93"/>
      <c r="C22" s="95">
        <v>9425.212</v>
      </c>
      <c r="D22" s="95">
        <v>17354.0</v>
      </c>
      <c r="E22" s="95">
        <v>6433.0</v>
      </c>
      <c r="F22" s="96">
        <v>-0.1452</v>
      </c>
      <c r="G22" s="95">
        <v>90.63</v>
      </c>
      <c r="H22" s="97">
        <v>93220.0</v>
      </c>
      <c r="I22" s="95">
        <v>14.49</v>
      </c>
      <c r="J22" s="95">
        <v>5.37</v>
      </c>
      <c r="K22" s="92"/>
      <c r="L22" s="92"/>
      <c r="M22" s="92"/>
      <c r="N22" s="92"/>
      <c r="O22" s="92"/>
    </row>
    <row r="23">
      <c r="A23" s="98" t="s">
        <v>220</v>
      </c>
      <c r="B23" s="93"/>
      <c r="C23" s="95">
        <v>143.0</v>
      </c>
      <c r="D23" s="95">
        <v>187.655</v>
      </c>
      <c r="E23" s="95">
        <v>90.0</v>
      </c>
      <c r="F23" s="95">
        <v>12.12</v>
      </c>
      <c r="G23" s="95">
        <v>3.12</v>
      </c>
      <c r="H23" s="97">
        <v>3210.0</v>
      </c>
      <c r="I23" s="95">
        <v>35.55</v>
      </c>
      <c r="J23" s="95">
        <v>17.11</v>
      </c>
      <c r="K23" s="92"/>
      <c r="L23" s="92"/>
      <c r="M23" s="92"/>
      <c r="N23" s="92"/>
      <c r="O23" s="92"/>
    </row>
    <row r="24">
      <c r="A24" s="92"/>
      <c r="B24" s="92"/>
      <c r="C24" s="92"/>
      <c r="D24" s="92"/>
      <c r="E24" s="92"/>
      <c r="F24" s="99"/>
      <c r="G24" s="92"/>
      <c r="H24" s="92"/>
      <c r="I24" s="92"/>
      <c r="J24" s="92"/>
      <c r="K24" s="92"/>
      <c r="L24" s="92"/>
      <c r="M24" s="92"/>
      <c r="N24" s="92"/>
      <c r="O24" s="92"/>
    </row>
    <row r="25">
      <c r="A25" s="92"/>
      <c r="B25" s="92"/>
      <c r="C25" s="100"/>
      <c r="D25" s="100"/>
      <c r="E25" s="100"/>
      <c r="F25" s="100"/>
      <c r="G25" s="100"/>
      <c r="H25" s="101"/>
      <c r="I25" s="101"/>
      <c r="J25" s="100"/>
      <c r="K25" s="100"/>
      <c r="L25" s="102"/>
      <c r="M25" s="102"/>
      <c r="N25" s="92"/>
      <c r="O25" s="92"/>
    </row>
    <row r="26">
      <c r="A26" s="92"/>
      <c r="B26" s="92"/>
      <c r="C26" s="100"/>
      <c r="D26" s="100"/>
      <c r="E26" s="100"/>
      <c r="F26" s="100"/>
      <c r="G26" s="100"/>
      <c r="H26" s="101"/>
      <c r="I26" s="101"/>
      <c r="J26" s="100"/>
      <c r="K26" s="100"/>
      <c r="L26" s="102"/>
      <c r="M26" s="102"/>
      <c r="N26" s="92"/>
      <c r="O26" s="92"/>
    </row>
    <row r="27">
      <c r="A27" s="92"/>
      <c r="B27" s="92"/>
      <c r="C27" s="100"/>
      <c r="D27" s="100"/>
      <c r="E27" s="100"/>
      <c r="F27" s="100"/>
      <c r="G27" s="100"/>
      <c r="H27" s="101"/>
      <c r="I27" s="101"/>
      <c r="J27" s="100"/>
      <c r="K27" s="100"/>
      <c r="L27" s="102"/>
      <c r="M27" s="102"/>
      <c r="N27" s="92"/>
      <c r="O27" s="92"/>
    </row>
    <row r="28">
      <c r="A28" s="92"/>
      <c r="B28" s="92"/>
      <c r="C28" s="100"/>
      <c r="D28" s="100"/>
      <c r="E28" s="100"/>
      <c r="F28" s="100"/>
      <c r="G28" s="100"/>
      <c r="H28" s="101"/>
      <c r="I28" s="101"/>
      <c r="J28" s="100"/>
      <c r="K28" s="100"/>
      <c r="L28" s="102"/>
      <c r="M28" s="102"/>
      <c r="N28" s="92"/>
      <c r="O28" s="92"/>
    </row>
    <row r="29">
      <c r="A29" s="92"/>
      <c r="B29" s="92"/>
      <c r="C29" s="100"/>
      <c r="D29" s="100"/>
      <c r="E29" s="100"/>
      <c r="F29" s="100"/>
      <c r="G29" s="100"/>
      <c r="H29" s="101"/>
      <c r="I29" s="101"/>
      <c r="J29" s="100"/>
      <c r="K29" s="100"/>
      <c r="L29" s="102"/>
      <c r="M29" s="102"/>
      <c r="N29" s="92"/>
      <c r="O29" s="92"/>
    </row>
    <row r="30">
      <c r="A30" s="92"/>
      <c r="B30" s="92"/>
      <c r="C30" s="100"/>
      <c r="D30" s="100"/>
      <c r="E30" s="100"/>
      <c r="F30" s="100"/>
      <c r="G30" s="100"/>
      <c r="H30" s="101"/>
      <c r="I30" s="101"/>
      <c r="J30" s="100"/>
      <c r="K30" s="100"/>
      <c r="L30" s="102"/>
      <c r="M30" s="102"/>
      <c r="N30" s="92"/>
      <c r="O30" s="92"/>
    </row>
    <row r="31">
      <c r="A31" s="92" t="s">
        <v>204</v>
      </c>
      <c r="B31" s="92" t="s">
        <v>221</v>
      </c>
      <c r="C31" s="92" t="s">
        <v>222</v>
      </c>
      <c r="E31" s="92"/>
      <c r="F31" s="92" t="s">
        <v>223</v>
      </c>
      <c r="G31" s="92" t="s">
        <v>224</v>
      </c>
      <c r="H31" s="92" t="s">
        <v>225</v>
      </c>
      <c r="I31" s="92" t="s">
        <v>226</v>
      </c>
      <c r="J31" s="92" t="s">
        <v>227</v>
      </c>
      <c r="K31" s="92" t="s">
        <v>228</v>
      </c>
      <c r="L31" s="92" t="s">
        <v>229</v>
      </c>
      <c r="M31" s="92" t="s">
        <v>230</v>
      </c>
      <c r="N31" s="92" t="s">
        <v>231</v>
      </c>
    </row>
    <row r="32">
      <c r="A32" s="92" t="s">
        <v>213</v>
      </c>
      <c r="B32" s="103">
        <v>225.5251</v>
      </c>
      <c r="C32" s="104" t="s">
        <v>232</v>
      </c>
      <c r="D32" s="92"/>
      <c r="E32" s="92"/>
      <c r="F32" s="104" t="s">
        <v>232</v>
      </c>
      <c r="G32" s="104" t="s">
        <v>233</v>
      </c>
      <c r="H32" s="104" t="s">
        <v>234</v>
      </c>
      <c r="I32" s="105">
        <v>0.21</v>
      </c>
      <c r="J32" s="105">
        <v>1.013</v>
      </c>
      <c r="K32" s="104" t="s">
        <v>232</v>
      </c>
      <c r="L32" s="103">
        <v>1.21</v>
      </c>
      <c r="M32" s="105">
        <v>0.0933</v>
      </c>
      <c r="N32" s="105">
        <v>0.9067</v>
      </c>
      <c r="O32" s="92"/>
    </row>
    <row r="33">
      <c r="A33" s="92" t="s">
        <v>214</v>
      </c>
      <c r="B33" s="103">
        <v>24.6836</v>
      </c>
      <c r="C33" s="104" t="s">
        <v>232</v>
      </c>
      <c r="D33" s="92"/>
      <c r="E33" s="92"/>
      <c r="F33" s="104" t="s">
        <v>232</v>
      </c>
      <c r="G33" s="104" t="s">
        <v>233</v>
      </c>
      <c r="H33" s="104" t="s">
        <v>234</v>
      </c>
      <c r="I33" s="105">
        <v>-0.039</v>
      </c>
      <c r="J33" s="105">
        <v>1.314</v>
      </c>
      <c r="K33" s="104" t="s">
        <v>232</v>
      </c>
      <c r="L33" s="103">
        <v>0.83</v>
      </c>
      <c r="M33" s="105">
        <v>0.8192</v>
      </c>
      <c r="N33" s="105">
        <v>0.1808</v>
      </c>
      <c r="O33" s="92"/>
    </row>
    <row r="34">
      <c r="A34" s="92" t="s">
        <v>215</v>
      </c>
      <c r="B34" s="103">
        <v>39.56</v>
      </c>
      <c r="C34" s="104" t="s">
        <v>232</v>
      </c>
      <c r="D34" s="92"/>
      <c r="E34" s="92"/>
      <c r="F34" s="104" t="s">
        <v>232</v>
      </c>
      <c r="G34" s="104" t="s">
        <v>233</v>
      </c>
      <c r="H34" s="104" t="s">
        <v>234</v>
      </c>
      <c r="I34" s="105">
        <v>0.306</v>
      </c>
      <c r="J34" s="105">
        <v>1.625</v>
      </c>
      <c r="K34" s="104" t="s">
        <v>232</v>
      </c>
      <c r="L34" s="103">
        <v>0.6</v>
      </c>
      <c r="M34" s="105">
        <v>0.1072</v>
      </c>
      <c r="N34" s="105">
        <v>0.8928</v>
      </c>
      <c r="O34" s="92"/>
    </row>
    <row r="35">
      <c r="A35" s="92" t="s">
        <v>217</v>
      </c>
      <c r="B35" s="103">
        <v>43.2255</v>
      </c>
      <c r="C35" s="104" t="s">
        <v>232</v>
      </c>
      <c r="D35" s="92"/>
      <c r="E35" s="92"/>
      <c r="F35" s="104" t="s">
        <v>232</v>
      </c>
      <c r="G35" s="104" t="s">
        <v>233</v>
      </c>
      <c r="H35" s="104" t="s">
        <v>234</v>
      </c>
      <c r="I35" s="105">
        <v>0.193</v>
      </c>
      <c r="J35" s="105">
        <v>2.28</v>
      </c>
      <c r="K35" s="104" t="s">
        <v>232</v>
      </c>
      <c r="L35" s="103">
        <v>1.49</v>
      </c>
      <c r="M35" s="105">
        <v>0.8829</v>
      </c>
      <c r="N35" s="105">
        <v>0.1171</v>
      </c>
      <c r="O35" s="92"/>
    </row>
    <row r="36">
      <c r="A36" s="92" t="s">
        <v>218</v>
      </c>
      <c r="B36" s="103">
        <v>14.5255</v>
      </c>
      <c r="C36" s="104" t="s">
        <v>232</v>
      </c>
      <c r="D36" s="92"/>
      <c r="E36" s="92"/>
      <c r="F36" s="104" t="s">
        <v>232</v>
      </c>
      <c r="G36" s="104" t="s">
        <v>233</v>
      </c>
      <c r="H36" s="104" t="s">
        <v>234</v>
      </c>
      <c r="I36" s="105">
        <v>-0.087</v>
      </c>
      <c r="J36" s="105">
        <v>0.012</v>
      </c>
      <c r="K36" s="104" t="s">
        <v>232</v>
      </c>
      <c r="L36" s="103">
        <v>1.32</v>
      </c>
      <c r="M36" s="105">
        <v>0.0048</v>
      </c>
      <c r="N36" s="105">
        <v>0.9952</v>
      </c>
      <c r="O36" s="92"/>
    </row>
    <row r="37">
      <c r="A37" s="92" t="s">
        <v>219</v>
      </c>
      <c r="B37" s="103">
        <v>17.4596</v>
      </c>
      <c r="C37" s="104" t="s">
        <v>232</v>
      </c>
      <c r="D37" s="92"/>
      <c r="E37" s="92"/>
      <c r="F37" s="104" t="s">
        <v>232</v>
      </c>
      <c r="G37" s="104" t="s">
        <v>233</v>
      </c>
      <c r="H37" s="104" t="s">
        <v>234</v>
      </c>
      <c r="I37" s="105">
        <v>-0.113</v>
      </c>
      <c r="J37" s="105">
        <v>0.176</v>
      </c>
      <c r="K37" s="104" t="s">
        <v>232</v>
      </c>
      <c r="L37" s="103">
        <v>1.13</v>
      </c>
      <c r="M37" s="105">
        <v>0.0727</v>
      </c>
      <c r="N37" s="105">
        <v>0.9273</v>
      </c>
      <c r="O37" s="92"/>
    </row>
  </sheetData>
  <mergeCells count="3">
    <mergeCell ref="A15:J15"/>
    <mergeCell ref="C31:D31"/>
    <mergeCell ref="N31:O31"/>
  </mergeCells>
  <drawing r:id="rId1"/>
</worksheet>
</file>