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ublic Comps vJG" sheetId="2" r:id="rId5"/>
    <sheet state="visible" name="Sheet2" sheetId="3" r:id="rId6"/>
    <sheet state="visible" name="Copy of Sheet1" sheetId="4" r:id="rId7"/>
  </sheets>
  <definedNames/>
  <calcPr/>
</workbook>
</file>

<file path=xl/sharedStrings.xml><?xml version="1.0" encoding="utf-8"?>
<sst xmlns="http://schemas.openxmlformats.org/spreadsheetml/2006/main" count="197" uniqueCount="75">
  <si>
    <t>Ticker</t>
  </si>
  <si>
    <t>OWL</t>
  </si>
  <si>
    <t>CG.OQ</t>
  </si>
  <si>
    <t>BX.N</t>
  </si>
  <si>
    <t>KKR.N</t>
  </si>
  <si>
    <t>TROW.OQ</t>
  </si>
  <si>
    <t>BLK.N</t>
  </si>
  <si>
    <t>{$ in millions unless otherwise stated)</t>
  </si>
  <si>
    <t>Company Name</t>
  </si>
  <si>
    <t>Company Logo</t>
  </si>
  <si>
    <t>AUM 
($ in billions)</t>
  </si>
  <si>
    <t>Revenue 
(LTM)</t>
  </si>
  <si>
    <t>EBITDA 
(LTM)</t>
  </si>
  <si>
    <t>YTD Price 
Performance</t>
  </si>
  <si>
    <t xml:space="preserve">Market Cap 
($ in billions) </t>
  </si>
  <si>
    <t>Enterprise Value</t>
  </si>
  <si>
    <t>EV/EBITDA</t>
  </si>
  <si>
    <t>EV/Revenue</t>
  </si>
  <si>
    <t>Blue Owl Capital Inc</t>
  </si>
  <si>
    <t>Carlyle Group Inc</t>
  </si>
  <si>
    <t>Blackstone Inc</t>
  </si>
  <si>
    <t>N/A</t>
  </si>
  <si>
    <t>KKR &amp; Co Inc</t>
  </si>
  <si>
    <t>T Rowe Price Group Inc</t>
  </si>
  <si>
    <t>BlackRock Inc</t>
  </si>
  <si>
    <t>Stepstone</t>
  </si>
  <si>
    <t>Minimum</t>
  </si>
  <si>
    <t>25th Percentile</t>
  </si>
  <si>
    <t>Median</t>
  </si>
  <si>
    <t>75th Percentile</t>
  </si>
  <si>
    <t>Maximum</t>
  </si>
  <si>
    <t>P.E</t>
  </si>
  <si>
    <t>Revenue (LTM)</t>
  </si>
  <si>
    <t>Market Cap</t>
  </si>
  <si>
    <t>EBITDA
(FY0, usd)</t>
  </si>
  <si>
    <t>Enterprise Value (Daily Time Series)
(usd)</t>
  </si>
  <si>
    <t>YTD PP</t>
  </si>
  <si>
    <t>Total Debt to Total Equity, Percent
(FY0)</t>
  </si>
  <si>
    <t>Total Debt
(FY0, usd)</t>
  </si>
  <si>
    <t>Monthly Beta Unlevered - 5 Year</t>
  </si>
  <si>
    <t>Debt / Market Cap</t>
  </si>
  <si>
    <t>Equity / Market Cap</t>
  </si>
  <si>
    <t>EV Multiples</t>
  </si>
  <si>
    <t>Company</t>
  </si>
  <si>
    <t>MRQ AUM ($bn)</t>
  </si>
  <si>
    <t>YTD Price % Δ</t>
  </si>
  <si>
    <t xml:space="preserve">Public Market Cap 
($bn) </t>
  </si>
  <si>
    <t>LTM EBITDA</t>
  </si>
  <si>
    <t>LTM Revenue</t>
  </si>
  <si>
    <t>Mkt Cap (JG Calc)</t>
  </si>
  <si>
    <t>Implied Enterprise Value</t>
  </si>
  <si>
    <t>Asset Class</t>
  </si>
  <si>
    <t>AUM</t>
  </si>
  <si>
    <t>Credit</t>
  </si>
  <si>
    <t>GP Strategic Capital</t>
  </si>
  <si>
    <t>Real Estate</t>
  </si>
  <si>
    <t>Global Private Equity</t>
  </si>
  <si>
    <t>Global Credit</t>
  </si>
  <si>
    <t>Global Investment Solutions</t>
  </si>
  <si>
    <t>Private Equity</t>
  </si>
  <si>
    <t>Hedge Fund Solutions (BAAM)</t>
  </si>
  <si>
    <t>Strategic Partners</t>
  </si>
  <si>
    <t>Tactical Opportunities</t>
  </si>
  <si>
    <t>Infrastructure</t>
  </si>
  <si>
    <t>Real Assets</t>
  </si>
  <si>
    <t>Credit and Liquid Strategies</t>
  </si>
  <si>
    <t>Equity</t>
  </si>
  <si>
    <t>Fixed Income</t>
  </si>
  <si>
    <t>Multi Asset</t>
  </si>
  <si>
    <t>Alternatives</t>
  </si>
  <si>
    <t>Cash Management</t>
  </si>
  <si>
    <t xml:space="preserve">AUM by </t>
  </si>
  <si>
    <t>Private Debt</t>
  </si>
  <si>
    <t>Enterprise Value ($ in billions)</t>
  </si>
  <si>
    <t>AUM by Asset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</si>
</sst>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#,##0.0"/>
    <numFmt numFmtId="166" formatCode="0.0_);\(0.0\)"/>
    <numFmt numFmtId="167" formatCode="&quot;$&quot;#,##0"/>
    <numFmt numFmtId="168" formatCode="&quot;$&quot;#,##0.00"/>
    <numFmt numFmtId="169" formatCode="#,##0.0&quot;x&quot;"/>
    <numFmt numFmtId="170" formatCode="&quot;$&quot;#,##0.0"/>
    <numFmt numFmtId="171" formatCode="0.00_)%;\(0.00\)%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0"/>
      <name val="Arial"/>
    </font>
    <font>
      <sz val="11.0"/>
      <color theme="1"/>
      <name val="Calibri"/>
    </font>
    <font>
      <sz val="11.0"/>
      <color theme="1"/>
      <name val="Arial"/>
    </font>
    <font>
      <b/>
      <sz val="11.0"/>
      <color rgb="FF202122"/>
      <name val="Sans-serif"/>
    </font>
    <font>
      <b/>
      <sz val="11.0"/>
      <color rgb="FFFFFFFF"/>
      <name val="Arial"/>
    </font>
    <font/>
    <font>
      <b/>
      <sz val="11.0"/>
      <color theme="1"/>
      <name val="Calibri"/>
      <scheme val="minor"/>
    </font>
    <font>
      <sz val="11.0"/>
      <color rgb="FF000000"/>
      <name val="Arial"/>
    </font>
    <font>
      <color rgb="FF000000"/>
      <name val="Calibri"/>
      <scheme val="minor"/>
    </font>
    <font>
      <b/>
      <sz val="14.0"/>
      <color theme="0"/>
      <name val="Arial"/>
    </font>
    <font>
      <b/>
      <sz val="16.0"/>
      <color theme="0"/>
      <name val="Arial"/>
    </font>
    <font>
      <sz val="1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14">
    <border/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medium">
        <color rgb="FF000000"/>
      </bottom>
    </border>
    <border>
      <left/>
      <right/>
      <top/>
    </border>
    <border>
      <bottom style="thick">
        <color rgb="FF000000"/>
      </bottom>
    </border>
    <border>
      <left/>
      <top/>
      <bottom/>
    </border>
    <border>
      <right/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2" fillId="3" fontId="4" numFmtId="0" xfId="0" applyBorder="1" applyFill="1" applyFont="1"/>
    <xf borderId="2" fillId="3" fontId="4" numFmtId="164" xfId="0" applyAlignment="1" applyBorder="1" applyFont="1" applyNumberFormat="1">
      <alignment horizontal="right" vertical="center"/>
    </xf>
    <xf borderId="2" fillId="3" fontId="4" numFmtId="10" xfId="0" applyAlignment="1" applyBorder="1" applyFont="1" applyNumberFormat="1">
      <alignment horizontal="right" vertical="center"/>
    </xf>
    <xf borderId="2" fillId="3" fontId="4" numFmtId="165" xfId="0" applyAlignment="1" applyBorder="1" applyFont="1" applyNumberFormat="1">
      <alignment horizontal="right" vertical="center"/>
    </xf>
    <xf borderId="2" fillId="3" fontId="4" numFmtId="166" xfId="0" applyAlignment="1" applyBorder="1" applyFont="1" applyNumberFormat="1">
      <alignment horizontal="right" vertical="center"/>
    </xf>
    <xf borderId="0" fillId="0" fontId="3" numFmtId="10" xfId="0" applyFont="1" applyNumberFormat="1"/>
    <xf borderId="0" fillId="0" fontId="3" numFmtId="4" xfId="0" applyFont="1" applyNumberFormat="1"/>
    <xf borderId="3" fillId="3" fontId="4" numFmtId="0" xfId="0" applyBorder="1" applyFont="1"/>
    <xf borderId="3" fillId="3" fontId="4" numFmtId="164" xfId="0" applyAlignment="1" applyBorder="1" applyFont="1" applyNumberFormat="1">
      <alignment horizontal="right" vertical="center"/>
    </xf>
    <xf borderId="3" fillId="3" fontId="4" numFmtId="10" xfId="0" applyAlignment="1" applyBorder="1" applyFont="1" applyNumberFormat="1">
      <alignment horizontal="right" vertical="center"/>
    </xf>
    <xf borderId="3" fillId="3" fontId="4" numFmtId="165" xfId="0" applyAlignment="1" applyBorder="1" applyFont="1" applyNumberFormat="1">
      <alignment horizontal="right" vertical="center"/>
    </xf>
    <xf borderId="3" fillId="3" fontId="4" numFmtId="166" xfId="0" applyAlignment="1" applyBorder="1" applyFont="1" applyNumberFormat="1">
      <alignment horizontal="right" vertical="center"/>
    </xf>
    <xf borderId="0" fillId="0" fontId="4" numFmtId="0" xfId="0" applyFont="1"/>
    <xf borderId="0" fillId="4" fontId="5" numFmtId="0" xfId="0" applyAlignment="1" applyFill="1" applyFont="1">
      <alignment readingOrder="0"/>
    </xf>
    <xf borderId="4" fillId="2" fontId="6" numFmtId="0" xfId="0" applyAlignment="1" applyBorder="1" applyFont="1">
      <alignment horizontal="center" readingOrder="0" vertical="center"/>
    </xf>
    <xf borderId="5" fillId="0" fontId="7" numFmtId="0" xfId="0" applyBorder="1" applyFont="1"/>
    <xf borderId="2" fillId="2" fontId="2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readingOrder="0" vertical="center"/>
    </xf>
    <xf borderId="2" fillId="2" fontId="6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readingOrder="0" shrinkToFit="0" vertical="center" wrapText="1"/>
    </xf>
    <xf borderId="6" fillId="2" fontId="6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2" fillId="2" fontId="6" numFmtId="0" xfId="0" applyAlignment="1" applyBorder="1" applyFont="1">
      <alignment horizontal="center" readingOrder="0" shrinkToFit="0" wrapText="1"/>
    </xf>
    <xf borderId="2" fillId="3" fontId="4" numFmtId="167" xfId="0" applyAlignment="1" applyBorder="1" applyFont="1" applyNumberFormat="1">
      <alignment horizontal="right" vertical="center"/>
    </xf>
    <xf borderId="2" fillId="4" fontId="4" numFmtId="168" xfId="0" applyAlignment="1" applyBorder="1" applyFont="1" applyNumberFormat="1">
      <alignment horizontal="right" vertical="center"/>
    </xf>
    <xf borderId="2" fillId="3" fontId="4" numFmtId="169" xfId="0" applyAlignment="1" applyBorder="1" applyFont="1" applyNumberFormat="1">
      <alignment horizontal="right" vertical="center"/>
    </xf>
    <xf borderId="2" fillId="3" fontId="4" numFmtId="169" xfId="0" applyAlignment="1" applyBorder="1" applyFont="1" applyNumberFormat="1">
      <alignment horizontal="right" readingOrder="0" vertical="center"/>
    </xf>
    <xf borderId="0" fillId="5" fontId="0" numFmtId="168" xfId="0" applyAlignment="1" applyFill="1" applyFont="1" applyNumberFormat="1">
      <alignment readingOrder="0"/>
    </xf>
    <xf borderId="3" fillId="3" fontId="4" numFmtId="167" xfId="0" applyAlignment="1" applyBorder="1" applyFont="1" applyNumberFormat="1">
      <alignment horizontal="right" vertical="center"/>
    </xf>
    <xf borderId="3" fillId="4" fontId="4" numFmtId="168" xfId="0" applyAlignment="1" applyBorder="1" applyFont="1" applyNumberFormat="1">
      <alignment horizontal="right" vertical="center"/>
    </xf>
    <xf borderId="3" fillId="3" fontId="4" numFmtId="169" xfId="0" applyAlignment="1" applyBorder="1" applyFont="1" applyNumberFormat="1">
      <alignment horizontal="right" vertical="center"/>
    </xf>
    <xf borderId="0" fillId="0" fontId="3" numFmtId="168" xfId="0" applyFont="1" applyNumberFormat="1"/>
    <xf borderId="0" fillId="0" fontId="3" numFmtId="168" xfId="0" applyAlignment="1" applyFont="1" applyNumberFormat="1">
      <alignment readingOrder="0"/>
    </xf>
    <xf borderId="0" fillId="5" fontId="3" numFmtId="168" xfId="0" applyAlignment="1" applyFont="1" applyNumberFormat="1">
      <alignment readingOrder="0"/>
    </xf>
    <xf borderId="0" fillId="5" fontId="3" numFmtId="168" xfId="0" applyFont="1" applyNumberFormat="1"/>
    <xf borderId="3" fillId="3" fontId="4" numFmtId="168" xfId="0" applyAlignment="1" applyBorder="1" applyFont="1" applyNumberFormat="1">
      <alignment horizontal="right" vertical="center"/>
    </xf>
    <xf borderId="7" fillId="3" fontId="4" numFmtId="0" xfId="0" applyBorder="1" applyFont="1"/>
    <xf borderId="7" fillId="3" fontId="4" numFmtId="167" xfId="0" applyAlignment="1" applyBorder="1" applyFont="1" applyNumberFormat="1">
      <alignment horizontal="right" vertical="center"/>
    </xf>
    <xf borderId="7" fillId="3" fontId="4" numFmtId="10" xfId="0" applyAlignment="1" applyBorder="1" applyFont="1" applyNumberFormat="1">
      <alignment horizontal="right" vertical="center"/>
    </xf>
    <xf borderId="7" fillId="3" fontId="4" numFmtId="169" xfId="0" applyAlignment="1" applyBorder="1" applyFont="1" applyNumberFormat="1">
      <alignment horizontal="right" vertical="center"/>
    </xf>
    <xf borderId="8" fillId="0" fontId="1" numFmtId="0" xfId="0" applyAlignment="1" applyBorder="1" applyFont="1">
      <alignment horizontal="center" readingOrder="0"/>
    </xf>
    <xf borderId="8" fillId="0" fontId="7" numFmtId="0" xfId="0" applyBorder="1" applyFont="1"/>
    <xf borderId="0" fillId="0" fontId="1" numFmtId="168" xfId="0" applyFont="1" applyNumberFormat="1"/>
    <xf borderId="0" fillId="6" fontId="9" numFmtId="0" xfId="0" applyAlignment="1" applyFill="1" applyFont="1">
      <alignment vertical="center"/>
    </xf>
    <xf borderId="7" fillId="6" fontId="9" numFmtId="167" xfId="0" applyAlignment="1" applyBorder="1" applyFont="1" applyNumberFormat="1">
      <alignment horizontal="right" vertical="center"/>
    </xf>
    <xf borderId="7" fillId="6" fontId="9" numFmtId="169" xfId="0" applyAlignment="1" applyBorder="1" applyFont="1" applyNumberFormat="1">
      <alignment horizontal="right" vertical="center"/>
    </xf>
    <xf borderId="0" fillId="0" fontId="1" numFmtId="170" xfId="0" applyFont="1" applyNumberFormat="1"/>
    <xf borderId="0" fillId="7" fontId="9" numFmtId="0" xfId="0" applyAlignment="1" applyFill="1" applyFont="1">
      <alignment vertical="center"/>
    </xf>
    <xf borderId="7" fillId="7" fontId="9" numFmtId="167" xfId="0" applyAlignment="1" applyBorder="1" applyFont="1" applyNumberFormat="1">
      <alignment horizontal="right" vertical="center"/>
    </xf>
    <xf borderId="7" fillId="7" fontId="9" numFmtId="169" xfId="0" applyAlignment="1" applyBorder="1" applyFont="1" applyNumberFormat="1">
      <alignment horizontal="right" vertical="center"/>
    </xf>
    <xf borderId="0" fillId="8" fontId="9" numFmtId="0" xfId="0" applyAlignment="1" applyFill="1" applyFont="1">
      <alignment vertical="center"/>
    </xf>
    <xf borderId="7" fillId="8" fontId="9" numFmtId="167" xfId="0" applyAlignment="1" applyBorder="1" applyFont="1" applyNumberFormat="1">
      <alignment horizontal="right" vertical="center"/>
    </xf>
    <xf borderId="7" fillId="8" fontId="9" numFmtId="10" xfId="0" applyAlignment="1" applyBorder="1" applyFont="1" applyNumberFormat="1">
      <alignment horizontal="right" vertical="center"/>
    </xf>
    <xf borderId="0" fillId="8" fontId="10" numFmtId="168" xfId="0" applyAlignment="1" applyFont="1" applyNumberFormat="1">
      <alignment vertical="center"/>
    </xf>
    <xf borderId="0" fillId="8" fontId="10" numFmtId="167" xfId="0" applyAlignment="1" applyFont="1" applyNumberFormat="1">
      <alignment vertical="center"/>
    </xf>
    <xf borderId="7" fillId="8" fontId="9" numFmtId="169" xfId="0" applyAlignment="1" applyBorder="1" applyFont="1" applyNumberFormat="1">
      <alignment horizontal="right" vertical="center"/>
    </xf>
    <xf borderId="9" fillId="2" fontId="11" numFmtId="0" xfId="0" applyAlignment="1" applyBorder="1" applyFont="1">
      <alignment horizontal="left"/>
    </xf>
    <xf borderId="10" fillId="0" fontId="7" numFmtId="0" xfId="0" applyBorder="1" applyFont="1"/>
    <xf borderId="1" fillId="2" fontId="11" numFmtId="0" xfId="0" applyBorder="1" applyFont="1"/>
    <xf borderId="2" fillId="2" fontId="12" numFmtId="0" xfId="0" applyAlignment="1" applyBorder="1" applyFont="1">
      <alignment horizontal="center"/>
    </xf>
    <xf borderId="2" fillId="2" fontId="12" numFmtId="0" xfId="0" applyAlignment="1" applyBorder="1" applyFont="1">
      <alignment horizontal="center" shrinkToFit="0" wrapText="1"/>
    </xf>
    <xf borderId="11" fillId="2" fontId="12" numFmtId="0" xfId="0" applyAlignment="1" applyBorder="1" applyFont="1">
      <alignment horizontal="center"/>
    </xf>
    <xf borderId="12" fillId="0" fontId="7" numFmtId="0" xfId="0" applyBorder="1" applyFont="1"/>
    <xf borderId="13" fillId="0" fontId="7" numFmtId="0" xfId="0" applyBorder="1" applyFont="1"/>
    <xf borderId="2" fillId="3" fontId="13" numFmtId="0" xfId="0" applyAlignment="1" applyBorder="1" applyFont="1">
      <alignment horizontal="center" vertical="center"/>
    </xf>
    <xf borderId="2" fillId="3" fontId="13" numFmtId="164" xfId="0" applyAlignment="1" applyBorder="1" applyFont="1" applyNumberFormat="1">
      <alignment horizontal="right" vertical="center"/>
    </xf>
    <xf borderId="2" fillId="3" fontId="13" numFmtId="171" xfId="0" applyAlignment="1" applyBorder="1" applyFont="1" applyNumberFormat="1">
      <alignment horizontal="right" vertical="center"/>
    </xf>
    <xf borderId="2" fillId="3" fontId="13" numFmtId="165" xfId="0" applyAlignment="1" applyBorder="1" applyFont="1" applyNumberFormat="1">
      <alignment horizontal="right" vertical="center"/>
    </xf>
    <xf borderId="2" fillId="3" fontId="13" numFmtId="166" xfId="0" applyAlignment="1" applyBorder="1" applyFont="1" applyNumberFormat="1">
      <alignment horizontal="right" vertical="center"/>
    </xf>
    <xf borderId="3" fillId="3" fontId="13" numFmtId="0" xfId="0" applyAlignment="1" applyBorder="1" applyFont="1">
      <alignment horizontal="center" vertical="center"/>
    </xf>
    <xf borderId="3" fillId="3" fontId="13" numFmtId="164" xfId="0" applyAlignment="1" applyBorder="1" applyFont="1" applyNumberFormat="1">
      <alignment horizontal="right" vertical="center"/>
    </xf>
    <xf borderId="3" fillId="3" fontId="13" numFmtId="171" xfId="0" applyAlignment="1" applyBorder="1" applyFont="1" applyNumberFormat="1">
      <alignment horizontal="right" vertical="center"/>
    </xf>
    <xf borderId="3" fillId="3" fontId="13" numFmtId="165" xfId="0" applyAlignment="1" applyBorder="1" applyFont="1" applyNumberFormat="1">
      <alignment horizontal="right" vertical="center"/>
    </xf>
    <xf borderId="3" fillId="3" fontId="13" numFmtId="166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240960636781606"/>
          <c:y val="0.07068267727969343"/>
          <c:w val="0.9575903012123484"/>
          <c:h val="0.5895574895243357"/>
        </c:manualLayout>
      </c:layout>
      <c:barChart>
        <c:barDir val="bar"/>
        <c:grouping val="stacked"/>
        <c:ser>
          <c:idx val="0"/>
          <c:order val="0"/>
          <c:tx>
            <c:v>Credit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</c:f>
            </c:strRef>
          </c:cat>
          <c:val>
            <c:numRef>
              <c:f>'Copy of Sheet1'!$C$2</c:f>
              <c:numCache/>
            </c:numRef>
          </c:val>
        </c:ser>
        <c:ser>
          <c:idx val="1"/>
          <c:order val="1"/>
          <c:tx>
            <c:v>GP Strategic Capital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</c:f>
            </c:strRef>
          </c:cat>
          <c:val>
            <c:numRef>
              <c:f>'Copy of Sheet1'!$C$3</c:f>
              <c:numCache/>
            </c:numRef>
          </c:val>
        </c:ser>
        <c:ser>
          <c:idx val="2"/>
          <c:order val="2"/>
          <c:tx>
            <c:v>Real Estate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</c:f>
            </c:strRef>
          </c:cat>
          <c:val>
            <c:numRef>
              <c:f>'Copy of Sheet1'!$C$4</c:f>
              <c:numCache/>
            </c:numRef>
          </c:val>
        </c:ser>
        <c:overlap val="100"/>
        <c:axId val="946930990"/>
        <c:axId val="1677984834"/>
      </c:barChart>
      <c:catAx>
        <c:axId val="9469309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984834"/>
      </c:catAx>
      <c:valAx>
        <c:axId val="1677984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930990"/>
        <c:crosses val="max"/>
      </c:valAx>
    </c:plotArea>
    <c:legend>
      <c:legendPos val="b"/>
      <c:layout>
        <c:manualLayout>
          <c:xMode val="edge"/>
          <c:yMode val="edge"/>
          <c:x val="0.24166666666666667"/>
          <c:y val="0.624183765350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971358460443337"/>
          <c:y val="0.15277761069815102"/>
          <c:w val="0.9205728307911333"/>
          <c:h val="0.46210435983968984"/>
        </c:manualLayout>
      </c:layout>
      <c:barChart>
        <c:barDir val="bar"/>
        <c:grouping val="stacked"/>
        <c:ser>
          <c:idx val="0"/>
          <c:order val="0"/>
          <c:tx>
            <c:v>Global Private Equity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Sheet1'!$C$6</c:f>
            </c:strRef>
          </c:cat>
          <c:val>
            <c:numRef>
              <c:f>'Copy of Sheet1'!$C$7</c:f>
              <c:numCache/>
            </c:numRef>
          </c:val>
        </c:ser>
        <c:ser>
          <c:idx val="1"/>
          <c:order val="1"/>
          <c:tx>
            <c:v>Global Credit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Sheet1'!$C$6</c:f>
            </c:strRef>
          </c:cat>
          <c:val>
            <c:numRef>
              <c:f>'Copy of Sheet1'!$C$8</c:f>
              <c:numCache/>
            </c:numRef>
          </c:val>
        </c:ser>
        <c:ser>
          <c:idx val="2"/>
          <c:order val="2"/>
          <c:tx>
            <c:v>Global Investment Solutions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Sheet1'!$C$6</c:f>
            </c:strRef>
          </c:cat>
          <c:val>
            <c:numRef>
              <c:f>'Copy of Sheet1'!$C$9</c:f>
              <c:numCache/>
            </c:numRef>
          </c:val>
        </c:ser>
        <c:overlap val="100"/>
        <c:axId val="915920470"/>
        <c:axId val="2096187109"/>
      </c:barChart>
      <c:catAx>
        <c:axId val="9159204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187109"/>
      </c:catAx>
      <c:valAx>
        <c:axId val="209618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920470"/>
        <c:crosses val="max"/>
      </c:valAx>
    </c:plotArea>
    <c:legend>
      <c:legendPos val="b"/>
      <c:layout>
        <c:manualLayout>
          <c:xMode val="edge"/>
          <c:yMode val="edge"/>
          <c:x val="0.02256652665045905"/>
          <c:y val="0.714819559786131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4343030446790124"/>
          <c:y val="0.002719496930321273"/>
          <c:w val="0.9756570591149205"/>
          <c:h val="0.7567594904295498"/>
        </c:manualLayout>
      </c:layout>
      <c:barChart>
        <c:barDir val="bar"/>
        <c:grouping val="stacked"/>
        <c:ser>
          <c:idx val="0"/>
          <c:order val="0"/>
          <c:tx>
            <c:v>Private Equity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Sheet1'!$C$12</c:f>
              <c:numCache/>
            </c:numRef>
          </c:val>
        </c:ser>
        <c:ser>
          <c:idx val="1"/>
          <c:order val="1"/>
          <c:tx>
            <c:v>Real Estate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Sheet1'!$C$13</c:f>
              <c:numCache/>
            </c:numRef>
          </c:val>
        </c:ser>
        <c:ser>
          <c:idx val="2"/>
          <c:order val="2"/>
          <c:tx>
            <c:v>Credit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Sheet1'!$C$14</c:f>
              <c:numCache/>
            </c:numRef>
          </c:val>
        </c:ser>
        <c:ser>
          <c:idx val="3"/>
          <c:order val="3"/>
          <c:tx>
            <c:v>Hedge Fund Solutions (BAAM)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Sheet1'!$C$15</c:f>
              <c:numCache/>
            </c:numRef>
          </c:val>
        </c:ser>
        <c:ser>
          <c:idx val="4"/>
          <c:order val="4"/>
          <c:tx>
            <c:v>Strategic Partners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Sheet1'!$C$16</c:f>
              <c:numCache/>
            </c:numRef>
          </c:val>
        </c:ser>
        <c:ser>
          <c:idx val="5"/>
          <c:order val="5"/>
          <c:tx>
            <c:v>Tactical Opportunities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Sheet1'!$C$17</c:f>
              <c:numCache/>
            </c:numRef>
          </c:val>
        </c:ser>
        <c:ser>
          <c:idx val="6"/>
          <c:order val="6"/>
          <c:tx>
            <c:v>Infrastructure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Sheet1'!$C$11</c:f>
            </c:strRef>
          </c:cat>
          <c:val>
            <c:numRef>
              <c:f>'Copy of Sheet1'!$C$18</c:f>
              <c:numCache/>
            </c:numRef>
          </c:val>
        </c:ser>
        <c:overlap val="100"/>
        <c:axId val="467386159"/>
        <c:axId val="2005122377"/>
      </c:barChart>
      <c:catAx>
        <c:axId val="4673861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122377"/>
      </c:catAx>
      <c:valAx>
        <c:axId val="2005122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386159"/>
        <c:crosses val="max"/>
      </c:valAx>
    </c:plotArea>
    <c:legend>
      <c:legendPos val="b"/>
      <c:layout>
        <c:manualLayout>
          <c:xMode val="edge"/>
          <c:yMode val="edge"/>
          <c:x val="0.013918915640460787"/>
          <c:y val="0.565524804448948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555555555555555"/>
          <c:y val="0.05092592592592592"/>
          <c:w val="0.9388888888888889"/>
          <c:h val="0.5978003791192767"/>
        </c:manualLayout>
      </c:layout>
      <c:barChart>
        <c:barDir val="bar"/>
        <c:grouping val="stacked"/>
        <c:ser>
          <c:idx val="0"/>
          <c:order val="0"/>
          <c:tx>
            <c:v>Private Equity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Sheet1'!$C$20</c:f>
            </c:strRef>
          </c:cat>
          <c:val>
            <c:numRef>
              <c:f>'Copy of Sheet1'!$C$21</c:f>
              <c:numCache/>
            </c:numRef>
          </c:val>
        </c:ser>
        <c:ser>
          <c:idx val="1"/>
          <c:order val="1"/>
          <c:tx>
            <c:v>Real Assets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Sheet1'!$C$20</c:f>
            </c:strRef>
          </c:cat>
          <c:val>
            <c:numRef>
              <c:f>'Copy of Sheet1'!$C$22</c:f>
              <c:numCache/>
            </c:numRef>
          </c:val>
        </c:ser>
        <c:ser>
          <c:idx val="2"/>
          <c:order val="2"/>
          <c:tx>
            <c:v>Credit and Liquid Strategies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Sheet1'!$C$20</c:f>
            </c:strRef>
          </c:cat>
          <c:val>
            <c:numRef>
              <c:f>'Copy of Sheet1'!$C$23</c:f>
              <c:numCache/>
            </c:numRef>
          </c:val>
        </c:ser>
        <c:overlap val="100"/>
        <c:axId val="576270519"/>
        <c:axId val="2113250014"/>
      </c:barChart>
      <c:catAx>
        <c:axId val="5762705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250014"/>
      </c:catAx>
      <c:valAx>
        <c:axId val="2113250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270519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5092660531508174"/>
          <c:y val="0.04102561893768413"/>
          <c:w val="0.9498146789369837"/>
          <c:h val="0.6598276277931878"/>
        </c:manualLayout>
      </c:layout>
      <c:barChart>
        <c:barDir val="bar"/>
        <c:grouping val="stacked"/>
        <c:ser>
          <c:idx val="0"/>
          <c:order val="0"/>
          <c:tx>
            <c:v>Equity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Sheet1'!$C$25</c:f>
            </c:strRef>
          </c:cat>
          <c:val>
            <c:numRef>
              <c:f>'Copy of Sheet1'!$C$26</c:f>
              <c:numCache/>
            </c:numRef>
          </c:val>
        </c:ser>
        <c:ser>
          <c:idx val="1"/>
          <c:order val="1"/>
          <c:tx>
            <c:v>Fixed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Sheet1'!$C$25</c:f>
            </c:strRef>
          </c:cat>
          <c:val>
            <c:numRef>
              <c:f>'Copy of Sheet1'!$C$27</c:f>
              <c:numCache/>
            </c:numRef>
          </c:val>
        </c:ser>
        <c:ser>
          <c:idx val="2"/>
          <c:order val="2"/>
          <c:tx>
            <c:v>Multi Asset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Sheet1'!$C$25</c:f>
            </c:strRef>
          </c:cat>
          <c:val>
            <c:numRef>
              <c:f>'Copy of Sheet1'!$C$28</c:f>
              <c:numCache/>
            </c:numRef>
          </c:val>
        </c:ser>
        <c:ser>
          <c:idx val="3"/>
          <c:order val="3"/>
          <c:tx>
            <c:v>Alternatives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Sheet1'!$C$25</c:f>
            </c:strRef>
          </c:cat>
          <c:val>
            <c:numRef>
              <c:f>'Copy of Sheet1'!$C$29</c:f>
              <c:numCache/>
            </c:numRef>
          </c:val>
        </c:ser>
        <c:overlap val="100"/>
        <c:axId val="1626953631"/>
        <c:axId val="1496421238"/>
      </c:barChart>
      <c:catAx>
        <c:axId val="16269536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421238"/>
      </c:catAx>
      <c:valAx>
        <c:axId val="149642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953631"/>
        <c:crosses val="max"/>
      </c:valAx>
    </c:plotArea>
    <c:legend>
      <c:legendPos val="b"/>
      <c:layout>
        <c:manualLayout>
          <c:xMode val="edge"/>
          <c:yMode val="edge"/>
          <c:x val="0.1856553324597902"/>
          <c:y val="0.66458272315352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9800989355158446"/>
          <c:y val="0.049937578027465665"/>
          <c:w val="0.9203980212896831"/>
          <c:h val="0.3352030434397948"/>
        </c:manualLayout>
      </c:layout>
      <c:barChart>
        <c:barDir val="bar"/>
        <c:grouping val="stacked"/>
        <c:ser>
          <c:idx val="0"/>
          <c:order val="0"/>
          <c:tx>
            <c:v>Equity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Sheet1'!$C$31</c:f>
            </c:strRef>
          </c:cat>
          <c:val>
            <c:numRef>
              <c:f>'Copy of Sheet1'!$C$32</c:f>
              <c:numCache/>
            </c:numRef>
          </c:val>
        </c:ser>
        <c:ser>
          <c:idx val="1"/>
          <c:order val="1"/>
          <c:tx>
            <c:v>Fixed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Sheet1'!$C$31</c:f>
            </c:strRef>
          </c:cat>
          <c:val>
            <c:numRef>
              <c:f>'Copy of Sheet1'!$C$33</c:f>
              <c:numCache/>
            </c:numRef>
          </c:val>
        </c:ser>
        <c:ser>
          <c:idx val="2"/>
          <c:order val="2"/>
          <c:tx>
            <c:v>Multi Asset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Sheet1'!$C$31</c:f>
            </c:strRef>
          </c:cat>
          <c:val>
            <c:numRef>
              <c:f>'Copy of Sheet1'!$C$34</c:f>
              <c:numCache/>
            </c:numRef>
          </c:val>
        </c:ser>
        <c:ser>
          <c:idx val="3"/>
          <c:order val="3"/>
          <c:tx>
            <c:v>Alternatives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Sheet1'!$C$31</c:f>
            </c:strRef>
          </c:cat>
          <c:val>
            <c:numRef>
              <c:f>'Copy of Sheet1'!$C$35</c:f>
              <c:numCache/>
            </c:numRef>
          </c:val>
        </c:ser>
        <c:ser>
          <c:idx val="4"/>
          <c:order val="4"/>
          <c:tx>
            <c:v>Cash Management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Sheet1'!$C$31</c:f>
            </c:strRef>
          </c:cat>
          <c:val>
            <c:numRef>
              <c:f>'Copy of Sheet1'!$C$36</c:f>
              <c:numCache/>
            </c:numRef>
          </c:val>
        </c:ser>
        <c:overlap val="100"/>
        <c:axId val="1473515358"/>
        <c:axId val="1138939471"/>
      </c:barChart>
      <c:catAx>
        <c:axId val="14735153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939471"/>
      </c:catAx>
      <c:valAx>
        <c:axId val="11389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515358"/>
        <c:crosses val="max"/>
      </c:valAx>
    </c:plotArea>
    <c:legend>
      <c:legendPos val="b"/>
      <c:layout>
        <c:manualLayout>
          <c:xMode val="edge"/>
          <c:yMode val="edge"/>
          <c:x val="0.0741834030729099"/>
          <c:y val="0.479811643263361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18449770900997"/>
          <c:y val="0.04568331645436725"/>
          <c:w val="0.9581550229099003"/>
          <c:h val="0.7390260047039182"/>
        </c:manualLayout>
      </c:layout>
      <c:barChart>
        <c:barDir val="bar"/>
        <c:grouping val="stacked"/>
        <c:ser>
          <c:idx val="0"/>
          <c:order val="0"/>
          <c:tx>
            <c:v>Private Equity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Sheet1'!$C$38</c:f>
            </c:strRef>
          </c:cat>
          <c:val>
            <c:numRef>
              <c:f>'Copy of Sheet1'!$C$39</c:f>
              <c:numCache/>
            </c:numRef>
          </c:val>
        </c:ser>
        <c:ser>
          <c:idx val="1"/>
          <c:order val="1"/>
          <c:tx>
            <c:v>Real Estate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Sheet1'!$C$38</c:f>
            </c:strRef>
          </c:cat>
          <c:val>
            <c:numRef>
              <c:f>'Copy of Sheet1'!$C$40</c:f>
              <c:numCache/>
            </c:numRef>
          </c:val>
        </c:ser>
        <c:ser>
          <c:idx val="2"/>
          <c:order val="2"/>
          <c:tx>
            <c:v>Infrastructure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Sheet1'!$C$38</c:f>
            </c:strRef>
          </c:cat>
          <c:val>
            <c:numRef>
              <c:f>'Copy of Sheet1'!$C$41</c:f>
              <c:numCache/>
            </c:numRef>
          </c:val>
        </c:ser>
        <c:ser>
          <c:idx val="3"/>
          <c:order val="3"/>
          <c:tx>
            <c:v>Private Debt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Sheet1'!$C$38</c:f>
            </c:strRef>
          </c:cat>
          <c:val>
            <c:numRef>
              <c:f>'Copy of Sheet1'!$C$42</c:f>
              <c:numCache/>
            </c:numRef>
          </c:val>
        </c:ser>
        <c:overlap val="100"/>
        <c:axId val="268179098"/>
        <c:axId val="820065716"/>
      </c:barChart>
      <c:catAx>
        <c:axId val="268179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065716"/>
      </c:catAx>
      <c:valAx>
        <c:axId val="820065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179098"/>
        <c:crosses val="max"/>
      </c:valAx>
    </c:plotArea>
    <c:legend>
      <c:legendPos val="b"/>
      <c:layout>
        <c:manualLayout>
          <c:xMode val="edge"/>
          <c:yMode val="edge"/>
          <c:x val="5.46950094248545E-4"/>
          <c:y val="0.689753467292285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8.png"/><Relationship Id="rId6" Type="http://schemas.openxmlformats.org/officeDocument/2006/relationships/image" Target="../media/image2.png"/><Relationship Id="rId7" Type="http://schemas.openxmlformats.org/officeDocument/2006/relationships/image" Target="../media/image1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8.png"/><Relationship Id="rId6" Type="http://schemas.openxmlformats.org/officeDocument/2006/relationships/image" Target="../media/image2.png"/><Relationship Id="rId7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5.png"/><Relationship Id="rId13" Type="http://schemas.openxmlformats.org/officeDocument/2006/relationships/image" Target="../media/image7.png"/><Relationship Id="rId12" Type="http://schemas.openxmlformats.org/officeDocument/2006/relationships/image" Target="../media/image8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10</xdr:row>
      <xdr:rowOff>142875</xdr:rowOff>
    </xdr:from>
    <xdr:ext cx="1362075" cy="3143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11</xdr:row>
      <xdr:rowOff>171450</xdr:rowOff>
    </xdr:from>
    <xdr:ext cx="1371600" cy="2952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15</xdr:row>
      <xdr:rowOff>228600</xdr:rowOff>
    </xdr:from>
    <xdr:ext cx="1333500" cy="1905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16</xdr:row>
      <xdr:rowOff>209550</xdr:rowOff>
    </xdr:from>
    <xdr:ext cx="1466850" cy="2476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14</xdr:row>
      <xdr:rowOff>76200</xdr:rowOff>
    </xdr:from>
    <xdr:ext cx="1333500" cy="419100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12</xdr:row>
      <xdr:rowOff>28575</xdr:rowOff>
    </xdr:from>
    <xdr:ext cx="1333500" cy="52387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457200</xdr:colOff>
      <xdr:row>13</xdr:row>
      <xdr:rowOff>47625</xdr:rowOff>
    </xdr:from>
    <xdr:ext cx="942975" cy="533400"/>
    <xdr:pic>
      <xdr:nvPicPr>
        <xdr:cNvPr id="0" name="image1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10</xdr:row>
      <xdr:rowOff>142875</xdr:rowOff>
    </xdr:from>
    <xdr:ext cx="1362075" cy="3143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15</xdr:row>
      <xdr:rowOff>171450</xdr:rowOff>
    </xdr:from>
    <xdr:ext cx="1371600" cy="2952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11</xdr:row>
      <xdr:rowOff>219075</xdr:rowOff>
    </xdr:from>
    <xdr:ext cx="1333500" cy="1905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16</xdr:row>
      <xdr:rowOff>161925</xdr:rowOff>
    </xdr:from>
    <xdr:ext cx="1466850" cy="2476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12</xdr:row>
      <xdr:rowOff>76200</xdr:rowOff>
    </xdr:from>
    <xdr:ext cx="1333500" cy="419100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12</xdr:row>
      <xdr:rowOff>619125</xdr:rowOff>
    </xdr:from>
    <xdr:ext cx="1333500" cy="5238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438150</xdr:colOff>
      <xdr:row>14</xdr:row>
      <xdr:rowOff>76200</xdr:rowOff>
    </xdr:from>
    <xdr:ext cx="942975" cy="5334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45</xdr:row>
      <xdr:rowOff>66675</xdr:rowOff>
    </xdr:from>
    <xdr:ext cx="4562475" cy="1304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390525</xdr:colOff>
      <xdr:row>46</xdr:row>
      <xdr:rowOff>390525</xdr:rowOff>
    </xdr:from>
    <xdr:ext cx="4562475" cy="647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390525</xdr:colOff>
      <xdr:row>47</xdr:row>
      <xdr:rowOff>38100</xdr:rowOff>
    </xdr:from>
    <xdr:ext cx="4562475" cy="1476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390525</xdr:colOff>
      <xdr:row>48</xdr:row>
      <xdr:rowOff>476250</xdr:rowOff>
    </xdr:from>
    <xdr:ext cx="4562475" cy="5810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390525</xdr:colOff>
      <xdr:row>49</xdr:row>
      <xdr:rowOff>438150</xdr:rowOff>
    </xdr:from>
    <xdr:ext cx="4562475" cy="6858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390525</xdr:colOff>
      <xdr:row>50</xdr:row>
      <xdr:rowOff>247650</xdr:rowOff>
    </xdr:from>
    <xdr:ext cx="4562475" cy="10096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390525</xdr:colOff>
      <xdr:row>51</xdr:row>
      <xdr:rowOff>304800</xdr:rowOff>
    </xdr:from>
    <xdr:ext cx="4562475" cy="7810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114300</xdr:colOff>
      <xdr:row>45</xdr:row>
      <xdr:rowOff>571500</xdr:rowOff>
    </xdr:from>
    <xdr:ext cx="1743075" cy="409575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46</xdr:row>
      <xdr:rowOff>571500</xdr:rowOff>
    </xdr:from>
    <xdr:ext cx="1866900" cy="3905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50</xdr:row>
      <xdr:rowOff>723900</xdr:rowOff>
    </xdr:from>
    <xdr:ext cx="1752600" cy="247650"/>
    <xdr:pic>
      <xdr:nvPicPr>
        <xdr:cNvPr id="0" name="image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51</xdr:row>
      <xdr:rowOff>676275</xdr:rowOff>
    </xdr:from>
    <xdr:ext cx="1924050" cy="323850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49</xdr:row>
      <xdr:rowOff>438150</xdr:rowOff>
    </xdr:from>
    <xdr:ext cx="1619250" cy="514350"/>
    <xdr:pic>
      <xdr:nvPicPr>
        <xdr:cNvPr id="0" name="image9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47</xdr:row>
      <xdr:rowOff>457200</xdr:rowOff>
    </xdr:from>
    <xdr:ext cx="1628775" cy="638175"/>
    <xdr:pic>
      <xdr:nvPicPr>
        <xdr:cNvPr id="0" name="image7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295275</xdr:colOff>
      <xdr:row>48</xdr:row>
      <xdr:rowOff>381000</xdr:rowOff>
    </xdr:from>
    <xdr:ext cx="1371600" cy="771525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25.71"/>
    <col customWidth="1" min="3" max="3" width="13.71"/>
    <col customWidth="1" min="4" max="4" width="11.29"/>
    <col customWidth="1" min="5" max="5" width="9.57"/>
    <col customWidth="1" min="6" max="6" width="14.57"/>
    <col customWidth="1" min="7" max="7" width="10.57"/>
    <col customWidth="1" min="8" max="8" width="11.71"/>
    <col customWidth="1" min="9" max="9" width="13.0"/>
    <col customWidth="1" min="10" max="10" width="12.57"/>
    <col customWidth="1" min="11" max="11" width="12.0"/>
    <col customWidth="1" min="12" max="12" width="16.43"/>
    <col customWidth="1" min="13" max="13" width="30.14"/>
    <col customWidth="1" min="14" max="14" width="17.29"/>
    <col customWidth="1" min="15" max="15" width="18.57"/>
    <col customWidth="1" min="16" max="2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</row>
    <row r="10">
      <c r="A10" s="3" t="s">
        <v>8</v>
      </c>
      <c r="B10" s="3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15</v>
      </c>
      <c r="I10" s="4" t="s">
        <v>16</v>
      </c>
      <c r="J10" s="3" t="s">
        <v>17</v>
      </c>
      <c r="K10" s="5"/>
      <c r="L10" s="6"/>
    </row>
    <row r="11" ht="49.5" customHeight="1">
      <c r="A11" s="7" t="s">
        <v>18</v>
      </c>
      <c r="B11" s="7"/>
      <c r="C11" s="8">
        <v>150.0</v>
      </c>
      <c r="D11" s="8">
        <v>1574.422</v>
      </c>
      <c r="E11" s="8">
        <v>466.0</v>
      </c>
      <c r="F11" s="9">
        <v>0.2101</v>
      </c>
      <c r="G11" s="10">
        <v>17.182</v>
      </c>
      <c r="H11" s="10">
        <v>19150.0</v>
      </c>
      <c r="I11" s="11">
        <f t="shared" ref="I11:I17" si="1">+H11/E11</f>
        <v>41.0944206</v>
      </c>
      <c r="J11" s="11">
        <f t="shared" ref="J11:J17" si="2">+H11/D11</f>
        <v>12.16319386</v>
      </c>
      <c r="K11" s="12"/>
      <c r="L11" s="13"/>
    </row>
    <row r="12" ht="49.5" customHeight="1">
      <c r="A12" s="14" t="s">
        <v>19</v>
      </c>
      <c r="B12" s="14"/>
      <c r="C12" s="15">
        <v>384.8</v>
      </c>
      <c r="D12" s="15">
        <v>2531.6</v>
      </c>
      <c r="E12" s="15">
        <v>1237.0</v>
      </c>
      <c r="F12" s="16">
        <v>-0.081</v>
      </c>
      <c r="G12" s="17">
        <v>9.92</v>
      </c>
      <c r="H12" s="17">
        <v>17820.0</v>
      </c>
      <c r="I12" s="18">
        <f t="shared" si="1"/>
        <v>14.40582053</v>
      </c>
      <c r="J12" s="18">
        <f t="shared" si="2"/>
        <v>7.039026702</v>
      </c>
      <c r="K12" s="12"/>
      <c r="L12" s="13"/>
      <c r="N12" s="12"/>
      <c r="O12" s="12"/>
    </row>
    <row r="13" ht="49.5" customHeight="1">
      <c r="A13" s="14" t="s">
        <v>20</v>
      </c>
      <c r="B13" s="14"/>
      <c r="C13" s="15">
        <v>1001.4</v>
      </c>
      <c r="D13" s="15">
        <v>6257.77</v>
      </c>
      <c r="E13" s="15">
        <v>2707.0</v>
      </c>
      <c r="F13" s="16">
        <v>0.2073</v>
      </c>
      <c r="G13" s="17">
        <v>111.89</v>
      </c>
      <c r="H13" s="17" t="s">
        <v>21</v>
      </c>
      <c r="I13" s="18" t="str">
        <f t="shared" si="1"/>
        <v>#VALUE!</v>
      </c>
      <c r="J13" s="18" t="str">
        <f t="shared" si="2"/>
        <v>#VALUE!</v>
      </c>
      <c r="K13" s="12"/>
      <c r="L13" s="13"/>
      <c r="N13" s="12"/>
      <c r="O13" s="12"/>
    </row>
    <row r="14" ht="49.5" customHeight="1">
      <c r="A14" s="14" t="s">
        <v>22</v>
      </c>
      <c r="B14" s="14"/>
      <c r="C14" s="15">
        <v>518.5</v>
      </c>
      <c r="D14" s="15">
        <v>11142.679</v>
      </c>
      <c r="E14" s="15">
        <v>616.0</v>
      </c>
      <c r="F14" s="16">
        <v>0.1757</v>
      </c>
      <c r="G14" s="17">
        <v>61.4</v>
      </c>
      <c r="H14" s="17">
        <v>96700.0</v>
      </c>
      <c r="I14" s="18">
        <f t="shared" si="1"/>
        <v>156.9805195</v>
      </c>
      <c r="J14" s="18">
        <f t="shared" si="2"/>
        <v>8.67834387</v>
      </c>
      <c r="K14" s="12"/>
      <c r="L14" s="13"/>
      <c r="N14" s="12"/>
      <c r="O14" s="12"/>
    </row>
    <row r="15" ht="49.5" customHeight="1">
      <c r="A15" s="14" t="s">
        <v>23</v>
      </c>
      <c r="B15" s="14"/>
      <c r="C15" s="15">
        <v>1350.0</v>
      </c>
      <c r="D15" s="15">
        <v>6260.2</v>
      </c>
      <c r="E15" s="15">
        <v>2491.0</v>
      </c>
      <c r="F15" s="16">
        <v>0.0255</v>
      </c>
      <c r="G15" s="17">
        <v>20.96</v>
      </c>
      <c r="H15" s="17">
        <v>19040.0</v>
      </c>
      <c r="I15" s="18">
        <f t="shared" si="1"/>
        <v>7.64351666</v>
      </c>
      <c r="J15" s="18">
        <f t="shared" si="2"/>
        <v>3.041436376</v>
      </c>
      <c r="K15" s="12"/>
      <c r="L15" s="13"/>
      <c r="N15" s="12"/>
      <c r="O15" s="12"/>
    </row>
    <row r="16" ht="49.5" customHeight="1">
      <c r="A16" s="14" t="s">
        <v>24</v>
      </c>
      <c r="B16" s="14"/>
      <c r="C16" s="15">
        <v>9425.212</v>
      </c>
      <c r="D16" s="15">
        <v>17354.0</v>
      </c>
      <c r="E16" s="15">
        <v>6433.0</v>
      </c>
      <c r="F16" s="16">
        <v>-0.1452</v>
      </c>
      <c r="G16" s="17">
        <v>90.63</v>
      </c>
      <c r="H16" s="17">
        <v>93220.0</v>
      </c>
      <c r="I16" s="18">
        <f t="shared" si="1"/>
        <v>14.49090626</v>
      </c>
      <c r="J16" s="18">
        <f t="shared" si="2"/>
        <v>5.371672237</v>
      </c>
      <c r="K16" s="12"/>
      <c r="L16" s="13"/>
      <c r="N16" s="12"/>
      <c r="O16" s="12"/>
    </row>
    <row r="17" ht="49.5" customHeight="1">
      <c r="A17" s="7" t="s">
        <v>25</v>
      </c>
      <c r="B17" s="7"/>
      <c r="C17" s="8">
        <v>143.0</v>
      </c>
      <c r="D17" s="8">
        <v>187.655</v>
      </c>
      <c r="E17" s="8">
        <v>90.297</v>
      </c>
      <c r="F17" s="9">
        <v>0.1212</v>
      </c>
      <c r="G17" s="10">
        <v>3.12</v>
      </c>
      <c r="H17" s="10">
        <v>3210.0</v>
      </c>
      <c r="I17" s="11">
        <f t="shared" si="1"/>
        <v>35.5493538</v>
      </c>
      <c r="J17" s="11">
        <f t="shared" si="2"/>
        <v>17.10585916</v>
      </c>
    </row>
    <row r="19">
      <c r="A19" s="19" t="s">
        <v>26</v>
      </c>
    </row>
    <row r="20">
      <c r="A20" s="19" t="s">
        <v>27</v>
      </c>
    </row>
    <row r="21" ht="15.75" customHeight="1">
      <c r="A21" s="19" t="s">
        <v>28</v>
      </c>
    </row>
    <row r="22" ht="15.75" customHeight="1">
      <c r="A22" s="19" t="s">
        <v>29</v>
      </c>
    </row>
    <row r="23" ht="15.75" customHeight="1">
      <c r="A23" s="19" t="s">
        <v>30</v>
      </c>
    </row>
    <row r="24" ht="15.75" customHeight="1"/>
    <row r="25" ht="15.75" customHeight="1">
      <c r="A25" s="1" t="s">
        <v>8</v>
      </c>
      <c r="B25" s="1" t="s">
        <v>31</v>
      </c>
      <c r="C25" s="1" t="s">
        <v>32</v>
      </c>
      <c r="F25" s="1" t="s">
        <v>33</v>
      </c>
      <c r="G25" s="6" t="s">
        <v>34</v>
      </c>
      <c r="H25" s="6" t="s">
        <v>35</v>
      </c>
      <c r="I25" s="1" t="s">
        <v>36</v>
      </c>
      <c r="J25" s="6" t="s">
        <v>37</v>
      </c>
      <c r="K25" s="6" t="s">
        <v>38</v>
      </c>
      <c r="L25" s="1" t="s">
        <v>39</v>
      </c>
      <c r="M25" s="1" t="s">
        <v>40</v>
      </c>
      <c r="N25" s="1" t="s">
        <v>41</v>
      </c>
    </row>
    <row r="26" ht="15.75" customHeight="1">
      <c r="A26" s="1" t="s">
        <v>18</v>
      </c>
      <c r="B26" s="1">
        <v>225.5251</v>
      </c>
      <c r="C26" s="13">
        <v>1.573084E9</v>
      </c>
      <c r="D26" s="13"/>
      <c r="E26" s="13"/>
      <c r="F26" s="13">
        <v>1.740718767526E10</v>
      </c>
      <c r="G26" s="13">
        <v>2.65819E8</v>
      </c>
      <c r="H26" s="13">
        <v>2.292091067526E10</v>
      </c>
      <c r="I26" s="12">
        <v>0.21</v>
      </c>
      <c r="J26" s="12">
        <v>1.013</v>
      </c>
      <c r="K26" s="13">
        <v>1.624771E9</v>
      </c>
      <c r="L26" s="1">
        <v>1.21</v>
      </c>
      <c r="M26" s="12">
        <v>0.0933</v>
      </c>
      <c r="N26" s="12">
        <v>0.9067</v>
      </c>
    </row>
    <row r="27" ht="15.75" customHeight="1">
      <c r="A27" s="1" t="s">
        <v>19</v>
      </c>
      <c r="B27" s="1">
        <v>24.6836</v>
      </c>
      <c r="C27" s="13">
        <v>4.1928E9</v>
      </c>
      <c r="D27" s="13"/>
      <c r="E27" s="13"/>
      <c r="F27" s="13">
        <v>9.98147206576E9</v>
      </c>
      <c r="G27" s="13">
        <v>1.5622E9</v>
      </c>
      <c r="H27" s="13">
        <v>1.802927206576E10</v>
      </c>
      <c r="I27" s="12">
        <v>-0.039</v>
      </c>
      <c r="J27" s="12">
        <v>1.314</v>
      </c>
      <c r="K27" s="13">
        <v>8.1769E9</v>
      </c>
      <c r="L27" s="1">
        <v>0.83</v>
      </c>
      <c r="M27" s="12">
        <v>0.8192</v>
      </c>
      <c r="N27" s="12">
        <v>0.1808</v>
      </c>
    </row>
    <row r="28" ht="15.75" customHeight="1">
      <c r="A28" s="1" t="s">
        <v>20</v>
      </c>
      <c r="B28" s="1">
        <v>39.56</v>
      </c>
      <c r="C28" s="13">
        <v>9.500996E9</v>
      </c>
      <c r="D28" s="13"/>
      <c r="E28" s="13"/>
      <c r="F28" s="13">
        <v>1.1611332660304E11</v>
      </c>
      <c r="G28" s="13">
        <v>4.055303E9</v>
      </c>
      <c r="H28" s="13">
        <v>1.3679280660304E11</v>
      </c>
      <c r="I28" s="12">
        <v>0.306</v>
      </c>
      <c r="J28" s="12">
        <v>1.625</v>
      </c>
      <c r="K28" s="13">
        <v>1.2443353E10</v>
      </c>
      <c r="L28" s="1">
        <v>0.6</v>
      </c>
      <c r="M28" s="12">
        <v>0.1072</v>
      </c>
      <c r="N28" s="12">
        <v>0.8928</v>
      </c>
    </row>
    <row r="29" ht="15.75" customHeight="1">
      <c r="A29" s="1" t="s">
        <v>22</v>
      </c>
      <c r="B29" s="1">
        <v>43.2255</v>
      </c>
      <c r="C29" s="13">
        <v>5.729989E9</v>
      </c>
      <c r="D29" s="13"/>
      <c r="E29" s="13"/>
      <c r="F29" s="13">
        <v>4.857275200914E10</v>
      </c>
      <c r="G29" s="13">
        <v>-5.79308E8</v>
      </c>
      <c r="H29" s="13">
        <v>1.2618283700914E11</v>
      </c>
      <c r="I29" s="12">
        <v>0.193</v>
      </c>
      <c r="J29" s="12">
        <v>2.28</v>
      </c>
      <c r="K29" s="13">
        <v>4.2885531E10</v>
      </c>
      <c r="L29" s="1">
        <v>1.49</v>
      </c>
      <c r="M29" s="12">
        <v>0.8829</v>
      </c>
      <c r="N29" s="12">
        <v>0.1171</v>
      </c>
    </row>
    <row r="30" ht="15.75" customHeight="1">
      <c r="A30" s="1" t="s">
        <v>23</v>
      </c>
      <c r="B30" s="1">
        <v>14.5255</v>
      </c>
      <c r="C30" s="13">
        <v>6.2602E9</v>
      </c>
      <c r="D30" s="13"/>
      <c r="E30" s="13"/>
      <c r="F30" s="13">
        <v>2.160634688667E10</v>
      </c>
      <c r="G30" s="13">
        <v>3.0115E9</v>
      </c>
      <c r="H30" s="13">
        <v>2.064394688667E10</v>
      </c>
      <c r="I30" s="12">
        <v>-0.087</v>
      </c>
      <c r="J30" s="12">
        <v>0.012</v>
      </c>
      <c r="K30" s="13">
        <v>1.03E8</v>
      </c>
      <c r="L30" s="1">
        <v>1.32</v>
      </c>
      <c r="M30" s="12">
        <v>0.0048</v>
      </c>
      <c r="N30" s="12">
        <v>0.9952</v>
      </c>
    </row>
    <row r="31" ht="15.75" customHeight="1">
      <c r="A31" s="1" t="s">
        <v>24</v>
      </c>
      <c r="B31" s="1">
        <v>17.4596</v>
      </c>
      <c r="C31" s="13">
        <v>1.7565E10</v>
      </c>
      <c r="D31" s="13"/>
      <c r="E31" s="13"/>
      <c r="F31" s="13">
        <v>9.1548187E10</v>
      </c>
      <c r="G31" s="13">
        <v>6.908E9</v>
      </c>
      <c r="H31" s="13">
        <v>9.4306187E10</v>
      </c>
      <c r="I31" s="12">
        <v>-0.113</v>
      </c>
      <c r="J31" s="12">
        <v>0.176</v>
      </c>
      <c r="K31" s="13">
        <v>6.654E9</v>
      </c>
      <c r="L31" s="1">
        <v>1.13</v>
      </c>
      <c r="M31" s="12">
        <v>0.0727</v>
      </c>
      <c r="N31" s="12">
        <v>0.9273</v>
      </c>
    </row>
    <row r="32" ht="15.75" customHeight="1">
      <c r="A32" s="1" t="s">
        <v>25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71"/>
    <col customWidth="1" min="2" max="2" width="25.71"/>
    <col customWidth="1" min="3" max="3" width="13.71"/>
    <col customWidth="1" min="4" max="4" width="23.57"/>
    <col customWidth="1" min="5" max="5" width="21.29"/>
    <col customWidth="1" min="6" max="6" width="20.43"/>
    <col customWidth="1" min="7" max="7" width="16.71"/>
    <col customWidth="1" min="8" max="8" width="19.86"/>
    <col customWidth="1" min="9" max="9" width="19.0"/>
    <col customWidth="1" min="10" max="10" width="20.14"/>
    <col customWidth="1" min="11" max="11" width="12.0"/>
    <col customWidth="1" min="12" max="12" width="16.43"/>
    <col customWidth="1" min="13" max="13" width="30.14"/>
    <col customWidth="1" min="14" max="14" width="17.29"/>
    <col customWidth="1" min="15" max="15" width="18.57"/>
    <col customWidth="1" min="16" max="26" width="8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  <c r="I4" s="20"/>
    </row>
    <row r="5">
      <c r="A5" s="1" t="s">
        <v>4</v>
      </c>
    </row>
    <row r="6">
      <c r="A6" s="1" t="s">
        <v>5</v>
      </c>
    </row>
    <row r="7">
      <c r="A7" s="1" t="s">
        <v>6</v>
      </c>
    </row>
    <row r="9">
      <c r="B9" s="2" t="s">
        <v>7</v>
      </c>
      <c r="C9" s="2"/>
      <c r="D9" s="2"/>
      <c r="E9" s="2"/>
      <c r="F9" s="2"/>
      <c r="G9" s="21" t="s">
        <v>42</v>
      </c>
      <c r="H9" s="22"/>
    </row>
    <row r="10" ht="33.0" customHeight="1">
      <c r="A10" s="23" t="s">
        <v>8</v>
      </c>
      <c r="B10" s="24" t="s">
        <v>43</v>
      </c>
      <c r="C10" s="25" t="s">
        <v>44</v>
      </c>
      <c r="D10" s="25" t="s">
        <v>45</v>
      </c>
      <c r="E10" s="25" t="s">
        <v>46</v>
      </c>
      <c r="F10" s="25" t="s">
        <v>15</v>
      </c>
      <c r="G10" s="26" t="s">
        <v>47</v>
      </c>
      <c r="H10" s="27" t="s">
        <v>48</v>
      </c>
      <c r="P10" s="28" t="s">
        <v>49</v>
      </c>
      <c r="Q10" s="29" t="s">
        <v>48</v>
      </c>
      <c r="R10" s="29" t="s">
        <v>47</v>
      </c>
    </row>
    <row r="11" ht="49.5" customHeight="1">
      <c r="A11" s="7" t="s">
        <v>18</v>
      </c>
      <c r="B11" s="7"/>
      <c r="C11" s="30">
        <v>150.0</v>
      </c>
      <c r="D11" s="9">
        <v>0.2101</v>
      </c>
      <c r="E11" s="31">
        <v>17.182</v>
      </c>
      <c r="F11" s="30">
        <v>19150.0</v>
      </c>
      <c r="G11" s="32">
        <f t="shared" ref="G11:G17" si="1">+F11/R11</f>
        <v>41.0944206</v>
      </c>
      <c r="H11" s="33">
        <v>12.2</v>
      </c>
      <c r="P11" s="34">
        <f>12.21*454.557</f>
        <v>5550.14097</v>
      </c>
      <c r="Q11" s="8">
        <v>1574.422</v>
      </c>
      <c r="R11" s="8">
        <v>466.0</v>
      </c>
    </row>
    <row r="12" ht="49.5" customHeight="1">
      <c r="A12" s="14" t="s">
        <v>24</v>
      </c>
      <c r="B12" s="14"/>
      <c r="C12" s="35">
        <v>9425.212</v>
      </c>
      <c r="D12" s="16">
        <v>-0.1452</v>
      </c>
      <c r="E12" s="36">
        <v>90.63</v>
      </c>
      <c r="F12" s="35">
        <v>93220.0</v>
      </c>
      <c r="G12" s="37">
        <f t="shared" si="1"/>
        <v>14.49090626</v>
      </c>
      <c r="H12" s="37">
        <f t="shared" ref="H12:H17" si="2">+F12/Q12</f>
        <v>5.371672237</v>
      </c>
      <c r="O12" s="12"/>
      <c r="P12" s="38">
        <f>608*149</f>
        <v>90592</v>
      </c>
      <c r="Q12" s="15">
        <v>17354.0</v>
      </c>
      <c r="R12" s="15">
        <v>6433.0</v>
      </c>
    </row>
    <row r="13" ht="49.5" customHeight="1">
      <c r="A13" s="14" t="s">
        <v>23</v>
      </c>
      <c r="B13" s="14"/>
      <c r="C13" s="35">
        <v>1350.0</v>
      </c>
      <c r="D13" s="16">
        <v>0.0255</v>
      </c>
      <c r="E13" s="36">
        <v>20.96</v>
      </c>
      <c r="F13" s="35">
        <v>19040.0</v>
      </c>
      <c r="G13" s="37">
        <f t="shared" si="1"/>
        <v>7.64351666</v>
      </c>
      <c r="H13" s="37">
        <f t="shared" si="2"/>
        <v>3.041436376</v>
      </c>
      <c r="O13" s="12"/>
      <c r="P13" s="39">
        <f>93*224.4</f>
        <v>20869.2</v>
      </c>
      <c r="Q13" s="15">
        <v>6260.2</v>
      </c>
      <c r="R13" s="15">
        <v>2491.0</v>
      </c>
    </row>
    <row r="14" ht="49.5" customHeight="1">
      <c r="A14" s="14" t="s">
        <v>20</v>
      </c>
      <c r="B14" s="14"/>
      <c r="C14" s="35">
        <v>1001.4</v>
      </c>
      <c r="D14" s="16">
        <v>0.2073</v>
      </c>
      <c r="E14" s="36">
        <v>111.89</v>
      </c>
      <c r="F14" s="35">
        <f>(E14+9.1)*1000</f>
        <v>120990</v>
      </c>
      <c r="G14" s="37">
        <f t="shared" si="1"/>
        <v>44.69523458</v>
      </c>
      <c r="H14" s="37">
        <f t="shared" si="2"/>
        <v>19.33436352</v>
      </c>
      <c r="O14" s="12"/>
      <c r="P14" s="40">
        <f>710.276*91.91</f>
        <v>65281.46716</v>
      </c>
      <c r="Q14" s="15">
        <v>6257.77</v>
      </c>
      <c r="R14" s="15">
        <v>2707.0</v>
      </c>
    </row>
    <row r="15" ht="49.5" customHeight="1">
      <c r="A15" s="14" t="s">
        <v>22</v>
      </c>
      <c r="B15" s="14"/>
      <c r="C15" s="35">
        <v>518.5</v>
      </c>
      <c r="D15" s="16">
        <v>0.1757</v>
      </c>
      <c r="E15" s="36">
        <v>61.4</v>
      </c>
      <c r="F15" s="35">
        <v>96700.0</v>
      </c>
      <c r="G15" s="37">
        <f t="shared" si="1"/>
        <v>156.9805195</v>
      </c>
      <c r="H15" s="37">
        <f t="shared" si="2"/>
        <v>8.67834387</v>
      </c>
      <c r="O15" s="12"/>
      <c r="P15" s="41">
        <f>54.88*750</f>
        <v>41160</v>
      </c>
      <c r="Q15" s="15">
        <v>11142.679</v>
      </c>
      <c r="R15" s="15">
        <v>616.0</v>
      </c>
    </row>
    <row r="16" ht="49.5" customHeight="1">
      <c r="A16" s="14" t="s">
        <v>19</v>
      </c>
      <c r="B16" s="14"/>
      <c r="C16" s="35">
        <v>384.8</v>
      </c>
      <c r="D16" s="16">
        <v>-0.081</v>
      </c>
      <c r="E16" s="42">
        <v>9.92</v>
      </c>
      <c r="F16" s="35">
        <v>17820.0</v>
      </c>
      <c r="G16" s="37">
        <f t="shared" si="1"/>
        <v>14.40582053</v>
      </c>
      <c r="H16" s="37">
        <f t="shared" si="2"/>
        <v>7.039026702</v>
      </c>
      <c r="O16" s="12"/>
      <c r="P16" s="39">
        <f>359.952*27.56</f>
        <v>9920.27712</v>
      </c>
      <c r="Q16" s="15">
        <v>2531.6</v>
      </c>
      <c r="R16" s="15">
        <v>1237.0</v>
      </c>
    </row>
    <row r="17" ht="49.5" customHeight="1">
      <c r="A17" s="43" t="s">
        <v>25</v>
      </c>
      <c r="B17" s="43"/>
      <c r="C17" s="44">
        <v>143.0</v>
      </c>
      <c r="D17" s="45">
        <v>0.1212</v>
      </c>
      <c r="E17" s="44">
        <v>3.12</v>
      </c>
      <c r="F17" s="44">
        <v>3210.0</v>
      </c>
      <c r="G17" s="46">
        <f t="shared" si="1"/>
        <v>35.5493538</v>
      </c>
      <c r="H17" s="46">
        <f t="shared" si="2"/>
        <v>17.10585916</v>
      </c>
      <c r="I17" s="47" t="s">
        <v>50</v>
      </c>
      <c r="J17" s="48"/>
      <c r="K17" s="47"/>
      <c r="L17" s="47"/>
      <c r="P17" s="49">
        <f>111.7*27.9</f>
        <v>3116.43</v>
      </c>
      <c r="Q17" s="8">
        <v>187.655</v>
      </c>
      <c r="R17" s="8">
        <v>90.297</v>
      </c>
    </row>
    <row r="18" ht="22.5" customHeight="1">
      <c r="B18" s="50" t="s">
        <v>26</v>
      </c>
      <c r="C18" s="51">
        <f t="shared" ref="C18:H18" si="3">MIN(C12:C17)</f>
        <v>143</v>
      </c>
      <c r="D18" s="51">
        <f t="shared" si="3"/>
        <v>-0.1452</v>
      </c>
      <c r="E18" s="51">
        <f t="shared" si="3"/>
        <v>3.12</v>
      </c>
      <c r="F18" s="51">
        <f t="shared" si="3"/>
        <v>3210</v>
      </c>
      <c r="G18" s="52">
        <f t="shared" si="3"/>
        <v>7.64351666</v>
      </c>
      <c r="H18" s="52">
        <f t="shared" si="3"/>
        <v>3.041436376</v>
      </c>
      <c r="I18" s="51">
        <f t="shared" ref="I18:I22" si="6">G18*$R$11</f>
        <v>3561.878764</v>
      </c>
      <c r="J18" s="51">
        <f t="shared" ref="J18:J22" si="7">H18*$Q$11</f>
        <v>4788.504342</v>
      </c>
      <c r="K18" s="53">
        <f t="shared" ref="K18:L18" si="4">(I18-1713)/455.57</f>
        <v>4.058385678</v>
      </c>
      <c r="L18" s="53">
        <f t="shared" si="4"/>
        <v>6.750893039</v>
      </c>
    </row>
    <row r="19" ht="22.5" customHeight="1">
      <c r="B19" s="54" t="s">
        <v>27</v>
      </c>
      <c r="C19" s="55">
        <f t="shared" ref="C19:H19" si="5">PERCENTILE(C12:C17,0.25)</f>
        <v>418.225</v>
      </c>
      <c r="D19" s="55">
        <f t="shared" si="5"/>
        <v>-0.054375</v>
      </c>
      <c r="E19" s="55">
        <f t="shared" si="5"/>
        <v>12.68</v>
      </c>
      <c r="F19" s="55">
        <f t="shared" si="5"/>
        <v>18125</v>
      </c>
      <c r="G19" s="56">
        <f t="shared" si="5"/>
        <v>14.42709197</v>
      </c>
      <c r="H19" s="56">
        <f t="shared" si="5"/>
        <v>5.788510853</v>
      </c>
      <c r="I19" s="55">
        <f t="shared" si="6"/>
        <v>6723.024856</v>
      </c>
      <c r="J19" s="55">
        <f t="shared" si="7"/>
        <v>9113.558835</v>
      </c>
      <c r="K19" s="53">
        <f t="shared" ref="K19:L19" si="8">(I19-1713)/455.57</f>
        <v>10.99726684</v>
      </c>
      <c r="L19" s="53">
        <f t="shared" si="8"/>
        <v>16.24461408</v>
      </c>
    </row>
    <row r="20" ht="22.5" customHeight="1">
      <c r="B20" s="57" t="s">
        <v>28</v>
      </c>
      <c r="C20" s="58">
        <f>MEDIAN(C12:C17)</f>
        <v>759.95</v>
      </c>
      <c r="D20" s="59">
        <f t="shared" ref="D20:H20" si="9">MEDIAN(D16:D17)</f>
        <v>0.0201</v>
      </c>
      <c r="E20" s="60">
        <f t="shared" si="9"/>
        <v>6.52</v>
      </c>
      <c r="F20" s="61">
        <f t="shared" si="9"/>
        <v>10515</v>
      </c>
      <c r="G20" s="62">
        <f t="shared" si="9"/>
        <v>24.97758717</v>
      </c>
      <c r="H20" s="62">
        <f t="shared" si="9"/>
        <v>12.07244293</v>
      </c>
      <c r="I20" s="61">
        <f t="shared" si="6"/>
        <v>11639.55562</v>
      </c>
      <c r="J20" s="61">
        <f t="shared" si="7"/>
        <v>19007.11974</v>
      </c>
      <c r="K20" s="53">
        <f t="shared" ref="K20:L20" si="10">(I20-1713)/455.57</f>
        <v>21.78930926</v>
      </c>
      <c r="L20" s="53">
        <f t="shared" si="10"/>
        <v>37.96149822</v>
      </c>
    </row>
    <row r="21" ht="22.5" customHeight="1">
      <c r="B21" s="54" t="s">
        <v>29</v>
      </c>
      <c r="C21" s="55">
        <f t="shared" ref="C21:H21" si="11">percentile(C12:C17, 0.75)</f>
        <v>1262.85</v>
      </c>
      <c r="D21" s="55">
        <f t="shared" si="11"/>
        <v>0.162075</v>
      </c>
      <c r="E21" s="55">
        <f t="shared" si="11"/>
        <v>83.3225</v>
      </c>
      <c r="F21" s="55">
        <f t="shared" si="11"/>
        <v>95830</v>
      </c>
      <c r="G21" s="56">
        <f t="shared" si="11"/>
        <v>42.40876438</v>
      </c>
      <c r="H21" s="56">
        <f t="shared" si="11"/>
        <v>14.99898033</v>
      </c>
      <c r="I21" s="55">
        <f t="shared" si="6"/>
        <v>19762.4842</v>
      </c>
      <c r="J21" s="55">
        <f t="shared" si="7"/>
        <v>23614.72462</v>
      </c>
      <c r="K21" s="53">
        <f t="shared" ref="K21:L21" si="12">(I21-1713)/455.57</f>
        <v>39.61956275</v>
      </c>
      <c r="L21" s="53">
        <f t="shared" si="12"/>
        <v>48.07543213</v>
      </c>
    </row>
    <row r="22" ht="22.5" customHeight="1">
      <c r="B22" s="50" t="s">
        <v>30</v>
      </c>
      <c r="C22" s="51">
        <f t="shared" ref="C22:H22" si="13">max(C12:C17)</f>
        <v>9425.212</v>
      </c>
      <c r="D22" s="51">
        <f t="shared" si="13"/>
        <v>0.2073</v>
      </c>
      <c r="E22" s="51">
        <f t="shared" si="13"/>
        <v>111.89</v>
      </c>
      <c r="F22" s="51">
        <f t="shared" si="13"/>
        <v>120990</v>
      </c>
      <c r="G22" s="52">
        <f t="shared" si="13"/>
        <v>156.9805195</v>
      </c>
      <c r="H22" s="52">
        <f t="shared" si="13"/>
        <v>19.33436352</v>
      </c>
      <c r="I22" s="51">
        <f t="shared" si="6"/>
        <v>73152.92208</v>
      </c>
      <c r="J22" s="51">
        <f t="shared" si="7"/>
        <v>30440.44728</v>
      </c>
      <c r="K22" s="53">
        <f t="shared" ref="K22:L22" si="14">(I22-1713)/455.57</f>
        <v>156.814369</v>
      </c>
      <c r="L22" s="53">
        <f t="shared" si="14"/>
        <v>63.05825072</v>
      </c>
    </row>
    <row r="23" ht="15.75" customHeight="1"/>
    <row r="24" ht="15.75" customHeight="1"/>
    <row r="25" ht="15.75" customHeight="1">
      <c r="A25" s="1" t="s">
        <v>8</v>
      </c>
      <c r="B25" s="1" t="s">
        <v>31</v>
      </c>
      <c r="C25" s="1" t="s">
        <v>32</v>
      </c>
      <c r="F25" s="1" t="s">
        <v>33</v>
      </c>
      <c r="G25" s="6" t="s">
        <v>34</v>
      </c>
      <c r="H25" s="6" t="s">
        <v>35</v>
      </c>
      <c r="I25" s="1" t="s">
        <v>36</v>
      </c>
      <c r="J25" s="6" t="s">
        <v>37</v>
      </c>
      <c r="K25" s="6" t="s">
        <v>38</v>
      </c>
      <c r="L25" s="1" t="s">
        <v>39</v>
      </c>
      <c r="M25" s="1" t="s">
        <v>40</v>
      </c>
      <c r="N25" s="1" t="s">
        <v>41</v>
      </c>
    </row>
    <row r="26" ht="15.75" customHeight="1">
      <c r="A26" s="1" t="s">
        <v>18</v>
      </c>
      <c r="B26" s="1">
        <v>225.5251</v>
      </c>
      <c r="C26" s="13">
        <v>1.573084E9</v>
      </c>
      <c r="D26" s="13"/>
      <c r="E26" s="13"/>
      <c r="F26" s="13">
        <v>1.740718767526E10</v>
      </c>
      <c r="G26" s="13">
        <v>2.65819E8</v>
      </c>
      <c r="H26" s="13">
        <v>2.292091067526E10</v>
      </c>
      <c r="I26" s="12">
        <v>0.21</v>
      </c>
      <c r="J26" s="12">
        <v>1.013</v>
      </c>
      <c r="K26" s="13">
        <v>1.624771E9</v>
      </c>
      <c r="L26" s="1">
        <v>1.21</v>
      </c>
      <c r="M26" s="12">
        <v>0.0933</v>
      </c>
      <c r="N26" s="12">
        <v>0.9067</v>
      </c>
    </row>
    <row r="27" ht="15.75" customHeight="1">
      <c r="A27" s="1" t="s">
        <v>19</v>
      </c>
      <c r="B27" s="1">
        <v>24.6836</v>
      </c>
      <c r="C27" s="13">
        <v>4.1928E9</v>
      </c>
      <c r="D27" s="13"/>
      <c r="E27" s="13"/>
      <c r="F27" s="13">
        <v>9.98147206576E9</v>
      </c>
      <c r="G27" s="13">
        <v>1.5622E9</v>
      </c>
      <c r="H27" s="13">
        <v>1.802927206576E10</v>
      </c>
      <c r="I27" s="12">
        <v>-0.039</v>
      </c>
      <c r="J27" s="12">
        <v>1.314</v>
      </c>
      <c r="K27" s="13">
        <v>8.1769E9</v>
      </c>
      <c r="L27" s="1">
        <v>0.83</v>
      </c>
      <c r="M27" s="12">
        <v>0.8192</v>
      </c>
      <c r="N27" s="12">
        <v>0.1808</v>
      </c>
    </row>
    <row r="28" ht="15.75" customHeight="1">
      <c r="A28" s="1" t="s">
        <v>20</v>
      </c>
      <c r="B28" s="1">
        <v>39.56</v>
      </c>
      <c r="C28" s="13">
        <v>9.500996E9</v>
      </c>
      <c r="D28" s="13"/>
      <c r="E28" s="13"/>
      <c r="F28" s="13">
        <v>1.1611332660304E11</v>
      </c>
      <c r="G28" s="13">
        <v>4.055303E9</v>
      </c>
      <c r="H28" s="13">
        <v>1.3679280660304E11</v>
      </c>
      <c r="I28" s="12">
        <v>0.306</v>
      </c>
      <c r="J28" s="12">
        <v>1.625</v>
      </c>
      <c r="K28" s="13">
        <v>1.2443353E10</v>
      </c>
      <c r="L28" s="1">
        <v>0.6</v>
      </c>
      <c r="M28" s="12">
        <v>0.1072</v>
      </c>
      <c r="N28" s="12">
        <v>0.8928</v>
      </c>
    </row>
    <row r="29" ht="15.75" customHeight="1">
      <c r="A29" s="1" t="s">
        <v>22</v>
      </c>
      <c r="B29" s="1">
        <v>43.2255</v>
      </c>
      <c r="C29" s="13">
        <v>5.729989E9</v>
      </c>
      <c r="D29" s="13"/>
      <c r="E29" s="13"/>
      <c r="F29" s="13">
        <v>4.857275200914E10</v>
      </c>
      <c r="G29" s="13">
        <v>-5.79308E8</v>
      </c>
      <c r="H29" s="13">
        <v>1.2618283700914E11</v>
      </c>
      <c r="I29" s="12">
        <v>0.193</v>
      </c>
      <c r="J29" s="12">
        <v>2.28</v>
      </c>
      <c r="K29" s="13">
        <v>4.2885531E10</v>
      </c>
      <c r="L29" s="1">
        <v>1.49</v>
      </c>
      <c r="M29" s="12">
        <v>0.8829</v>
      </c>
      <c r="N29" s="12">
        <v>0.1171</v>
      </c>
    </row>
    <row r="30" ht="15.75" customHeight="1">
      <c r="A30" s="1" t="s">
        <v>23</v>
      </c>
      <c r="B30" s="1">
        <v>14.5255</v>
      </c>
      <c r="C30" s="13">
        <v>6.2602E9</v>
      </c>
      <c r="D30" s="13"/>
      <c r="E30" s="13"/>
      <c r="F30" s="13">
        <v>2.160634688667E10</v>
      </c>
      <c r="G30" s="13">
        <v>3.0115E9</v>
      </c>
      <c r="H30" s="13">
        <v>2.064394688667E10</v>
      </c>
      <c r="I30" s="12">
        <v>-0.087</v>
      </c>
      <c r="J30" s="12">
        <v>0.012</v>
      </c>
      <c r="K30" s="13">
        <v>1.03E8</v>
      </c>
      <c r="L30" s="1">
        <v>1.32</v>
      </c>
      <c r="M30" s="12">
        <v>0.0048</v>
      </c>
      <c r="N30" s="12">
        <v>0.9952</v>
      </c>
    </row>
    <row r="31" ht="15.75" customHeight="1">
      <c r="A31" s="1" t="s">
        <v>24</v>
      </c>
      <c r="B31" s="1">
        <v>17.4596</v>
      </c>
      <c r="C31" s="13">
        <v>1.7565E10</v>
      </c>
      <c r="D31" s="13"/>
      <c r="E31" s="13"/>
      <c r="F31" s="13">
        <v>9.1548187E10</v>
      </c>
      <c r="G31" s="13">
        <v>6.908E9</v>
      </c>
      <c r="H31" s="13">
        <v>9.4306187E10</v>
      </c>
      <c r="I31" s="12">
        <v>-0.113</v>
      </c>
      <c r="J31" s="12">
        <v>0.176</v>
      </c>
      <c r="K31" s="13">
        <v>6.654E9</v>
      </c>
      <c r="L31" s="1">
        <v>1.13</v>
      </c>
      <c r="M31" s="12">
        <v>0.0727</v>
      </c>
      <c r="N31" s="12">
        <v>0.9273</v>
      </c>
    </row>
    <row r="32" ht="15.75" customHeight="1">
      <c r="A32" s="1" t="s">
        <v>25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9:H9"/>
    <mergeCell ref="I17:J1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30.71"/>
    <col customWidth="1" min="3" max="4" width="13.71"/>
    <col customWidth="1" min="5" max="5" width="10.86"/>
    <col customWidth="1" min="6" max="6" width="20.86"/>
    <col customWidth="1" min="7" max="7" width="13.29"/>
    <col customWidth="1" min="8" max="8" width="16.86"/>
    <col customWidth="1" min="9" max="9" width="16.57"/>
    <col customWidth="1" min="10" max="10" width="19.0"/>
    <col customWidth="1" min="11" max="12" width="35.71"/>
    <col customWidth="1" min="13" max="13" width="4.71"/>
    <col customWidth="1" min="14" max="14" width="17.29"/>
    <col customWidth="1" min="15" max="15" width="18.57"/>
    <col customWidth="1" min="16" max="26" width="8.71"/>
  </cols>
  <sheetData>
    <row r="1">
      <c r="A1" s="1" t="s">
        <v>0</v>
      </c>
      <c r="B1" s="1" t="s">
        <v>51</v>
      </c>
      <c r="C1" s="1" t="s">
        <v>52</v>
      </c>
    </row>
    <row r="2">
      <c r="A2" s="1" t="s">
        <v>1</v>
      </c>
      <c r="B2" s="1" t="s">
        <v>53</v>
      </c>
      <c r="C2" s="1">
        <v>73.8</v>
      </c>
    </row>
    <row r="3">
      <c r="B3" s="1" t="s">
        <v>54</v>
      </c>
      <c r="C3" s="1">
        <v>50.9</v>
      </c>
    </row>
    <row r="4">
      <c r="B4" s="1" t="s">
        <v>55</v>
      </c>
      <c r="C4" s="1">
        <v>24.8</v>
      </c>
    </row>
    <row r="6">
      <c r="B6" s="1" t="s">
        <v>51</v>
      </c>
      <c r="C6" s="1" t="s">
        <v>52</v>
      </c>
    </row>
    <row r="7">
      <c r="A7" s="1" t="s">
        <v>2</v>
      </c>
      <c r="B7" s="1" t="s">
        <v>56</v>
      </c>
      <c r="C7" s="1">
        <v>163.0</v>
      </c>
    </row>
    <row r="8">
      <c r="B8" s="1" t="s">
        <v>57</v>
      </c>
      <c r="C8" s="1">
        <v>152.0</v>
      </c>
    </row>
    <row r="9">
      <c r="B9" s="1" t="s">
        <v>58</v>
      </c>
      <c r="C9" s="1">
        <v>70.0</v>
      </c>
    </row>
    <row r="11">
      <c r="B11" s="1" t="s">
        <v>51</v>
      </c>
      <c r="C11" s="1" t="s">
        <v>52</v>
      </c>
    </row>
    <row r="12">
      <c r="A12" s="1" t="s">
        <v>3</v>
      </c>
      <c r="B12" s="1" t="s">
        <v>59</v>
      </c>
      <c r="C12" s="1">
        <v>137.0</v>
      </c>
    </row>
    <row r="13">
      <c r="B13" s="1" t="s">
        <v>55</v>
      </c>
      <c r="C13" s="1">
        <v>332.0</v>
      </c>
    </row>
    <row r="14">
      <c r="B14" s="1" t="s">
        <v>53</v>
      </c>
      <c r="C14" s="1">
        <v>297.0</v>
      </c>
    </row>
    <row r="15">
      <c r="B15" s="1" t="s">
        <v>60</v>
      </c>
      <c r="C15" s="1">
        <v>80.0</v>
      </c>
    </row>
    <row r="16">
      <c r="B16" s="1" t="s">
        <v>61</v>
      </c>
      <c r="C16" s="1">
        <v>68.0</v>
      </c>
    </row>
    <row r="17">
      <c r="B17" s="1" t="s">
        <v>62</v>
      </c>
      <c r="C17" s="1">
        <v>35.0</v>
      </c>
    </row>
    <row r="18">
      <c r="B18" s="1" t="s">
        <v>63</v>
      </c>
      <c r="C18" s="1">
        <v>40.0</v>
      </c>
    </row>
    <row r="20">
      <c r="B20" s="1" t="s">
        <v>51</v>
      </c>
      <c r="C20" s="1" t="s">
        <v>52</v>
      </c>
    </row>
    <row r="21" ht="15.75" customHeight="1">
      <c r="A21" s="1" t="s">
        <v>4</v>
      </c>
      <c r="B21" s="1" t="s">
        <v>59</v>
      </c>
      <c r="C21" s="1">
        <v>170.0</v>
      </c>
    </row>
    <row r="22" ht="15.75" customHeight="1">
      <c r="B22" s="1" t="s">
        <v>64</v>
      </c>
      <c r="C22" s="1">
        <v>122.0</v>
      </c>
    </row>
    <row r="23" ht="15.75" customHeight="1">
      <c r="B23" s="1" t="s">
        <v>65</v>
      </c>
      <c r="C23" s="1">
        <v>227.0</v>
      </c>
    </row>
    <row r="24" ht="15.75" customHeight="1"/>
    <row r="25" ht="15.75" customHeight="1">
      <c r="B25" s="1" t="s">
        <v>51</v>
      </c>
      <c r="C25" s="1" t="s">
        <v>52</v>
      </c>
    </row>
    <row r="26" ht="15.75" customHeight="1">
      <c r="A26" s="1" t="s">
        <v>5</v>
      </c>
      <c r="B26" s="1" t="s">
        <v>66</v>
      </c>
      <c r="C26" s="1">
        <v>732.2</v>
      </c>
    </row>
    <row r="27" ht="15.75" customHeight="1">
      <c r="B27" s="1" t="s">
        <v>67</v>
      </c>
      <c r="C27" s="1">
        <v>169.3</v>
      </c>
    </row>
    <row r="28" ht="15.75" customHeight="1">
      <c r="B28" s="1" t="s">
        <v>68</v>
      </c>
      <c r="C28" s="1">
        <v>453.2</v>
      </c>
    </row>
    <row r="29" ht="15.75" customHeight="1">
      <c r="B29" s="1" t="s">
        <v>69</v>
      </c>
      <c r="C29" s="1">
        <v>44.7</v>
      </c>
    </row>
    <row r="30" ht="15.75" customHeight="1"/>
    <row r="31" ht="15.75" customHeight="1">
      <c r="B31" s="1" t="s">
        <v>51</v>
      </c>
      <c r="C31" s="1" t="s">
        <v>52</v>
      </c>
    </row>
    <row r="32" ht="15.75" customHeight="1">
      <c r="A32" s="1" t="s">
        <v>6</v>
      </c>
      <c r="B32" s="1" t="s">
        <v>66</v>
      </c>
      <c r="C32" s="1">
        <v>4961.344</v>
      </c>
    </row>
    <row r="33" ht="15.75" customHeight="1">
      <c r="B33" s="1" t="s">
        <v>67</v>
      </c>
      <c r="C33" s="1">
        <v>2668.851</v>
      </c>
    </row>
    <row r="34" ht="15.75" customHeight="1">
      <c r="B34" s="1" t="s">
        <v>68</v>
      </c>
      <c r="C34" s="1">
        <v>811.927</v>
      </c>
    </row>
    <row r="35" ht="15.75" customHeight="1">
      <c r="B35" s="1" t="s">
        <v>69</v>
      </c>
      <c r="C35" s="1">
        <v>272.949</v>
      </c>
    </row>
    <row r="36" ht="15.75" customHeight="1">
      <c r="B36" s="1" t="s">
        <v>70</v>
      </c>
      <c r="C36" s="1">
        <v>710.141</v>
      </c>
    </row>
    <row r="37" ht="15.75" customHeight="1"/>
    <row r="38" ht="15.75" customHeight="1">
      <c r="B38" s="1" t="s">
        <v>51</v>
      </c>
      <c r="C38" s="1" t="s">
        <v>52</v>
      </c>
    </row>
    <row r="39" ht="15.75" customHeight="1">
      <c r="A39" s="1" t="s">
        <v>25</v>
      </c>
      <c r="B39" s="1" t="s">
        <v>59</v>
      </c>
      <c r="C39" s="1">
        <v>74.0</v>
      </c>
      <c r="K39" s="1" t="s">
        <v>71</v>
      </c>
    </row>
    <row r="40" ht="15.75" customHeight="1">
      <c r="B40" s="1" t="s">
        <v>55</v>
      </c>
      <c r="C40" s="1">
        <v>13.0</v>
      </c>
    </row>
    <row r="41" ht="15.75" customHeight="1">
      <c r="B41" s="1" t="s">
        <v>63</v>
      </c>
      <c r="C41" s="1">
        <v>29.0</v>
      </c>
    </row>
    <row r="42" ht="15.75" customHeight="1">
      <c r="B42" s="1" t="s">
        <v>72</v>
      </c>
      <c r="C42" s="1">
        <v>27.0</v>
      </c>
    </row>
    <row r="43" ht="15.75" customHeight="1"/>
    <row r="44" ht="15.75" customHeight="1">
      <c r="A44" s="63" t="s">
        <v>7</v>
      </c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</row>
    <row r="45" ht="15.75" customHeight="1">
      <c r="A45" s="66" t="s">
        <v>8</v>
      </c>
      <c r="B45" s="66" t="s">
        <v>9</v>
      </c>
      <c r="C45" s="67" t="s">
        <v>10</v>
      </c>
      <c r="D45" s="67" t="s">
        <v>11</v>
      </c>
      <c r="E45" s="67" t="s">
        <v>12</v>
      </c>
      <c r="F45" s="67" t="s">
        <v>13</v>
      </c>
      <c r="G45" s="67" t="s">
        <v>14</v>
      </c>
      <c r="H45" s="67" t="s">
        <v>73</v>
      </c>
      <c r="I45" s="67" t="s">
        <v>16</v>
      </c>
      <c r="J45" s="66" t="s">
        <v>17</v>
      </c>
      <c r="K45" s="68" t="s">
        <v>74</v>
      </c>
      <c r="L45" s="69"/>
      <c r="M45" s="70"/>
    </row>
    <row r="46" ht="124.5" customHeight="1">
      <c r="A46" s="71" t="s">
        <v>18</v>
      </c>
      <c r="B46" s="7"/>
      <c r="C46" s="72">
        <v>150.0</v>
      </c>
      <c r="D46" s="72">
        <v>1574.422</v>
      </c>
      <c r="E46" s="72">
        <v>466.0</v>
      </c>
      <c r="F46" s="73">
        <v>0.2101</v>
      </c>
      <c r="G46" s="74">
        <v>17.182</v>
      </c>
      <c r="H46" s="74">
        <f>19150*0.001</f>
        <v>19.15</v>
      </c>
      <c r="I46" s="75">
        <f>+(H46*1000)/E46</f>
        <v>41.0944206</v>
      </c>
      <c r="J46" s="75">
        <f t="shared" ref="J46:J52" si="1">+H46*1000/D46</f>
        <v>12.16319386</v>
      </c>
      <c r="K46" s="11"/>
      <c r="L46" s="11"/>
      <c r="M46" s="11"/>
    </row>
    <row r="47" ht="124.5" customHeight="1">
      <c r="A47" s="76" t="s">
        <v>19</v>
      </c>
      <c r="B47" s="14"/>
      <c r="C47" s="77">
        <v>384.8</v>
      </c>
      <c r="D47" s="77">
        <v>2531.6</v>
      </c>
      <c r="E47" s="77">
        <v>1237.0</v>
      </c>
      <c r="F47" s="78">
        <v>-0.081</v>
      </c>
      <c r="G47" s="79">
        <v>9.92</v>
      </c>
      <c r="H47" s="79">
        <f>17820*0.001</f>
        <v>17.82</v>
      </c>
      <c r="I47" s="80">
        <f t="shared" ref="I47:I52" si="2">+H47*1000/E47</f>
        <v>14.40582053</v>
      </c>
      <c r="J47" s="80">
        <f t="shared" si="1"/>
        <v>7.039026702</v>
      </c>
      <c r="K47" s="11"/>
      <c r="L47" s="11"/>
      <c r="M47" s="11"/>
      <c r="N47" s="12"/>
      <c r="O47" s="12"/>
    </row>
    <row r="48" ht="124.5" customHeight="1">
      <c r="A48" s="76" t="s">
        <v>20</v>
      </c>
      <c r="B48" s="14"/>
      <c r="C48" s="77">
        <v>1001.4</v>
      </c>
      <c r="D48" s="77">
        <v>6257.77</v>
      </c>
      <c r="E48" s="77">
        <v>2707.0</v>
      </c>
      <c r="F48" s="78">
        <v>0.2073</v>
      </c>
      <c r="G48" s="79">
        <v>111.89</v>
      </c>
      <c r="H48" s="79">
        <f>121000*0.001</f>
        <v>121</v>
      </c>
      <c r="I48" s="80">
        <f t="shared" si="2"/>
        <v>44.6989287</v>
      </c>
      <c r="J48" s="80">
        <f t="shared" si="1"/>
        <v>19.33596153</v>
      </c>
      <c r="K48" s="11"/>
      <c r="L48" s="11"/>
      <c r="M48" s="11"/>
      <c r="N48" s="12"/>
      <c r="O48" s="12"/>
    </row>
    <row r="49" ht="124.5" customHeight="1">
      <c r="A49" s="76" t="s">
        <v>22</v>
      </c>
      <c r="B49" s="14"/>
      <c r="C49" s="77">
        <v>518.5</v>
      </c>
      <c r="D49" s="77">
        <v>11142.679</v>
      </c>
      <c r="E49" s="77">
        <v>616.0</v>
      </c>
      <c r="F49" s="78">
        <v>0.1757</v>
      </c>
      <c r="G49" s="79">
        <v>61.4</v>
      </c>
      <c r="H49" s="79">
        <f>96700*0.001</f>
        <v>96.7</v>
      </c>
      <c r="I49" s="80">
        <f t="shared" si="2"/>
        <v>156.9805195</v>
      </c>
      <c r="J49" s="80">
        <f t="shared" si="1"/>
        <v>8.67834387</v>
      </c>
      <c r="K49" s="11"/>
      <c r="L49" s="11"/>
      <c r="M49" s="11"/>
      <c r="N49" s="12"/>
      <c r="O49" s="12"/>
    </row>
    <row r="50" ht="124.5" customHeight="1">
      <c r="A50" s="76" t="s">
        <v>23</v>
      </c>
      <c r="B50" s="14"/>
      <c r="C50" s="77">
        <v>1350.0</v>
      </c>
      <c r="D50" s="77">
        <v>6260.2</v>
      </c>
      <c r="E50" s="77">
        <v>2491.0</v>
      </c>
      <c r="F50" s="78">
        <v>0.0255</v>
      </c>
      <c r="G50" s="79">
        <v>20.96</v>
      </c>
      <c r="H50" s="79">
        <f>19040*0.001</f>
        <v>19.04</v>
      </c>
      <c r="I50" s="80">
        <f t="shared" si="2"/>
        <v>7.64351666</v>
      </c>
      <c r="J50" s="80">
        <f t="shared" si="1"/>
        <v>3.041436376</v>
      </c>
      <c r="K50" s="11"/>
      <c r="L50" s="11"/>
      <c r="M50" s="11"/>
      <c r="N50" s="12"/>
      <c r="O50" s="12"/>
    </row>
    <row r="51" ht="124.5" customHeight="1">
      <c r="A51" s="76" t="s">
        <v>24</v>
      </c>
      <c r="B51" s="14"/>
      <c r="C51" s="77">
        <v>9425.212</v>
      </c>
      <c r="D51" s="77">
        <v>17354.0</v>
      </c>
      <c r="E51" s="77">
        <v>6433.0</v>
      </c>
      <c r="F51" s="78">
        <v>-0.1452</v>
      </c>
      <c r="G51" s="79">
        <v>90.63</v>
      </c>
      <c r="H51" s="79">
        <f>93220*0.001</f>
        <v>93.22</v>
      </c>
      <c r="I51" s="80">
        <f t="shared" si="2"/>
        <v>14.49090626</v>
      </c>
      <c r="J51" s="80">
        <f t="shared" si="1"/>
        <v>5.371672237</v>
      </c>
      <c r="K51" s="11"/>
      <c r="L51" s="11"/>
      <c r="M51" s="11"/>
      <c r="N51" s="12"/>
      <c r="O51" s="12"/>
    </row>
    <row r="52" ht="124.5" customHeight="1">
      <c r="A52" s="71" t="s">
        <v>25</v>
      </c>
      <c r="B52" s="7"/>
      <c r="C52" s="72">
        <v>143.0</v>
      </c>
      <c r="D52" s="72">
        <v>187.655</v>
      </c>
      <c r="E52" s="72">
        <v>90.297</v>
      </c>
      <c r="F52" s="73">
        <v>0.1212</v>
      </c>
      <c r="G52" s="74">
        <v>3.12</v>
      </c>
      <c r="H52" s="74">
        <f>3210*0.001</f>
        <v>3.21</v>
      </c>
      <c r="I52" s="75">
        <f t="shared" si="2"/>
        <v>35.5493538</v>
      </c>
      <c r="J52" s="75">
        <f t="shared" si="1"/>
        <v>17.10585916</v>
      </c>
      <c r="K52" s="11"/>
      <c r="L52" s="11"/>
      <c r="M52" s="11"/>
    </row>
    <row r="53" ht="15.75" customHeight="1"/>
    <row r="54" ht="15.75" customHeight="1">
      <c r="A54" s="19" t="s">
        <v>26</v>
      </c>
    </row>
    <row r="55" ht="15.75" customHeight="1">
      <c r="A55" s="19" t="s">
        <v>27</v>
      </c>
    </row>
    <row r="56" ht="15.75" customHeight="1">
      <c r="A56" s="19" t="s">
        <v>28</v>
      </c>
    </row>
    <row r="57" ht="15.75" customHeight="1">
      <c r="A57" s="19" t="s">
        <v>29</v>
      </c>
    </row>
    <row r="58" ht="15.75" customHeight="1">
      <c r="A58" s="19" t="s">
        <v>30</v>
      </c>
    </row>
    <row r="59" ht="15.75" customHeight="1"/>
    <row r="60" ht="15.75" customHeight="1">
      <c r="A60" s="1" t="s">
        <v>8</v>
      </c>
      <c r="B60" s="1" t="s">
        <v>31</v>
      </c>
      <c r="C60" s="1" t="s">
        <v>32</v>
      </c>
      <c r="F60" s="1" t="s">
        <v>33</v>
      </c>
      <c r="G60" s="6" t="s">
        <v>34</v>
      </c>
      <c r="H60" s="6" t="s">
        <v>35</v>
      </c>
      <c r="I60" s="1" t="s">
        <v>36</v>
      </c>
      <c r="J60" s="6" t="s">
        <v>37</v>
      </c>
      <c r="K60" s="6" t="s">
        <v>38</v>
      </c>
      <c r="L60" s="1" t="s">
        <v>39</v>
      </c>
      <c r="M60" s="1" t="s">
        <v>40</v>
      </c>
      <c r="N60" s="1" t="s">
        <v>41</v>
      </c>
    </row>
    <row r="61" ht="15.75" customHeight="1">
      <c r="A61" s="1" t="s">
        <v>18</v>
      </c>
      <c r="B61" s="1">
        <v>225.5251</v>
      </c>
      <c r="C61" s="13">
        <v>1.573084E9</v>
      </c>
      <c r="D61" s="13"/>
      <c r="E61" s="13"/>
      <c r="F61" s="13">
        <v>1.740718767526E10</v>
      </c>
      <c r="G61" s="13">
        <v>2.65819E8</v>
      </c>
      <c r="H61" s="13">
        <v>2.292091067526E10</v>
      </c>
      <c r="I61" s="12">
        <v>0.21</v>
      </c>
      <c r="J61" s="12">
        <v>1.013</v>
      </c>
      <c r="K61" s="13">
        <v>1.624771E9</v>
      </c>
      <c r="L61" s="1">
        <v>1.21</v>
      </c>
      <c r="M61" s="12">
        <v>0.0933</v>
      </c>
      <c r="N61" s="12">
        <v>0.9067</v>
      </c>
    </row>
    <row r="62" ht="15.75" customHeight="1">
      <c r="A62" s="1" t="s">
        <v>19</v>
      </c>
      <c r="B62" s="1">
        <v>24.6836</v>
      </c>
      <c r="C62" s="13">
        <v>4.1928E9</v>
      </c>
      <c r="D62" s="13"/>
      <c r="E62" s="13"/>
      <c r="F62" s="13">
        <v>9.98147206576E9</v>
      </c>
      <c r="G62" s="13">
        <v>1.5622E9</v>
      </c>
      <c r="H62" s="13">
        <v>1.802927206576E10</v>
      </c>
      <c r="I62" s="12">
        <v>-0.039</v>
      </c>
      <c r="J62" s="12">
        <v>1.314</v>
      </c>
      <c r="K62" s="13">
        <v>8.1769E9</v>
      </c>
      <c r="L62" s="1">
        <v>0.83</v>
      </c>
      <c r="M62" s="12">
        <v>0.8192</v>
      </c>
      <c r="N62" s="12">
        <v>0.1808</v>
      </c>
    </row>
    <row r="63" ht="15.75" customHeight="1">
      <c r="A63" s="1" t="s">
        <v>20</v>
      </c>
      <c r="B63" s="1">
        <v>39.56</v>
      </c>
      <c r="C63" s="13">
        <v>9.500996E9</v>
      </c>
      <c r="D63" s="13"/>
      <c r="E63" s="13"/>
      <c r="F63" s="13">
        <v>1.1611332660304E11</v>
      </c>
      <c r="G63" s="13">
        <v>4.055303E9</v>
      </c>
      <c r="H63" s="13">
        <v>1.3679280660304E11</v>
      </c>
      <c r="I63" s="12">
        <v>0.306</v>
      </c>
      <c r="J63" s="12">
        <v>1.625</v>
      </c>
      <c r="K63" s="13">
        <v>1.2443353E10</v>
      </c>
      <c r="L63" s="1">
        <v>0.6</v>
      </c>
      <c r="M63" s="12">
        <v>0.1072</v>
      </c>
      <c r="N63" s="12">
        <v>0.8928</v>
      </c>
    </row>
    <row r="64" ht="15.75" customHeight="1">
      <c r="A64" s="1" t="s">
        <v>22</v>
      </c>
      <c r="B64" s="1">
        <v>43.2255</v>
      </c>
      <c r="C64" s="13">
        <v>5.729989E9</v>
      </c>
      <c r="D64" s="13"/>
      <c r="E64" s="13"/>
      <c r="F64" s="13">
        <v>4.857275200914E10</v>
      </c>
      <c r="G64" s="13">
        <v>-5.79308E8</v>
      </c>
      <c r="H64" s="13">
        <v>1.2618283700914E11</v>
      </c>
      <c r="I64" s="12">
        <v>0.193</v>
      </c>
      <c r="J64" s="12">
        <v>2.28</v>
      </c>
      <c r="K64" s="13">
        <v>4.2885531E10</v>
      </c>
      <c r="L64" s="1">
        <v>1.49</v>
      </c>
      <c r="M64" s="12">
        <v>0.8829</v>
      </c>
      <c r="N64" s="12">
        <v>0.1171</v>
      </c>
    </row>
    <row r="65" ht="15.75" customHeight="1">
      <c r="A65" s="1" t="s">
        <v>23</v>
      </c>
      <c r="B65" s="1">
        <v>14.5255</v>
      </c>
      <c r="C65" s="13">
        <v>6.2602E9</v>
      </c>
      <c r="D65" s="13"/>
      <c r="E65" s="13"/>
      <c r="F65" s="13">
        <v>2.160634688667E10</v>
      </c>
      <c r="G65" s="13">
        <v>3.0115E9</v>
      </c>
      <c r="H65" s="13">
        <v>2.064394688667E10</v>
      </c>
      <c r="I65" s="12">
        <v>-0.087</v>
      </c>
      <c r="J65" s="12">
        <v>0.012</v>
      </c>
      <c r="K65" s="13">
        <v>1.03E8</v>
      </c>
      <c r="L65" s="1">
        <v>1.32</v>
      </c>
      <c r="M65" s="12">
        <v>0.0048</v>
      </c>
      <c r="N65" s="12">
        <v>0.9952</v>
      </c>
    </row>
    <row r="66" ht="15.75" customHeight="1">
      <c r="A66" s="1" t="s">
        <v>24</v>
      </c>
      <c r="B66" s="1">
        <v>17.4596</v>
      </c>
      <c r="C66" s="13">
        <v>1.7565E10</v>
      </c>
      <c r="D66" s="13"/>
      <c r="E66" s="13"/>
      <c r="F66" s="13">
        <v>9.1548187E10</v>
      </c>
      <c r="G66" s="13">
        <v>6.908E9</v>
      </c>
      <c r="H66" s="13">
        <v>9.4306187E10</v>
      </c>
      <c r="I66" s="12">
        <v>-0.113</v>
      </c>
      <c r="J66" s="12">
        <v>0.176</v>
      </c>
      <c r="K66" s="13">
        <v>6.654E9</v>
      </c>
      <c r="L66" s="1">
        <v>1.13</v>
      </c>
      <c r="M66" s="12">
        <v>0.0727</v>
      </c>
      <c r="N66" s="12">
        <v>0.9273</v>
      </c>
    </row>
    <row r="67" ht="15.75" customHeight="1">
      <c r="A67" s="1" t="s">
        <v>25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4:B44"/>
    <mergeCell ref="K45:M45"/>
  </mergeCells>
  <printOptions/>
  <pageMargins bottom="0.75" footer="0.0" header="0.0" left="0.7" right="0.7" top="0.75"/>
  <pageSetup orientation="portrait"/>
  <drawing r:id="rId1"/>
</worksheet>
</file>