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tianyu/Desktop/Finance/Financial_Analysis/TMT/Adobe/"/>
    </mc:Choice>
  </mc:AlternateContent>
  <xr:revisionPtr revIDLastSave="0" documentId="8_{29D7A2A6-A9DB-0441-BE63-03F34B07A6B3}" xr6:coauthVersionLast="47" xr6:coauthVersionMax="47" xr10:uidLastSave="{00000000-0000-0000-0000-000000000000}"/>
  <bookViews>
    <workbookView xWindow="0" yWindow="760" windowWidth="30240" windowHeight="18880" activeTab="3" xr2:uid="{CDED3339-8939-2C43-8CE7-BFDE9000B176}"/>
  </bookViews>
  <sheets>
    <sheet name="Public Comps" sheetId="2" r:id="rId1"/>
    <sheet name="DCF Model" sheetId="3" r:id="rId2"/>
    <sheet name="Schedules" sheetId="4" r:id="rId3"/>
    <sheet name="Valuation Summary" sheetId="8" r:id="rId4"/>
    <sheet name="BalanceSheet" sheetId="5" state="hidden" r:id="rId5"/>
    <sheet name="Income Statement" sheetId="7"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5" i="4" l="1"/>
  <c r="F25" i="4"/>
  <c r="G25" i="4"/>
  <c r="H25" i="4"/>
  <c r="I25" i="4"/>
  <c r="D25" i="4"/>
  <c r="J20" i="4"/>
  <c r="J7" i="3" s="1"/>
  <c r="I21" i="4"/>
  <c r="E21" i="4"/>
  <c r="F21" i="4"/>
  <c r="G21" i="4"/>
  <c r="H21" i="4"/>
  <c r="D21" i="4"/>
  <c r="I5" i="4"/>
  <c r="I24" i="4"/>
  <c r="J61" i="4"/>
  <c r="J11" i="3" s="1"/>
  <c r="I62" i="4"/>
  <c r="E62" i="4"/>
  <c r="F62" i="4"/>
  <c r="G62" i="4"/>
  <c r="H62" i="4"/>
  <c r="D62" i="4"/>
  <c r="J23" i="4"/>
  <c r="C22" i="3"/>
  <c r="C5" i="3" a="1"/>
  <c r="C5" i="3" s="1"/>
  <c r="D55" i="4"/>
  <c r="E55" i="4"/>
  <c r="D44" i="4"/>
  <c r="D47" i="4" s="1"/>
  <c r="E44" i="4"/>
  <c r="E47" i="4" s="1"/>
  <c r="D43" i="4"/>
  <c r="E43" i="4"/>
  <c r="D41" i="4"/>
  <c r="E41" i="4"/>
  <c r="D38" i="4"/>
  <c r="D46" i="4" s="1"/>
  <c r="E38" i="4"/>
  <c r="E46" i="4" s="1"/>
  <c r="D37" i="4"/>
  <c r="E37" i="4"/>
  <c r="D35" i="4"/>
  <c r="E35" i="4"/>
  <c r="D33" i="4"/>
  <c r="E33" i="4"/>
  <c r="J16" i="4"/>
  <c r="I17" i="4"/>
  <c r="E24" i="4"/>
  <c r="G24" i="4"/>
  <c r="H24" i="4"/>
  <c r="D24" i="4"/>
  <c r="D15" i="4"/>
  <c r="E15" i="4"/>
  <c r="D17" i="4"/>
  <c r="E17" i="4"/>
  <c r="F17" i="4"/>
  <c r="G17" i="4"/>
  <c r="H17" i="4"/>
  <c r="D13" i="4"/>
  <c r="E13" i="4"/>
  <c r="D9" i="4"/>
  <c r="D18" i="4" s="1"/>
  <c r="D19" i="4" s="1"/>
  <c r="E9" i="4"/>
  <c r="E10" i="4" s="1"/>
  <c r="D8" i="4"/>
  <c r="E8" i="4"/>
  <c r="E5" i="4"/>
  <c r="F5" i="4"/>
  <c r="K4" i="4"/>
  <c r="L4" i="4" s="1"/>
  <c r="L16" i="4" s="1"/>
  <c r="J7" i="4"/>
  <c r="J9" i="4" s="1"/>
  <c r="J12" i="4"/>
  <c r="J14" i="4"/>
  <c r="G5" i="4"/>
  <c r="H5" i="4"/>
  <c r="F8" i="4"/>
  <c r="G8" i="4"/>
  <c r="H8" i="4"/>
  <c r="I8" i="4"/>
  <c r="F9" i="4"/>
  <c r="F10" i="4" s="1"/>
  <c r="G9" i="4"/>
  <c r="G10" i="4" s="1"/>
  <c r="H9" i="4"/>
  <c r="H18" i="4" s="1"/>
  <c r="I9" i="4"/>
  <c r="I10" i="4" s="1"/>
  <c r="F13" i="4"/>
  <c r="G13" i="4"/>
  <c r="H13" i="4"/>
  <c r="I13" i="4"/>
  <c r="F15" i="4"/>
  <c r="G15" i="4"/>
  <c r="H15" i="4"/>
  <c r="I15" i="4"/>
  <c r="F24" i="4"/>
  <c r="C17" i="2"/>
  <c r="D17" i="2"/>
  <c r="E17" i="2"/>
  <c r="F17" i="2"/>
  <c r="H17" i="2"/>
  <c r="N32" i="3"/>
  <c r="I32" i="3"/>
  <c r="I30" i="3"/>
  <c r="C28" i="3"/>
  <c r="C27" i="3"/>
  <c r="D18" i="2"/>
  <c r="E18" i="2"/>
  <c r="F18" i="2"/>
  <c r="H18" i="2"/>
  <c r="C18" i="2"/>
  <c r="D16" i="2"/>
  <c r="E16" i="2"/>
  <c r="F16" i="2"/>
  <c r="H16" i="2"/>
  <c r="C16" i="2"/>
  <c r="C20" i="2"/>
  <c r="D20" i="2"/>
  <c r="E20" i="2"/>
  <c r="F20" i="2"/>
  <c r="C19" i="2"/>
  <c r="D19" i="2"/>
  <c r="E19" i="2"/>
  <c r="F19" i="2"/>
  <c r="D15" i="2"/>
  <c r="C15" i="2"/>
  <c r="E15" i="2"/>
  <c r="F15" i="2"/>
  <c r="H20" i="2"/>
  <c r="H19" i="2"/>
  <c r="H15" i="2"/>
  <c r="J42" i="4"/>
  <c r="J40" i="4"/>
  <c r="J36" i="4"/>
  <c r="J32" i="4"/>
  <c r="K20" i="4" l="1"/>
  <c r="K7" i="3" s="1"/>
  <c r="L20" i="4"/>
  <c r="L7" i="3" s="1"/>
  <c r="J25" i="4"/>
  <c r="J26" i="4" s="1"/>
  <c r="K61" i="4"/>
  <c r="K11" i="3" s="1"/>
  <c r="L61" i="4"/>
  <c r="L11" i="3" s="1"/>
  <c r="J18" i="4"/>
  <c r="E48" i="4"/>
  <c r="D48" i="4"/>
  <c r="D49" i="4" s="1"/>
  <c r="K16" i="4"/>
  <c r="I18" i="4"/>
  <c r="G18" i="4"/>
  <c r="E18" i="4"/>
  <c r="F18" i="4"/>
  <c r="K7" i="4"/>
  <c r="D10" i="4"/>
  <c r="M4" i="4"/>
  <c r="M20" i="4" s="1"/>
  <c r="L23" i="4"/>
  <c r="L12" i="4"/>
  <c r="L14" i="4"/>
  <c r="L7" i="4"/>
  <c r="K14" i="4"/>
  <c r="K12" i="4"/>
  <c r="K23" i="4"/>
  <c r="K25" i="4" s="1"/>
  <c r="H26" i="4"/>
  <c r="H19" i="4"/>
  <c r="H10" i="4"/>
  <c r="J10" i="4"/>
  <c r="I55" i="4"/>
  <c r="J54" i="4"/>
  <c r="I44" i="4"/>
  <c r="I47" i="4" s="1"/>
  <c r="I38" i="4"/>
  <c r="I46" i="4" s="1"/>
  <c r="K36" i="4"/>
  <c r="L9" i="4" l="1"/>
  <c r="L18" i="4" s="1"/>
  <c r="K9" i="4"/>
  <c r="K18" i="4" s="1"/>
  <c r="K19" i="4" s="1"/>
  <c r="L25" i="4"/>
  <c r="M7" i="3"/>
  <c r="F26" i="4"/>
  <c r="E49" i="4"/>
  <c r="M16" i="4"/>
  <c r="M61" i="4"/>
  <c r="M11" i="3" s="1"/>
  <c r="E19" i="4"/>
  <c r="K10" i="4"/>
  <c r="N4" i="4"/>
  <c r="N20" i="4" s="1"/>
  <c r="M23" i="4"/>
  <c r="M25" i="4" s="1"/>
  <c r="M12" i="4"/>
  <c r="M14" i="4"/>
  <c r="M7" i="4"/>
  <c r="F19" i="4"/>
  <c r="L10" i="4"/>
  <c r="G19" i="4"/>
  <c r="G26" i="4"/>
  <c r="I19" i="4"/>
  <c r="I26" i="4"/>
  <c r="J19" i="4"/>
  <c r="I48" i="4"/>
  <c r="J9" i="3"/>
  <c r="G55" i="4"/>
  <c r="H55" i="4"/>
  <c r="F55" i="4"/>
  <c r="G44" i="4"/>
  <c r="G47" i="4" s="1"/>
  <c r="H44" i="4"/>
  <c r="H47" i="4" s="1"/>
  <c r="F44" i="4"/>
  <c r="G43" i="4"/>
  <c r="H43" i="4"/>
  <c r="F43" i="4"/>
  <c r="G41" i="4"/>
  <c r="H41" i="4"/>
  <c r="F41" i="4"/>
  <c r="G38" i="4"/>
  <c r="G46" i="4" s="1"/>
  <c r="H38" i="4"/>
  <c r="H46" i="4" s="1"/>
  <c r="F38" i="4"/>
  <c r="G37" i="4"/>
  <c r="H37" i="4"/>
  <c r="F37" i="4"/>
  <c r="G35" i="4"/>
  <c r="H35" i="4"/>
  <c r="F35" i="4"/>
  <c r="G33" i="4"/>
  <c r="H33" i="4"/>
  <c r="F33" i="4"/>
  <c r="M9" i="4" l="1"/>
  <c r="N7" i="3"/>
  <c r="N16" i="4"/>
  <c r="N61" i="4"/>
  <c r="N11" i="3" s="1"/>
  <c r="M18" i="4"/>
  <c r="K26" i="4"/>
  <c r="N7" i="4"/>
  <c r="N14" i="4"/>
  <c r="N23" i="4"/>
  <c r="N25" i="4" s="1"/>
  <c r="N12" i="4"/>
  <c r="M10" i="4"/>
  <c r="L19" i="4"/>
  <c r="L26" i="4"/>
  <c r="H48" i="4"/>
  <c r="I49" i="4" s="1"/>
  <c r="G48" i="4"/>
  <c r="N9" i="4" l="1"/>
  <c r="N18" i="4" s="1"/>
  <c r="N10" i="4"/>
  <c r="M19" i="4"/>
  <c r="M26" i="4"/>
  <c r="H49" i="4"/>
  <c r="N19" i="4" l="1"/>
  <c r="I21" i="3"/>
  <c r="N21" i="3"/>
  <c r="N20" i="3" l="1"/>
  <c r="N26" i="4"/>
  <c r="F47" i="4"/>
  <c r="C18" i="3"/>
  <c r="C7" i="3"/>
  <c r="C13" i="3" s="1"/>
  <c r="F46" i="4" l="1"/>
  <c r="F48" i="4" s="1"/>
  <c r="C29" i="3"/>
  <c r="I29" i="3" s="1"/>
  <c r="G49" i="4" l="1"/>
  <c r="F49" i="4"/>
  <c r="N30" i="3"/>
  <c r="N29" i="3"/>
  <c r="N9" i="3"/>
  <c r="M9" i="3"/>
  <c r="L9" i="3"/>
  <c r="K9" i="3"/>
  <c r="C24" i="3" l="1"/>
  <c r="N16" i="3" l="1"/>
  <c r="N23" i="3" s="1"/>
  <c r="M16" i="3"/>
  <c r="L16" i="3"/>
  <c r="J16" i="3"/>
  <c r="K16" i="3"/>
  <c r="J12" i="3"/>
  <c r="I23" i="3" l="1"/>
  <c r="J44" i="4"/>
  <c r="J47" i="4" s="1"/>
  <c r="K40" i="4"/>
  <c r="K32" i="4"/>
  <c r="K12" i="3"/>
  <c r="J13" i="3"/>
  <c r="K42" i="4"/>
  <c r="K54" i="4"/>
  <c r="K13" i="3" s="1"/>
  <c r="K44" i="4" l="1"/>
  <c r="K47" i="4" s="1"/>
  <c r="K38" i="4"/>
  <c r="K46" i="4" s="1"/>
  <c r="L12" i="3"/>
  <c r="L40" i="4"/>
  <c r="L54" i="4"/>
  <c r="L13" i="3" s="1"/>
  <c r="L36" i="4"/>
  <c r="L42" i="4"/>
  <c r="L32" i="4"/>
  <c r="K48" i="4" l="1"/>
  <c r="L44" i="4"/>
  <c r="L47" i="4" s="1"/>
  <c r="J8" i="3"/>
  <c r="J10" i="3" s="1"/>
  <c r="M54" i="4"/>
  <c r="M13" i="3" s="1"/>
  <c r="M40" i="4"/>
  <c r="M12" i="3"/>
  <c r="M42" i="4"/>
  <c r="M36" i="4"/>
  <c r="M32" i="4"/>
  <c r="L38" i="4"/>
  <c r="L46" i="4" s="1"/>
  <c r="M44" i="4" l="1"/>
  <c r="M47" i="4" s="1"/>
  <c r="L48" i="4"/>
  <c r="L49" i="4" s="1"/>
  <c r="L14" i="3" s="1"/>
  <c r="M38" i="4"/>
  <c r="M46" i="4" s="1"/>
  <c r="N40" i="4"/>
  <c r="N12" i="3"/>
  <c r="N32" i="4"/>
  <c r="N42" i="4"/>
  <c r="N36" i="4"/>
  <c r="N54" i="4"/>
  <c r="N13" i="3" s="1"/>
  <c r="K8" i="3"/>
  <c r="K10" i="3" s="1"/>
  <c r="N44" i="4" l="1"/>
  <c r="N47" i="4" s="1"/>
  <c r="M48" i="4"/>
  <c r="M49" i="4" s="1"/>
  <c r="M14" i="3" s="1"/>
  <c r="N38" i="4"/>
  <c r="N46" i="4" s="1"/>
  <c r="L8" i="3"/>
  <c r="L10" i="3" s="1"/>
  <c r="L15" i="3" l="1"/>
  <c r="L17" i="3" s="1"/>
  <c r="N22" i="3"/>
  <c r="M8" i="3"/>
  <c r="M10" i="3" s="1"/>
  <c r="N48" i="4"/>
  <c r="N49" i="4" s="1"/>
  <c r="N14" i="3" s="1"/>
  <c r="M15" i="3" l="1"/>
  <c r="M17" i="3" s="1"/>
  <c r="N24" i="3"/>
  <c r="N26" i="3" s="1"/>
  <c r="N8" i="3"/>
  <c r="N10" i="3" s="1"/>
  <c r="N15" i="3" s="1"/>
  <c r="I20" i="3" s="1"/>
  <c r="I22" i="3" l="1"/>
  <c r="N17" i="3"/>
  <c r="I24" i="3" l="1"/>
  <c r="I26" i="3" s="1"/>
  <c r="J38" i="4"/>
  <c r="J46" i="4" s="1"/>
  <c r="J48" i="4" s="1"/>
  <c r="J49" i="4" l="1"/>
  <c r="J14" i="3" s="1"/>
  <c r="K49" i="4"/>
  <c r="J15" i="3" l="1"/>
  <c r="J17" i="3" s="1"/>
  <c r="K14" i="3"/>
  <c r="K15" i="3" l="1"/>
  <c r="K17" i="3" s="1"/>
  <c r="N27" i="3" l="1"/>
  <c r="I27" i="3"/>
  <c r="I28" i="3" s="1"/>
  <c r="I31" i="3" s="1"/>
  <c r="I33" i="3" s="1"/>
  <c r="N28" i="3" l="1"/>
  <c r="N31" i="3" s="1"/>
  <c r="I34" i="3"/>
  <c r="Q20" i="3"/>
  <c r="N33" i="3" l="1"/>
  <c r="Q29" i="3" s="1"/>
  <c r="N3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<sst xmlns="http://schemas.openxmlformats.org/spreadsheetml/2006/main" count="460" uniqueCount="248">
  <si>
    <t>Net Debt</t>
  </si>
  <si>
    <t>EV</t>
  </si>
  <si>
    <t>P/E</t>
  </si>
  <si>
    <t>High</t>
  </si>
  <si>
    <t>Median</t>
  </si>
  <si>
    <t>Low</t>
  </si>
  <si>
    <t>Average</t>
  </si>
  <si>
    <t>Capital Structure and Discount Rate</t>
  </si>
  <si>
    <t>2024E</t>
  </si>
  <si>
    <t>2025E</t>
  </si>
  <si>
    <t>Share Price</t>
  </si>
  <si>
    <t>Period</t>
  </si>
  <si>
    <t>Shares Outstanding (M)</t>
  </si>
  <si>
    <t>EBIT</t>
  </si>
  <si>
    <t>Less: Taxes</t>
  </si>
  <si>
    <t>Debt</t>
  </si>
  <si>
    <t>Tax Rate</t>
  </si>
  <si>
    <t>NOPAT</t>
  </si>
  <si>
    <t>Add: Depreciation &amp; Amoritization</t>
  </si>
  <si>
    <t>Enterprise Value</t>
  </si>
  <si>
    <t>Less: Capital Expenditures</t>
  </si>
  <si>
    <t>Risk Free Rate</t>
  </si>
  <si>
    <t>Unlevered Free Cash Flow</t>
  </si>
  <si>
    <t>Equity Risk Premium</t>
  </si>
  <si>
    <t>Discount Factor</t>
  </si>
  <si>
    <t>Levered Beta</t>
  </si>
  <si>
    <t xml:space="preserve">PV of Unlevered Free Cash Flows </t>
  </si>
  <si>
    <t>Cost of Equity</t>
  </si>
  <si>
    <t>Bridge to Equity (Perpetual)</t>
  </si>
  <si>
    <t>Bridge to Equity (Exit Multiple)</t>
  </si>
  <si>
    <t>Pre-Tax Cost of Debt</t>
  </si>
  <si>
    <t>Perpetual Growth Rate</t>
  </si>
  <si>
    <t>% Financed by Equity</t>
  </si>
  <si>
    <t>% Financed by Debt</t>
  </si>
  <si>
    <t>WACC</t>
  </si>
  <si>
    <t>PV of Terminal Value</t>
  </si>
  <si>
    <t>Equity Bridge Assumptions</t>
  </si>
  <si>
    <t>Cash &amp; Equivelents</t>
  </si>
  <si>
    <t>PV of Sum of Unlevered FCF</t>
  </si>
  <si>
    <t>Less: Net Debt</t>
  </si>
  <si>
    <t>Less: Non-Controlling Interests</t>
  </si>
  <si>
    <t>Operating Assumptions</t>
  </si>
  <si>
    <t>Implied Equity Value</t>
  </si>
  <si>
    <t>Implied Share Price</t>
  </si>
  <si>
    <t>Upside/Downside</t>
  </si>
  <si>
    <t>Select Operating Data</t>
  </si>
  <si>
    <t>Total Revenue</t>
  </si>
  <si>
    <t>% Growth</t>
  </si>
  <si>
    <t>Cost of Goods Sold</t>
  </si>
  <si>
    <t>As % of Revenue</t>
  </si>
  <si>
    <t>Gross Profit</t>
  </si>
  <si>
    <t>Gross Profit Margin</t>
  </si>
  <si>
    <t>EBITDA</t>
  </si>
  <si>
    <t>EBITDA Margin</t>
  </si>
  <si>
    <t>EBIT Margin</t>
  </si>
  <si>
    <t>Select Balance Sheet Items</t>
  </si>
  <si>
    <t>Accounts Receivable</t>
  </si>
  <si>
    <t>Inventory</t>
  </si>
  <si>
    <t>Prepaid Expenses</t>
  </si>
  <si>
    <t>Current Operating Assets</t>
  </si>
  <si>
    <t>Current Operating Liabilities</t>
  </si>
  <si>
    <t>Net Working Capital</t>
  </si>
  <si>
    <t>Change in Net Working Capital</t>
  </si>
  <si>
    <t>Capital Expenditures</t>
  </si>
  <si>
    <t>Powered by Clearbit</t>
  </si>
  <si>
    <t>Alimentation Couche-Tard Inc (TSX: ATD B)</t>
  </si>
  <si>
    <t xml:space="preserve">Due to changes with International Financial Reporting Standards (IFRS), recent financials statement presentations have been adjusted to meet this standard.  Please note the original historical presentations have remained in the original format </t>
  </si>
  <si>
    <t xml:space="preserve">Exchange rate used is that of the Year End reported date </t>
  </si>
  <si>
    <t xml:space="preserve">As Reported Annual Balance Sheet </t>
  </si>
  <si>
    <t>Report Date</t>
  </si>
  <si>
    <t>04/26/2020</t>
  </si>
  <si>
    <t>04/28/2019</t>
  </si>
  <si>
    <t>04/29/2018</t>
  </si>
  <si>
    <t>04/30/2017</t>
  </si>
  <si>
    <t>Currency</t>
  </si>
  <si>
    <t>Audit Status</t>
  </si>
  <si>
    <t>Not Qualified</t>
  </si>
  <si>
    <t>Consolidated</t>
  </si>
  <si>
    <t>Yes</t>
  </si>
  <si>
    <t>Cash &amp; cash equivalents</t>
  </si>
  <si>
    <t>Restricted cash</t>
  </si>
  <si>
    <t>Credit &amp; debit cards receivable</t>
  </si>
  <si>
    <t>Trade accounts receivable &amp; vendor rebates receivable</t>
  </si>
  <si>
    <t>Provision for doubtful accounts</t>
  </si>
  <si>
    <t>Credit &amp; debit cards receivable &amp; trade accounts receivable &amp; vendor rebates receivable - net</t>
  </si>
  <si>
    <t>Other accounts receivable</t>
  </si>
  <si>
    <t>-</t>
  </si>
  <si>
    <t>Accounts receivable</t>
  </si>
  <si>
    <t>Inventories</t>
  </si>
  <si>
    <t>Prepaid expenses</t>
  </si>
  <si>
    <t>Assets held for sale</t>
  </si>
  <si>
    <t>Other short-term financial assets</t>
  </si>
  <si>
    <t>Income taxes receivable</t>
  </si>
  <si>
    <t>Total current assets</t>
  </si>
  <si>
    <t>Property &amp; equipment, cost</t>
  </si>
  <si>
    <t>Less: accumulated depreciation, amortization &amp; impairment</t>
  </si>
  <si>
    <t>Property &amp; equipment</t>
  </si>
  <si>
    <t>Right-of-use assets</t>
  </si>
  <si>
    <t>Intangible assets</t>
  </si>
  <si>
    <t>Goodwill</t>
  </si>
  <si>
    <t>Other assets</t>
  </si>
  <si>
    <t>Deferred income taxes</t>
  </si>
  <si>
    <t>Total assets</t>
  </si>
  <si>
    <t>Accounts payable &amp; accrued expenses</t>
  </si>
  <si>
    <t>Sales &amp; excise taxes</t>
  </si>
  <si>
    <t>Salaries &amp; related benefits</t>
  </si>
  <si>
    <t>Deferred credits</t>
  </si>
  <si>
    <t>Other accounts payable &amp; accrued liabilities</t>
  </si>
  <si>
    <t>Accounts payable &amp; accrued liabilities</t>
  </si>
  <si>
    <t>Short-term provisions</t>
  </si>
  <si>
    <t>Liabilities associated with assets held for sale</t>
  </si>
  <si>
    <t>Other short-term financial liabilities</t>
  </si>
  <si>
    <t>Income taxes payable</t>
  </si>
  <si>
    <t>Current portion of long-term debt</t>
  </si>
  <si>
    <t>Current portion of lease liabilities</t>
  </si>
  <si>
    <t>Total current liabilities</t>
  </si>
  <si>
    <t>U.S. dollar denominated senior unsecured notes</t>
  </si>
  <si>
    <t>U.S. dollar denominated term revolving unsecured operating credit D</t>
  </si>
  <si>
    <t>Canadian dollar denominated senior unsecured notes</t>
  </si>
  <si>
    <t>Euro denominated senior unsecured notes</t>
  </si>
  <si>
    <t>NOK denominated senior unsecured notes</t>
  </si>
  <si>
    <t>CAPL U.S. dollar denominated senior secured revolving credit facility</t>
  </si>
  <si>
    <t>Acquisition facility</t>
  </si>
  <si>
    <t>Finance leases</t>
  </si>
  <si>
    <t>Other debts</t>
  </si>
  <si>
    <t>Long-term debt</t>
  </si>
  <si>
    <t>Lease liabilities</t>
  </si>
  <si>
    <t>Long-term provisions</t>
  </si>
  <si>
    <t>Pension benefit liability</t>
  </si>
  <si>
    <t>Other long-term financial liabilities</t>
  </si>
  <si>
    <t>Deferred credits &amp; other liabilities</t>
  </si>
  <si>
    <t>Total liabilities</t>
  </si>
  <si>
    <t>Capital stock</t>
  </si>
  <si>
    <t>Contributed surplus</t>
  </si>
  <si>
    <t>Retained earnings</t>
  </si>
  <si>
    <t>Accumulated other comprehensive income (loss)</t>
  </si>
  <si>
    <t>Equity attributable to shareholders of the Corporation</t>
  </si>
  <si>
    <t>Non-controlling interests</t>
  </si>
  <si>
    <t>Total shareholders' equity</t>
  </si>
  <si>
    <t>Total shareholders' equity &amp; liabilities</t>
  </si>
  <si>
    <t>Total number of employees</t>
  </si>
  <si>
    <t>Dividends per share</t>
  </si>
  <si>
    <t>Net earnings per share - diluted</t>
  </si>
  <si>
    <t>Net earnings per share - basic</t>
  </si>
  <si>
    <t>Year end shares outstanding</t>
  </si>
  <si>
    <t>Weighted average shares outstanding - diluted</t>
  </si>
  <si>
    <t>Weighted average shares outstanding - basic</t>
  </si>
  <si>
    <t>Net earnings attributable to shareholders of the Corporation</t>
  </si>
  <si>
    <t>Net earnings (loss) attributable to non-controlling interests</t>
  </si>
  <si>
    <t>Net earnings including non-controlling interests</t>
  </si>
  <si>
    <t>Income taxes</t>
  </si>
  <si>
    <t>Earnings before income taxes</t>
  </si>
  <si>
    <t>Net financial revenues (expenses)</t>
  </si>
  <si>
    <t>Foreign exchange gain (loss)</t>
  </si>
  <si>
    <t>Financial revenues</t>
  </si>
  <si>
    <t>Other financial revenues</t>
  </si>
  <si>
    <t>Interest on bank deposits</t>
  </si>
  <si>
    <t>Financial expenses</t>
  </si>
  <si>
    <t>Other finance costs</t>
  </si>
  <si>
    <t>Loss related to fair value hedge derivatives</t>
  </si>
  <si>
    <t>Net interest on defined benefit plans</t>
  </si>
  <si>
    <t>Interest on bank overdrafts &amp; bank loans</t>
  </si>
  <si>
    <t>Accretion of provisions</t>
  </si>
  <si>
    <t>Interest on finance lease obligations</t>
  </si>
  <si>
    <t>Interest on long-term debt</t>
  </si>
  <si>
    <t>Share of earnings of joint ventures &amp; associated companies</t>
  </si>
  <si>
    <t>Operating income</t>
  </si>
  <si>
    <t>Total operating expenses</t>
  </si>
  <si>
    <t>Curtailment gain</t>
  </si>
  <si>
    <t>Gain (loss) on disposal of property &amp; equipment &amp; other assets</t>
  </si>
  <si>
    <t>Restructuring costs</t>
  </si>
  <si>
    <t>Operating, selling, administrative &amp; general expenses</t>
  </si>
  <si>
    <t>Gross profit</t>
  </si>
  <si>
    <t>Cost of sales</t>
  </si>
  <si>
    <t>Revenues</t>
  </si>
  <si>
    <t xml:space="preserve">As Reported Annual Income Statement </t>
  </si>
  <si>
    <t>Less: Change in Net Working Capital</t>
  </si>
  <si>
    <t>CAD</t>
  </si>
  <si>
    <t>Scale</t>
  </si>
  <si>
    <t>Millions</t>
  </si>
  <si>
    <t>Accounts Payable &amp; Accrued Expenses</t>
  </si>
  <si>
    <t>Other long-term financial assets</t>
  </si>
  <si>
    <t>Perpetual Growth</t>
  </si>
  <si>
    <t>Market Cap</t>
  </si>
  <si>
    <t>Debt/EBITDA</t>
  </si>
  <si>
    <t>04/25/2021</t>
  </si>
  <si>
    <t>Provision for credit losses</t>
  </si>
  <si>
    <t>Investments in joint ventures &amp; associated companies</t>
  </si>
  <si>
    <t>Depreciation, amortization &amp; impairment</t>
  </si>
  <si>
    <t>Impact of the redemption notice of senior unsecured notes</t>
  </si>
  <si>
    <t>In Order</t>
  </si>
  <si>
    <t>2026E</t>
  </si>
  <si>
    <t>CapEx</t>
  </si>
  <si>
    <t xml:space="preserve">Forecasted Unlevered Free Cash Flow </t>
  </si>
  <si>
    <t>Projection Period</t>
  </si>
  <si>
    <t>In Thousands of USD unless otherwise stated</t>
  </si>
  <si>
    <t>2027E</t>
  </si>
  <si>
    <t>Other Current Liabilities</t>
  </si>
  <si>
    <t>Depreciation &amp; Amoritization</t>
  </si>
  <si>
    <t>in thousands of USD unless otherwise stated</t>
  </si>
  <si>
    <t>Effective Tax Rate</t>
  </si>
  <si>
    <t>2027E Unlevered FCF</t>
  </si>
  <si>
    <t>2027E Terminal Value</t>
  </si>
  <si>
    <t>Shares Outstanding</t>
  </si>
  <si>
    <t>Selling General &amp; Admin. Expense</t>
  </si>
  <si>
    <t>R&amp;D Expense</t>
  </si>
  <si>
    <t>2023E - Stub</t>
  </si>
  <si>
    <t>Historical Period</t>
  </si>
  <si>
    <t>Comparable Company Analysis (as of 2023 Oct 21)</t>
  </si>
  <si>
    <t>in Billions of USD unless otherwise stated</t>
  </si>
  <si>
    <t>Debt/Capital</t>
  </si>
  <si>
    <t>Most Comparable</t>
  </si>
  <si>
    <t>Comparable</t>
  </si>
  <si>
    <t>Moderately Comparable</t>
  </si>
  <si>
    <t>Weakly Comparable</t>
  </si>
  <si>
    <t>25th Percentile</t>
  </si>
  <si>
    <t>75th Percentile</t>
  </si>
  <si>
    <t>Non-controlling Interests</t>
  </si>
  <si>
    <t xml:space="preserve">Cash &amp; Equivalents </t>
  </si>
  <si>
    <t>CapEx / EBITDA</t>
  </si>
  <si>
    <t>Diluted Shares Outstanding</t>
  </si>
  <si>
    <t>Market Capitalization</t>
  </si>
  <si>
    <t>Final P/E Range Selected</t>
  </si>
  <si>
    <t>FY 2022</t>
  </si>
  <si>
    <r>
      <t xml:space="preserve">Discount Factor </t>
    </r>
    <r>
      <rPr>
        <sz val="10"/>
        <color theme="1"/>
        <rFont val="Arial"/>
        <family val="2"/>
      </rPr>
      <t>(under mid-year convention)</t>
    </r>
  </si>
  <si>
    <t>Min</t>
  </si>
  <si>
    <t>Max</t>
  </si>
  <si>
    <t>DCF</t>
  </si>
  <si>
    <t>Difference</t>
  </si>
  <si>
    <t>10x - 12x</t>
  </si>
  <si>
    <r>
      <t xml:space="preserve">Key Inputs </t>
    </r>
    <r>
      <rPr>
        <b/>
        <i/>
        <sz val="8"/>
        <color theme="0"/>
        <rFont val="Arial"/>
        <family val="2"/>
      </rPr>
      <t>(in thousands of USD except for Share Price)</t>
    </r>
  </si>
  <si>
    <t>2027E EBITDA</t>
  </si>
  <si>
    <t>EV/EBITDA Exit Multiple</t>
  </si>
  <si>
    <t>Target Company</t>
  </si>
  <si>
    <t>Comp 1</t>
  </si>
  <si>
    <t>Comp 2</t>
  </si>
  <si>
    <t>Comp 3</t>
  </si>
  <si>
    <t>Comp 4</t>
  </si>
  <si>
    <t>Comp 5</t>
  </si>
  <si>
    <t>Comp 6</t>
  </si>
  <si>
    <t>Comp 7</t>
  </si>
  <si>
    <t>2023 Q1 - Q3</t>
  </si>
  <si>
    <t>Add: Stock-Based Compensation</t>
  </si>
  <si>
    <t>Stock-Based Compensation</t>
  </si>
  <si>
    <t>Other Operating Expenses</t>
  </si>
  <si>
    <t>Adjusted EBIT</t>
  </si>
  <si>
    <t>Adjusted EBIT Margin</t>
  </si>
  <si>
    <t>EV/EBITDA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</si>
</sst>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_-* #,##0.00_-;\-* #,##0.00_-;_-* &quot;-&quot;??_-;_-@_-"/>
    <numFmt numFmtId="165" formatCode="#&quot;E&quot;"/>
    <numFmt numFmtId="166" formatCode="0.0\x"/>
    <numFmt numFmtId="167" formatCode="0.000"/>
    <numFmt numFmtId="168" formatCode="0.0"/>
    <numFmt numFmtId="169" formatCode="_(* #,##0_);_(* \(#,##0\);_(* &quot;-&quot;??_);_(@_)"/>
    <numFmt numFmtId="170" formatCode="&quot;$&quot;#,##0"/>
    <numFmt numFmtId="171" formatCode="0.0%"/>
    <numFmt numFmtId="172" formatCode="0.000%"/>
    <numFmt numFmtId="173" formatCode="_([$$-1009]* #,##0.00_);_([$$-1009]* \(#,##0.00\);_([$$-1009]* &quot;-&quot;??_);_(@_)"/>
    <numFmt numFmtId="174" formatCode="&quot;$&quot;#,##0.00"/>
  </numFmts>
  <fonts count="57" x14ac:knownFonts="1">
    <font>
      <sz val="12"/>
      <color theme="1"/>
      <name val="Calibri"/>
      <family val="2"/>
      <scheme val="minor"/>
    </font>
    <font>
      <sz val="12"/>
      <color theme="1"/>
      <name val="Calibri"/>
      <family val="2"/>
      <scheme val="minor"/>
    </font>
    <font>
      <sz val="12"/>
      <color rgb="FF9C5700"/>
      <name val="Calibri"/>
      <family val="2"/>
      <scheme val="minor"/>
    </font>
    <font>
      <sz val="12"/>
      <color theme="1"/>
      <name val="Arial"/>
      <family val="2"/>
    </font>
    <font>
      <b/>
      <sz val="12"/>
      <color theme="1"/>
      <name val="Arial"/>
      <family val="2"/>
    </font>
    <font>
      <b/>
      <sz val="12"/>
      <color rgb="FF0432FF"/>
      <name val="Arial"/>
      <family val="2"/>
    </font>
    <font>
      <b/>
      <sz val="12"/>
      <color rgb="FF108E0F"/>
      <name val="Arial"/>
      <family val="2"/>
    </font>
    <font>
      <b/>
      <sz val="12"/>
      <color theme="0"/>
      <name val="Arial"/>
      <family val="2"/>
    </font>
    <font>
      <i/>
      <sz val="9"/>
      <color theme="1"/>
      <name val="Arial"/>
      <family val="2"/>
    </font>
    <font>
      <b/>
      <u/>
      <sz val="12"/>
      <color theme="1"/>
      <name val="Arial"/>
      <family val="2"/>
    </font>
    <font>
      <i/>
      <sz val="10"/>
      <color theme="1"/>
      <name val="Arial"/>
      <family val="2"/>
    </font>
    <font>
      <sz val="12"/>
      <color rgb="FF0432FF"/>
      <name val="Arial"/>
      <family val="2"/>
    </font>
    <font>
      <i/>
      <sz val="12"/>
      <color theme="1"/>
      <name val="Arial"/>
      <family val="2"/>
    </font>
    <font>
      <sz val="12"/>
      <color rgb="FF108E0F"/>
      <name val="Arial"/>
      <family val="2"/>
    </font>
    <font>
      <sz val="12"/>
      <color theme="0"/>
      <name val="Arial"/>
      <family val="2"/>
    </font>
    <font>
      <sz val="12"/>
      <color rgb="FF9C5700"/>
      <name val="Arial"/>
      <family val="2"/>
    </font>
    <font>
      <sz val="12"/>
      <color rgb="FF00FA00"/>
      <name val="Arial"/>
      <family val="2"/>
    </font>
    <font>
      <i/>
      <sz val="8"/>
      <color theme="1"/>
      <name val="Arial"/>
      <family val="2"/>
    </font>
    <font>
      <b/>
      <sz val="10"/>
      <color theme="1"/>
      <name val="Arial"/>
      <family val="2"/>
    </font>
    <font>
      <sz val="10"/>
      <color rgb="FF000000"/>
      <name val="Arial"/>
      <family val="2"/>
    </font>
    <font>
      <sz val="8"/>
      <color rgb="FF000000"/>
      <name val="Arial"/>
      <family val="2"/>
    </font>
    <font>
      <b/>
      <sz val="16"/>
      <color rgb="FF000000"/>
      <name val="Arial"/>
      <family val="2"/>
    </font>
    <font>
      <b/>
      <sz val="10"/>
      <color rgb="FF000000"/>
      <name val="Arial"/>
      <family val="2"/>
    </font>
    <font>
      <sz val="12"/>
      <color rgb="FF00B050"/>
      <name val="Arial"/>
      <family val="2"/>
    </font>
    <font>
      <sz val="12"/>
      <name val="Arial"/>
      <family val="2"/>
    </font>
    <font>
      <sz val="10"/>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sz val="11"/>
      <color theme="0"/>
      <name val="Arial"/>
      <family val="2"/>
    </font>
    <font>
      <sz val="11"/>
      <color theme="1"/>
      <name val="Arial"/>
      <family val="2"/>
    </font>
    <font>
      <sz val="11"/>
      <color rgb="FF00B050"/>
      <name val="Arial"/>
      <family val="2"/>
    </font>
    <font>
      <sz val="11"/>
      <name val="Arial"/>
      <family val="2"/>
    </font>
    <font>
      <i/>
      <sz val="11"/>
      <color theme="1"/>
      <name val="Arial"/>
      <family val="2"/>
    </font>
    <font>
      <i/>
      <sz val="11"/>
      <color rgb="FF0432FF"/>
      <name val="Arial"/>
      <family val="2"/>
    </font>
    <font>
      <b/>
      <sz val="11"/>
      <color theme="1"/>
      <name val="Arial"/>
      <family val="2"/>
    </font>
    <font>
      <sz val="11"/>
      <color rgb="FF0432FF"/>
      <name val="Arial"/>
      <family val="2"/>
    </font>
    <font>
      <b/>
      <sz val="11"/>
      <color rgb="FF00B050"/>
      <name val="Arial"/>
      <family val="2"/>
    </font>
    <font>
      <sz val="8"/>
      <color theme="1"/>
      <name val="Arial"/>
      <family val="2"/>
    </font>
    <font>
      <sz val="10"/>
      <color theme="1"/>
      <name val="Arial"/>
      <family val="2"/>
    </font>
    <font>
      <sz val="14"/>
      <color theme="1"/>
      <name val="Calibri"/>
      <family val="2"/>
      <scheme val="minor"/>
    </font>
    <font>
      <sz val="14"/>
      <color theme="0"/>
      <name val="Calibri"/>
      <family val="2"/>
      <scheme val="minor"/>
    </font>
    <font>
      <b/>
      <i/>
      <sz val="8"/>
      <color theme="0"/>
      <name val="Arial"/>
      <family val="2"/>
    </font>
    <font>
      <sz val="8"/>
      <name val="Calibri"/>
      <family val="2"/>
      <scheme val="minor"/>
    </font>
    <font>
      <sz val="12"/>
      <color rgb="FF000000"/>
      <name val="Arial"/>
      <family val="2"/>
    </font>
    <font>
      <b/>
      <sz val="12"/>
      <color rgb="FF000000"/>
      <name val="Arial"/>
      <family val="2"/>
    </font>
  </fonts>
  <fills count="13">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7" tint="0.59999389629810485"/>
        <bgColor indexed="64"/>
      </patternFill>
    </fill>
  </fills>
  <borders count="24">
    <border>
      <left/>
      <right/>
      <top/>
      <bottom/>
      <diagonal/>
    </border>
    <border>
      <left/>
      <right style="thin">
        <color indexed="64"/>
      </right>
      <top/>
      <bottom/>
      <diagonal/>
    </border>
    <border>
      <left/>
      <right style="thin">
        <color indexed="64"/>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hair">
        <color auto="1"/>
      </bottom>
      <diagonal/>
    </border>
    <border>
      <left/>
      <right/>
      <top/>
      <bottom style="hair">
        <color auto="1"/>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2">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9" fillId="0" borderId="0"/>
    <xf numFmtId="0" fontId="25" fillId="0" borderId="0"/>
    <xf numFmtId="0" fontId="26" fillId="0" borderId="0" applyAlignment="0"/>
    <xf numFmtId="0" fontId="27" fillId="0" borderId="0" applyAlignment="0"/>
    <xf numFmtId="0" fontId="28" fillId="4" borderId="0" applyAlignment="0"/>
    <xf numFmtId="0" fontId="29" fillId="5" borderId="0" applyAlignment="0"/>
    <xf numFmtId="0" fontId="30" fillId="6" borderId="0" applyAlignment="0"/>
    <xf numFmtId="0" fontId="31" fillId="7" borderId="0" applyAlignment="0"/>
    <xf numFmtId="0" fontId="32" fillId="0" borderId="0" applyAlignment="0"/>
    <xf numFmtId="0" fontId="33" fillId="0" borderId="0" applyAlignment="0"/>
    <xf numFmtId="0" fontId="34" fillId="0" borderId="0" applyAlignment="0"/>
    <xf numFmtId="0" fontId="35" fillId="0" borderId="0" applyAlignment="0"/>
    <xf numFmtId="0" fontId="36" fillId="0" borderId="0" applyAlignment="0"/>
    <xf numFmtId="0" fontId="35" fillId="0" borderId="0" applyAlignment="0">
      <alignment wrapText="1"/>
    </xf>
    <xf numFmtId="0" fontId="37" fillId="0" borderId="0" applyAlignment="0"/>
    <xf numFmtId="0" fontId="38" fillId="0" borderId="0" applyAlignment="0"/>
    <xf numFmtId="0" fontId="39" fillId="0" borderId="0" applyAlignment="0"/>
  </cellStyleXfs>
  <cellXfs count="218">
    <xf numFmtId="0" fontId="0" fillId="0" borderId="0" xfId="0"/>
    <xf numFmtId="0" fontId="3" fillId="0" borderId="0" xfId="0" applyFont="1"/>
    <xf numFmtId="0" fontId="8" fillId="0" borderId="0" xfId="0" applyFont="1"/>
    <xf numFmtId="0" fontId="4" fillId="0" borderId="0" xfId="0" applyFont="1" applyAlignment="1">
      <alignment horizontal="center" vertical="center"/>
    </xf>
    <xf numFmtId="0" fontId="4" fillId="0" borderId="0" xfId="0" applyFont="1"/>
    <xf numFmtId="0" fontId="4" fillId="0" borderId="3" xfId="0" applyFont="1" applyBorder="1"/>
    <xf numFmtId="0" fontId="4" fillId="0" borderId="5" xfId="0" applyFont="1" applyBorder="1"/>
    <xf numFmtId="0" fontId="4" fillId="0" borderId="6" xfId="0" applyFont="1" applyBorder="1"/>
    <xf numFmtId="0" fontId="4" fillId="0" borderId="8" xfId="0" applyFont="1" applyBorder="1"/>
    <xf numFmtId="0" fontId="4" fillId="3" borderId="10" xfId="0" applyFont="1" applyFill="1" applyBorder="1"/>
    <xf numFmtId="0" fontId="3" fillId="0" borderId="12" xfId="0" applyFont="1" applyBorder="1"/>
    <xf numFmtId="0" fontId="4" fillId="2" borderId="13" xfId="4" applyFont="1" applyBorder="1"/>
    <xf numFmtId="0" fontId="15" fillId="2" borderId="14" xfId="4" applyFont="1" applyBorder="1"/>
    <xf numFmtId="0" fontId="17" fillId="0" borderId="0" xfId="0" applyFont="1"/>
    <xf numFmtId="0" fontId="18" fillId="0" borderId="0" xfId="0" applyFont="1"/>
    <xf numFmtId="0" fontId="10" fillId="0" borderId="0" xfId="0" applyFont="1" applyAlignment="1">
      <alignment horizontal="left" indent="1"/>
    </xf>
    <xf numFmtId="0" fontId="3" fillId="0" borderId="0" xfId="0" applyFont="1" applyAlignment="1">
      <alignment horizontal="left" indent="1"/>
    </xf>
    <xf numFmtId="0" fontId="10" fillId="0" borderId="12" xfId="0" applyFont="1" applyBorder="1" applyAlignment="1">
      <alignment horizontal="left" indent="1"/>
    </xf>
    <xf numFmtId="0" fontId="18" fillId="0" borderId="0" xfId="0" applyFont="1" applyAlignment="1">
      <alignment horizontal="left"/>
    </xf>
    <xf numFmtId="43" fontId="3" fillId="0" borderId="0" xfId="1" applyFont="1"/>
    <xf numFmtId="2" fontId="3" fillId="0" borderId="12" xfId="0" applyNumberFormat="1" applyFont="1" applyBorder="1"/>
    <xf numFmtId="0" fontId="22" fillId="0" borderId="0" xfId="0" applyFont="1" applyAlignment="1">
      <alignment vertical="top" wrapText="1"/>
    </xf>
    <xf numFmtId="0" fontId="22" fillId="0" borderId="0" xfId="0" applyFont="1" applyAlignment="1">
      <alignment horizontal="left" vertical="top"/>
    </xf>
    <xf numFmtId="0" fontId="22" fillId="0" borderId="0" xfId="0" applyFont="1" applyAlignment="1">
      <alignment horizontal="right" vertical="top" wrapText="1"/>
    </xf>
    <xf numFmtId="0" fontId="0" fillId="0" borderId="0" xfId="0" applyAlignment="1">
      <alignment horizontal="left"/>
    </xf>
    <xf numFmtId="1" fontId="0" fillId="0" borderId="0" xfId="0" applyNumberFormat="1"/>
    <xf numFmtId="0" fontId="0" fillId="0" borderId="0" xfId="0" applyAlignment="1">
      <alignment horizontal="right"/>
    </xf>
    <xf numFmtId="0" fontId="20" fillId="0" borderId="0" xfId="0" applyFont="1" applyAlignment="1">
      <alignment horizontal="left"/>
    </xf>
    <xf numFmtId="0" fontId="21" fillId="0" borderId="0" xfId="0" applyFont="1" applyAlignment="1">
      <alignment horizontal="left"/>
    </xf>
    <xf numFmtId="0" fontId="0" fillId="0" borderId="0" xfId="0" applyAlignment="1">
      <alignment horizontal="left" vertical="top" wrapText="1"/>
    </xf>
    <xf numFmtId="170" fontId="3" fillId="0" borderId="0" xfId="0" applyNumberFormat="1" applyFont="1"/>
    <xf numFmtId="170" fontId="13" fillId="0" borderId="12" xfId="0" applyNumberFormat="1" applyFont="1" applyBorder="1"/>
    <xf numFmtId="170" fontId="4" fillId="2" borderId="15" xfId="2" applyNumberFormat="1" applyFont="1" applyFill="1" applyBorder="1"/>
    <xf numFmtId="0" fontId="9" fillId="0" borderId="0" xfId="0"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70" fontId="3" fillId="0" borderId="21" xfId="2" applyNumberFormat="1" applyFont="1" applyBorder="1"/>
    <xf numFmtId="0" fontId="3" fillId="0" borderId="21" xfId="0" applyFont="1" applyBorder="1"/>
    <xf numFmtId="0" fontId="3" fillId="0" borderId="19" xfId="0" applyFont="1" applyBorder="1"/>
    <xf numFmtId="2" fontId="19" fillId="0" borderId="0" xfId="5" applyNumberFormat="1"/>
    <xf numFmtId="167" fontId="19" fillId="0" borderId="0" xfId="5" applyNumberFormat="1"/>
    <xf numFmtId="168" fontId="19" fillId="0" borderId="0" xfId="5" applyNumberFormat="1"/>
    <xf numFmtId="0" fontId="19" fillId="0" borderId="0" xfId="5" applyAlignment="1">
      <alignment horizontal="right"/>
    </xf>
    <xf numFmtId="1" fontId="19" fillId="0" borderId="0" xfId="5" applyNumberFormat="1"/>
    <xf numFmtId="0" fontId="19" fillId="0" borderId="0" xfId="5" applyAlignment="1">
      <alignment horizontal="left"/>
    </xf>
    <xf numFmtId="0" fontId="22" fillId="0" borderId="0" xfId="5" applyFont="1" applyAlignment="1">
      <alignment horizontal="right" vertical="top" wrapText="1"/>
    </xf>
    <xf numFmtId="0" fontId="22" fillId="0" borderId="0" xfId="5" applyFont="1" applyAlignment="1">
      <alignment horizontal="left" vertical="top"/>
    </xf>
    <xf numFmtId="0" fontId="22" fillId="0" borderId="0" xfId="5" applyFont="1" applyAlignment="1">
      <alignment vertical="top" wrapText="1"/>
    </xf>
    <xf numFmtId="0" fontId="19" fillId="0" borderId="0" xfId="5" applyAlignment="1">
      <alignment horizontal="left" vertical="top" wrapText="1"/>
    </xf>
    <xf numFmtId="0" fontId="19" fillId="0" borderId="0" xfId="5"/>
    <xf numFmtId="173" fontId="3" fillId="0" borderId="0" xfId="0" applyNumberFormat="1" applyFont="1"/>
    <xf numFmtId="0" fontId="3" fillId="8" borderId="0" xfId="0" applyFont="1" applyFill="1"/>
    <xf numFmtId="166" fontId="3" fillId="0" borderId="0" xfId="0" applyNumberFormat="1" applyFont="1"/>
    <xf numFmtId="171" fontId="3" fillId="0" borderId="0" xfId="3" applyNumberFormat="1" applyFont="1" applyFill="1" applyBorder="1"/>
    <xf numFmtId="172" fontId="3" fillId="0" borderId="0" xfId="0" applyNumberFormat="1" applyFont="1"/>
    <xf numFmtId="170" fontId="3" fillId="0" borderId="16" xfId="0" applyNumberFormat="1" applyFont="1" applyBorder="1"/>
    <xf numFmtId="171" fontId="3" fillId="0" borderId="14" xfId="3" applyNumberFormat="1" applyFont="1" applyFill="1" applyBorder="1"/>
    <xf numFmtId="171" fontId="3" fillId="0" borderId="15" xfId="3" applyNumberFormat="1" applyFont="1" applyFill="1" applyBorder="1"/>
    <xf numFmtId="170" fontId="3" fillId="0" borderId="1" xfId="0" applyNumberFormat="1" applyFont="1" applyBorder="1"/>
    <xf numFmtId="170" fontId="3" fillId="0" borderId="2" xfId="0" applyNumberFormat="1" applyFont="1" applyBorder="1"/>
    <xf numFmtId="166" fontId="3" fillId="0" borderId="14" xfId="0" applyNumberFormat="1" applyFont="1" applyBorder="1"/>
    <xf numFmtId="166" fontId="3" fillId="0" borderId="15" xfId="0" applyNumberFormat="1" applyFont="1" applyBorder="1"/>
    <xf numFmtId="170" fontId="3" fillId="0" borderId="0" xfId="2" applyNumberFormat="1" applyFont="1" applyFill="1" applyBorder="1"/>
    <xf numFmtId="170" fontId="3" fillId="0" borderId="1" xfId="2" applyNumberFormat="1" applyFont="1" applyFill="1" applyBorder="1"/>
    <xf numFmtId="171" fontId="3" fillId="0" borderId="21" xfId="3" applyNumberFormat="1" applyFont="1" applyBorder="1"/>
    <xf numFmtId="0" fontId="3" fillId="8" borderId="21" xfId="0" applyFont="1" applyFill="1" applyBorder="1"/>
    <xf numFmtId="0" fontId="3" fillId="8" borderId="23" xfId="0" applyFont="1" applyFill="1" applyBorder="1"/>
    <xf numFmtId="0" fontId="10" fillId="0" borderId="19" xfId="0" applyFont="1" applyBorder="1"/>
    <xf numFmtId="0" fontId="4" fillId="0" borderId="0" xfId="0" applyFont="1" applyAlignment="1">
      <alignment horizontal="right"/>
    </xf>
    <xf numFmtId="0" fontId="12" fillId="0" borderId="0" xfId="0" applyFont="1" applyAlignment="1">
      <alignment horizontal="right"/>
    </xf>
    <xf numFmtId="0" fontId="3" fillId="0" borderId="0" xfId="0" applyFont="1" applyAlignment="1">
      <alignment horizontal="right"/>
    </xf>
    <xf numFmtId="0" fontId="3" fillId="0" borderId="1" xfId="0" applyFont="1" applyBorder="1" applyAlignment="1">
      <alignment horizontal="right"/>
    </xf>
    <xf numFmtId="0" fontId="3" fillId="0" borderId="1" xfId="0" applyFont="1" applyBorder="1"/>
    <xf numFmtId="0" fontId="4" fillId="0" borderId="19" xfId="0" applyFont="1" applyBorder="1"/>
    <xf numFmtId="170" fontId="6" fillId="0" borderId="0" xfId="0" applyNumberFormat="1" applyFont="1"/>
    <xf numFmtId="0" fontId="12" fillId="0" borderId="20" xfId="0" applyFont="1" applyBorder="1"/>
    <xf numFmtId="170" fontId="4" fillId="0" borderId="0" xfId="0" applyNumberFormat="1" applyFont="1"/>
    <xf numFmtId="170" fontId="4" fillId="0" borderId="1" xfId="0" applyNumberFormat="1" applyFont="1" applyBorder="1"/>
    <xf numFmtId="170" fontId="13" fillId="0" borderId="0" xfId="0" applyNumberFormat="1" applyFont="1"/>
    <xf numFmtId="170" fontId="13" fillId="0" borderId="0" xfId="1" applyNumberFormat="1" applyFont="1" applyBorder="1"/>
    <xf numFmtId="170" fontId="13" fillId="0" borderId="1" xfId="1" applyNumberFormat="1" applyFont="1" applyBorder="1"/>
    <xf numFmtId="0" fontId="3" fillId="0" borderId="20" xfId="0" applyFont="1" applyBorder="1"/>
    <xf numFmtId="2" fontId="3" fillId="0" borderId="2" xfId="0" applyNumberFormat="1" applyFont="1" applyBorder="1"/>
    <xf numFmtId="0" fontId="4" fillId="0" borderId="20" xfId="0" applyFont="1" applyBorder="1"/>
    <xf numFmtId="170" fontId="4" fillId="0" borderId="12" xfId="0" applyNumberFormat="1" applyFont="1" applyBorder="1"/>
    <xf numFmtId="170" fontId="4" fillId="0" borderId="2" xfId="0" applyNumberFormat="1" applyFont="1" applyBorder="1"/>
    <xf numFmtId="44" fontId="11" fillId="0" borderId="0" xfId="2" applyFont="1" applyBorder="1"/>
    <xf numFmtId="0" fontId="11" fillId="0" borderId="1" xfId="0" applyFont="1" applyBorder="1"/>
    <xf numFmtId="43" fontId="11" fillId="0" borderId="0" xfId="1" applyFont="1" applyBorder="1"/>
    <xf numFmtId="169" fontId="3" fillId="0" borderId="0" xfId="1" applyNumberFormat="1" applyFont="1" applyBorder="1"/>
    <xf numFmtId="170" fontId="11" fillId="0" borderId="0" xfId="0" applyNumberFormat="1" applyFont="1"/>
    <xf numFmtId="1" fontId="11" fillId="0" borderId="1" xfId="0" applyNumberFormat="1" applyFont="1" applyBorder="1"/>
    <xf numFmtId="10" fontId="11" fillId="0" borderId="0" xfId="3" applyNumberFormat="1" applyFont="1" applyBorder="1"/>
    <xf numFmtId="0" fontId="11" fillId="0" borderId="0" xfId="0" applyFont="1"/>
    <xf numFmtId="10" fontId="3" fillId="0" borderId="0" xfId="3" applyNumberFormat="1" applyFont="1" applyBorder="1"/>
    <xf numFmtId="10" fontId="4" fillId="0" borderId="0" xfId="3" applyNumberFormat="1" applyFont="1" applyBorder="1"/>
    <xf numFmtId="0" fontId="4" fillId="0" borderId="1" xfId="0" applyFont="1" applyBorder="1"/>
    <xf numFmtId="170" fontId="24" fillId="0" borderId="0" xfId="0" applyNumberFormat="1" applyFont="1"/>
    <xf numFmtId="0" fontId="16" fillId="0" borderId="2" xfId="0" applyFont="1" applyBorder="1"/>
    <xf numFmtId="0" fontId="14" fillId="8" borderId="21" xfId="0" applyFont="1" applyFill="1" applyBorder="1"/>
    <xf numFmtId="0" fontId="14" fillId="8" borderId="23" xfId="0" applyFont="1" applyFill="1" applyBorder="1"/>
    <xf numFmtId="10" fontId="23" fillId="0" borderId="2" xfId="3" applyNumberFormat="1" applyFont="1" applyBorder="1"/>
    <xf numFmtId="170" fontId="3" fillId="0" borderId="1" xfId="1" applyNumberFormat="1" applyFont="1" applyBorder="1"/>
    <xf numFmtId="170" fontId="4" fillId="0" borderId="1" xfId="1" applyNumberFormat="1" applyFont="1" applyBorder="1"/>
    <xf numFmtId="169" fontId="3" fillId="0" borderId="1" xfId="1" applyNumberFormat="1" applyFont="1" applyBorder="1"/>
    <xf numFmtId="10" fontId="3" fillId="0" borderId="2" xfId="3" applyNumberFormat="1" applyFont="1" applyBorder="1"/>
    <xf numFmtId="0" fontId="7" fillId="8" borderId="0" xfId="0" applyFont="1" applyFill="1" applyAlignment="1">
      <alignment horizontal="left"/>
    </xf>
    <xf numFmtId="0" fontId="7" fillId="8" borderId="0" xfId="0" applyFont="1" applyFill="1" applyAlignment="1">
      <alignment horizontal="left" vertical="center"/>
    </xf>
    <xf numFmtId="0" fontId="3" fillId="8" borderId="0" xfId="0" applyFont="1" applyFill="1" applyAlignment="1">
      <alignment horizontal="left" vertical="center"/>
    </xf>
    <xf numFmtId="0" fontId="3" fillId="0" borderId="0" xfId="0" applyFont="1" applyAlignment="1">
      <alignment horizontal="left" vertical="center"/>
    </xf>
    <xf numFmtId="0" fontId="7" fillId="8" borderId="22" xfId="0" applyFont="1" applyFill="1" applyBorder="1" applyAlignment="1">
      <alignment horizontal="left" vertical="center"/>
    </xf>
    <xf numFmtId="0" fontId="3" fillId="8" borderId="21" xfId="0" applyFont="1" applyFill="1" applyBorder="1" applyAlignment="1">
      <alignment horizontal="left" vertical="center"/>
    </xf>
    <xf numFmtId="10" fontId="11" fillId="9" borderId="0" xfId="3" applyNumberFormat="1" applyFont="1" applyFill="1" applyBorder="1"/>
    <xf numFmtId="166" fontId="11" fillId="9" borderId="12" xfId="0" applyNumberFormat="1" applyFont="1" applyFill="1" applyBorder="1"/>
    <xf numFmtId="170" fontId="3" fillId="0" borderId="12" xfId="0" applyNumberFormat="1" applyFont="1" applyBorder="1"/>
    <xf numFmtId="0" fontId="41" fillId="8" borderId="0" xfId="0" applyFont="1" applyFill="1" applyAlignment="1">
      <alignment horizontal="left" vertical="center"/>
    </xf>
    <xf numFmtId="0" fontId="41" fillId="0" borderId="0" xfId="0" applyFont="1"/>
    <xf numFmtId="170" fontId="42" fillId="0" borderId="0" xfId="2" applyNumberFormat="1" applyFont="1"/>
    <xf numFmtId="170" fontId="43" fillId="0" borderId="0" xfId="2" applyNumberFormat="1" applyFont="1"/>
    <xf numFmtId="171" fontId="44" fillId="0" borderId="0" xfId="3" applyNumberFormat="1" applyFont="1"/>
    <xf numFmtId="171" fontId="44" fillId="0" borderId="0" xfId="3" applyNumberFormat="1" applyFont="1" applyBorder="1"/>
    <xf numFmtId="170" fontId="42" fillId="0" borderId="1" xfId="2" applyNumberFormat="1" applyFont="1" applyBorder="1"/>
    <xf numFmtId="170" fontId="41" fillId="0" borderId="0" xfId="2" applyNumberFormat="1" applyFont="1" applyBorder="1"/>
    <xf numFmtId="171" fontId="44" fillId="0" borderId="12" xfId="3" applyNumberFormat="1" applyFont="1" applyBorder="1"/>
    <xf numFmtId="171" fontId="45" fillId="9" borderId="20" xfId="3" applyNumberFormat="1" applyFont="1" applyFill="1" applyBorder="1"/>
    <xf numFmtId="170" fontId="46" fillId="0" borderId="0" xfId="2" applyNumberFormat="1" applyFont="1"/>
    <xf numFmtId="170" fontId="41" fillId="0" borderId="19" xfId="2" applyNumberFormat="1" applyFont="1" applyBorder="1"/>
    <xf numFmtId="170" fontId="41" fillId="0" borderId="0" xfId="2" applyNumberFormat="1" applyFont="1"/>
    <xf numFmtId="10" fontId="44" fillId="0" borderId="12" xfId="3" applyNumberFormat="1" applyFont="1" applyBorder="1"/>
    <xf numFmtId="10" fontId="44" fillId="0" borderId="0" xfId="3" applyNumberFormat="1" applyFont="1"/>
    <xf numFmtId="0" fontId="41" fillId="0" borderId="19" xfId="0" applyFont="1" applyBorder="1"/>
    <xf numFmtId="0" fontId="41" fillId="8" borderId="19" xfId="0" applyFont="1" applyFill="1" applyBorder="1" applyAlignment="1">
      <alignment horizontal="left" vertical="center"/>
    </xf>
    <xf numFmtId="170" fontId="41" fillId="0" borderId="19" xfId="0" applyNumberFormat="1" applyFont="1" applyBorder="1"/>
    <xf numFmtId="10" fontId="47" fillId="9" borderId="19" xfId="3" applyNumberFormat="1" applyFont="1" applyFill="1" applyBorder="1"/>
    <xf numFmtId="10" fontId="47" fillId="9" borderId="20" xfId="3" applyNumberFormat="1" applyFont="1" applyFill="1" applyBorder="1"/>
    <xf numFmtId="170" fontId="41" fillId="0" borderId="21" xfId="2" applyNumberFormat="1" applyFont="1" applyBorder="1"/>
    <xf numFmtId="170" fontId="41" fillId="0" borderId="12" xfId="2" applyNumberFormat="1" applyFont="1" applyBorder="1"/>
    <xf numFmtId="170" fontId="48" fillId="0" borderId="0" xfId="1" applyNumberFormat="1" applyFont="1"/>
    <xf numFmtId="170" fontId="46" fillId="0" borderId="19" xfId="1" applyNumberFormat="1" applyFont="1" applyBorder="1"/>
    <xf numFmtId="164" fontId="41" fillId="0" borderId="0" xfId="0" applyNumberFormat="1" applyFont="1"/>
    <xf numFmtId="10" fontId="47" fillId="9" borderId="0" xfId="3" applyNumberFormat="1" applyFont="1" applyFill="1" applyBorder="1"/>
    <xf numFmtId="10" fontId="44" fillId="0" borderId="0" xfId="0" applyNumberFormat="1" applyFont="1"/>
    <xf numFmtId="10" fontId="44" fillId="0" borderId="19" xfId="0" applyNumberFormat="1" applyFont="1" applyBorder="1"/>
    <xf numFmtId="10" fontId="41" fillId="0" borderId="0" xfId="0" applyNumberFormat="1" applyFont="1"/>
    <xf numFmtId="0" fontId="49" fillId="0" borderId="0" xfId="0" applyFont="1"/>
    <xf numFmtId="0" fontId="10" fillId="0" borderId="20" xfId="0" applyFont="1" applyBorder="1"/>
    <xf numFmtId="10" fontId="45" fillId="9" borderId="20" xfId="3" applyNumberFormat="1" applyFont="1" applyFill="1" applyBorder="1"/>
    <xf numFmtId="165" fontId="41" fillId="0" borderId="0" xfId="0" applyNumberFormat="1" applyFont="1" applyAlignment="1">
      <alignment horizontal="right"/>
    </xf>
    <xf numFmtId="0" fontId="41" fillId="0" borderId="19" xfId="0" applyFont="1" applyBorder="1" applyAlignment="1">
      <alignment horizontal="right"/>
    </xf>
    <xf numFmtId="0" fontId="41" fillId="10" borderId="0" xfId="0" applyFont="1" applyFill="1" applyAlignment="1">
      <alignment horizontal="right"/>
    </xf>
    <xf numFmtId="165" fontId="41" fillId="10" borderId="19" xfId="0" applyNumberFormat="1" applyFont="1" applyFill="1" applyBorder="1" applyAlignment="1">
      <alignment horizontal="right"/>
    </xf>
    <xf numFmtId="10" fontId="3" fillId="0" borderId="0" xfId="0" applyNumberFormat="1" applyFont="1"/>
    <xf numFmtId="171" fontId="11" fillId="0" borderId="0" xfId="3" applyNumberFormat="1" applyFont="1" applyBorder="1"/>
    <xf numFmtId="170" fontId="42" fillId="0" borderId="0" xfId="2" applyNumberFormat="1" applyFont="1" applyBorder="1"/>
    <xf numFmtId="2" fontId="11" fillId="0" borderId="0" xfId="0" applyNumberFormat="1" applyFont="1" applyAlignment="1">
      <alignment horizontal="center" vertical="center"/>
    </xf>
    <xf numFmtId="2" fontId="3" fillId="0" borderId="0" xfId="0" applyNumberFormat="1" applyFont="1" applyAlignment="1">
      <alignment horizontal="center" vertical="center"/>
    </xf>
    <xf numFmtId="2" fontId="3" fillId="0" borderId="4" xfId="0" applyNumberFormat="1" applyFont="1" applyBorder="1" applyAlignment="1">
      <alignment horizontal="center" vertical="center"/>
    </xf>
    <xf numFmtId="2" fontId="3" fillId="0" borderId="7" xfId="0" applyNumberFormat="1" applyFont="1" applyBorder="1" applyAlignment="1">
      <alignment horizontal="center" vertical="center"/>
    </xf>
    <xf numFmtId="2" fontId="4" fillId="0" borderId="9" xfId="0" applyNumberFormat="1" applyFont="1" applyBorder="1" applyAlignment="1">
      <alignment horizontal="center" vertical="center"/>
    </xf>
    <xf numFmtId="2" fontId="5" fillId="3" borderId="11" xfId="0" applyNumberFormat="1" applyFont="1" applyFill="1" applyBorder="1" applyAlignment="1">
      <alignment horizontal="center" vertical="center"/>
    </xf>
    <xf numFmtId="0" fontId="4" fillId="0" borderId="9" xfId="0" applyFont="1" applyBorder="1"/>
    <xf numFmtId="2" fontId="11" fillId="0" borderId="9" xfId="0" applyNumberFormat="1" applyFont="1" applyBorder="1" applyAlignment="1">
      <alignment horizontal="center" vertical="center"/>
    </xf>
    <xf numFmtId="0" fontId="7" fillId="8" borderId="0" xfId="0" applyFont="1" applyFill="1" applyAlignment="1">
      <alignment horizontal="center" vertical="center"/>
    </xf>
    <xf numFmtId="0" fontId="8" fillId="0" borderId="0" xfId="0" applyFont="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3" borderId="11" xfId="0" applyFont="1" applyFill="1" applyBorder="1" applyAlignment="1">
      <alignment horizontal="center" vertical="center"/>
    </xf>
    <xf numFmtId="0" fontId="4" fillId="0" borderId="14" xfId="0" applyFont="1" applyBorder="1" applyAlignment="1">
      <alignment horizontal="center" vertical="center"/>
    </xf>
    <xf numFmtId="2" fontId="11" fillId="0" borderId="14" xfId="0" applyNumberFormat="1" applyFont="1" applyBorder="1" applyAlignment="1">
      <alignment horizontal="center" vertical="center"/>
    </xf>
    <xf numFmtId="0" fontId="4" fillId="0" borderId="14" xfId="0" applyFont="1" applyBorder="1"/>
    <xf numFmtId="10" fontId="3" fillId="0" borderId="17" xfId="3" applyNumberFormat="1" applyFont="1" applyFill="1" applyBorder="1"/>
    <xf numFmtId="10" fontId="3" fillId="0" borderId="18" xfId="3" applyNumberFormat="1" applyFont="1" applyFill="1" applyBorder="1"/>
    <xf numFmtId="170" fontId="3" fillId="0" borderId="0" xfId="0" applyNumberFormat="1" applyFont="1" applyAlignment="1">
      <alignment horizontal="center" vertical="center"/>
    </xf>
    <xf numFmtId="0" fontId="7" fillId="0" borderId="0" xfId="0" applyFont="1" applyAlignment="1">
      <alignment horizontal="left"/>
    </xf>
    <xf numFmtId="0" fontId="5" fillId="3" borderId="11" xfId="0" applyFont="1" applyFill="1" applyBorder="1" applyAlignment="1">
      <alignment horizontal="center" vertical="center"/>
    </xf>
    <xf numFmtId="171" fontId="3" fillId="0" borderId="12" xfId="3" applyNumberFormat="1" applyFont="1" applyBorder="1"/>
    <xf numFmtId="171" fontId="3" fillId="0" borderId="2" xfId="3" applyNumberFormat="1" applyFont="1" applyBorder="1"/>
    <xf numFmtId="2" fontId="11" fillId="0" borderId="21" xfId="0" applyNumberFormat="1" applyFont="1" applyBorder="1" applyAlignment="1">
      <alignment horizontal="center" vertical="center"/>
    </xf>
    <xf numFmtId="0" fontId="0" fillId="0" borderId="0" xfId="0" applyAlignment="1">
      <alignment horizontal="left" vertical="center"/>
    </xf>
    <xf numFmtId="0" fontId="51" fillId="0" borderId="0" xfId="0" applyFont="1" applyAlignment="1">
      <alignment horizontal="left" vertical="center"/>
    </xf>
    <xf numFmtId="0" fontId="52" fillId="11" borderId="0" xfId="0" applyFont="1" applyFill="1" applyAlignment="1">
      <alignment horizontal="left" vertical="center"/>
    </xf>
    <xf numFmtId="166" fontId="23" fillId="0" borderId="2" xfId="0" applyNumberFormat="1" applyFont="1" applyBorder="1"/>
    <xf numFmtId="169" fontId="3" fillId="0" borderId="1" xfId="1" applyNumberFormat="1" applyFont="1" applyFill="1" applyBorder="1"/>
    <xf numFmtId="10" fontId="3" fillId="0" borderId="2" xfId="3" applyNumberFormat="1" applyFont="1" applyFill="1" applyBorder="1"/>
    <xf numFmtId="0" fontId="4" fillId="12" borderId="13" xfId="4" applyFont="1" applyFill="1" applyBorder="1"/>
    <xf numFmtId="0" fontId="15" fillId="12" borderId="14" xfId="4" applyFont="1" applyFill="1" applyBorder="1"/>
    <xf numFmtId="170" fontId="4" fillId="12" borderId="15" xfId="2" applyNumberFormat="1" applyFont="1" applyFill="1" applyBorder="1"/>
    <xf numFmtId="0" fontId="7" fillId="0" borderId="0" xfId="0" applyFont="1" applyAlignment="1">
      <alignment horizontal="left" vertical="center"/>
    </xf>
    <xf numFmtId="0" fontId="55" fillId="0" borderId="0" xfId="0" applyFont="1"/>
    <xf numFmtId="10" fontId="11" fillId="0" borderId="0" xfId="0" applyNumberFormat="1" applyFont="1" applyAlignment="1">
      <alignment horizontal="left"/>
    </xf>
    <xf numFmtId="171" fontId="11" fillId="0" borderId="0" xfId="0" applyNumberFormat="1" applyFont="1" applyAlignment="1">
      <alignment horizontal="left"/>
    </xf>
    <xf numFmtId="0" fontId="11" fillId="0" borderId="0" xfId="0" applyFont="1" applyAlignment="1">
      <alignment horizontal="left"/>
    </xf>
    <xf numFmtId="10" fontId="55" fillId="0" borderId="0" xfId="0" applyNumberFormat="1" applyFont="1" applyAlignment="1">
      <alignment horizontal="left"/>
    </xf>
    <xf numFmtId="0" fontId="56" fillId="0" borderId="0" xfId="0" applyFont="1"/>
    <xf numFmtId="10" fontId="56" fillId="0" borderId="0" xfId="0" applyNumberFormat="1" applyFont="1" applyAlignment="1">
      <alignment horizontal="left"/>
    </xf>
    <xf numFmtId="174" fontId="3" fillId="0" borderId="0" xfId="0" applyNumberFormat="1" applyFont="1"/>
    <xf numFmtId="0" fontId="4" fillId="0" borderId="21" xfId="0" applyFont="1" applyBorder="1" applyAlignment="1">
      <alignment horizontal="center" vertical="center"/>
    </xf>
    <xf numFmtId="0" fontId="4" fillId="0" borderId="12" xfId="0" applyFont="1" applyBorder="1" applyAlignment="1">
      <alignment horizontal="center" vertical="center"/>
    </xf>
    <xf numFmtId="0" fontId="4" fillId="0" borderId="21" xfId="0" applyFont="1" applyBorder="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1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4" fillId="0" borderId="20" xfId="0" applyFont="1" applyBorder="1" applyAlignment="1">
      <alignment horizontal="center"/>
    </xf>
    <xf numFmtId="0" fontId="4" fillId="0" borderId="12" xfId="0" applyFont="1" applyBorder="1" applyAlignment="1">
      <alignment horizontal="center"/>
    </xf>
    <xf numFmtId="0" fontId="4" fillId="0" borderId="2" xfId="0" applyFont="1" applyBorder="1" applyAlignment="1">
      <alignment horizontal="center"/>
    </xf>
    <xf numFmtId="0" fontId="4" fillId="0" borderId="1" xfId="0" applyFont="1" applyBorder="1" applyAlignment="1">
      <alignment horizontal="right" vertical="center" textRotation="90" wrapText="1"/>
    </xf>
    <xf numFmtId="10" fontId="47" fillId="9" borderId="0" xfId="3" applyNumberFormat="1" applyFont="1" applyFill="1" applyBorder="1" applyAlignment="1">
      <alignment horizontal="center"/>
    </xf>
    <xf numFmtId="10" fontId="47" fillId="9" borderId="1" xfId="3" applyNumberFormat="1" applyFont="1" applyFill="1" applyBorder="1" applyAlignment="1">
      <alignment horizontal="center"/>
    </xf>
    <xf numFmtId="10" fontId="47" fillId="9" borderId="12" xfId="3" applyNumberFormat="1" applyFont="1" applyFill="1" applyBorder="1" applyAlignment="1">
      <alignment horizontal="center"/>
    </xf>
    <xf numFmtId="171" fontId="44" fillId="0" borderId="0" xfId="3" applyNumberFormat="1" applyFont="1" applyBorder="1" applyAlignment="1">
      <alignment horizontal="center"/>
    </xf>
    <xf numFmtId="0" fontId="40" fillId="8" borderId="19" xfId="0" applyFont="1" applyFill="1" applyBorder="1" applyAlignment="1">
      <alignment horizontal="center" vertical="center"/>
    </xf>
    <xf numFmtId="0" fontId="40" fillId="8" borderId="0" xfId="0" applyFont="1" applyFill="1" applyAlignment="1">
      <alignment horizontal="center" vertical="center"/>
    </xf>
    <xf numFmtId="0" fontId="40" fillId="8" borderId="1" xfId="0" applyFont="1" applyFill="1" applyBorder="1" applyAlignment="1">
      <alignment horizontal="center" vertical="center"/>
    </xf>
    <xf numFmtId="10" fontId="47" fillId="9" borderId="2" xfId="3" applyNumberFormat="1" applyFont="1" applyFill="1" applyBorder="1" applyAlignment="1">
      <alignment horizontal="center"/>
    </xf>
    <xf numFmtId="0" fontId="0" fillId="0" borderId="0" xfId="0" applyAlignment="1">
      <alignment horizontal="center" vertical="center"/>
    </xf>
  </cellXfs>
  <cellStyles count="25">
    <cellStyle name="ChartingText" xfId="20" xr:uid="{2F903AD7-622C-455A-B98A-ABBFF5B29CA1}"/>
    <cellStyle name="CHPAboveAverage" xfId="21" xr:uid="{A97F0737-6149-4055-94C5-4C8F0885F75B}"/>
    <cellStyle name="CHPBelowAverage" xfId="21" xr:uid="{0418FECB-2C46-46F9-99B7-132CD69DC9C9}"/>
    <cellStyle name="CHPBottom" xfId="21" xr:uid="{15709B0A-8EDE-4028-B45D-F738AD41A7B1}"/>
    <cellStyle name="CHPTop" xfId="21" xr:uid="{306CAC54-5567-4A29-AC9A-F5CBF2C5F90D}"/>
    <cellStyle name="ColumnHeaderNormal" xfId="12" xr:uid="{DD7454C6-215C-4A78-8340-A876D5462B37}"/>
    <cellStyle name="Comma" xfId="1" builtinId="3"/>
    <cellStyle name="Currency" xfId="2" builtinId="4"/>
    <cellStyle name="Invisible" xfId="19" xr:uid="{B8029D26-12AB-4DD6-83C9-7194EA9D96A0}"/>
    <cellStyle name="Neutral" xfId="4" builtinId="28"/>
    <cellStyle name="NewColumnHeaderNormal" xfId="10" xr:uid="{9A48FBBD-A9C1-4644-B424-E120187571A8}"/>
    <cellStyle name="NewSectionHeaderNormal" xfId="9" xr:uid="{B7B1AE8E-7927-40F3-ACB3-7CAB4301A772}"/>
    <cellStyle name="NewTitleNormal" xfId="8" xr:uid="{78B25936-D66D-45E7-8911-88300D954C26}"/>
    <cellStyle name="Normal" xfId="0" builtinId="0"/>
    <cellStyle name="Normal 2" xfId="5" xr:uid="{1A1BDD84-BEB8-0343-A0C1-A761F6FDB373}"/>
    <cellStyle name="Normal 3" xfId="6" xr:uid="{5647CFA2-23B7-44E1-9B2E-631590FEBC89}"/>
    <cellStyle name="Percent" xfId="3" builtinId="5"/>
    <cellStyle name="SectionHeaderNormal" xfId="11" xr:uid="{C3800D8C-7671-45A4-B90F-E94FA3AC8F2F}"/>
    <cellStyle name="SubScript" xfId="15" xr:uid="{0B24C47C-6DE8-41BA-A455-F7007A65FBB6}"/>
    <cellStyle name="SuperScript" xfId="14" xr:uid="{6A1D9810-F6E0-405F-ADE2-95AAFE9E7839}"/>
    <cellStyle name="TextBold" xfId="16" xr:uid="{9BEB197E-9187-4382-98E4-2857CC68C74C}"/>
    <cellStyle name="TextItalic" xfId="17" xr:uid="{49848996-87D4-443F-B182-316892DB4424}"/>
    <cellStyle name="TextNormal" xfId="13" xr:uid="{12624A68-55E5-4205-94C6-04F46ECF4612}"/>
    <cellStyle name="TitleNormal" xfId="7" xr:uid="{B1BAE550-B455-4934-8EE8-047498423663}"/>
    <cellStyle name="Total 2" xfId="18" xr:uid="{55211EBE-9C17-4995-BB56-CA058650E24C}"/>
  </cellStyles>
  <dxfs count="0"/>
  <tableStyles count="0" defaultTableStyle="TableStyleMedium2" defaultPivotStyle="PivotStyleLight16"/>
  <colors>
    <mruColors>
      <color rgb="FF2F5396"/>
      <color rgb="FF0432FF"/>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Implied Share Price</a:t>
            </a:r>
            <a:r>
              <a:rPr lang="en-US" sz="1100" b="1" baseline="0"/>
              <a:t> of Canadian Solar ($)</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Summary'!$D$8:$D$9</c:f>
              <c:numCache>
                <c:formatCode>General</c:formatCode>
                <c:ptCount val="2"/>
              </c:numCache>
            </c:numRef>
          </c:val>
          <c:extLst>
            <c:ext xmlns:c16="http://schemas.microsoft.com/office/drawing/2014/chart" uri="{C3380CC4-5D6E-409C-BE32-E72D297353CC}">
              <c16:uniqueId val="{00000000-9E05-F04D-99D7-47E20876413E}"/>
            </c:ext>
          </c:extLst>
        </c:ser>
        <c:ser>
          <c:idx val="1"/>
          <c:order val="1"/>
          <c:spPr>
            <a:solidFill>
              <a:schemeClr val="accent6">
                <a:lumMod val="75000"/>
              </a:schemeClr>
            </a:solidFill>
            <a:ln>
              <a:noFill/>
            </a:ln>
            <a:effectLst/>
          </c:spPr>
          <c:invertIfNegative val="0"/>
          <c:cat>
            <c:strRef>
              <c:f>'Valuation Summary'!$C$8:$C$9</c:f>
              <c:strCache>
                <c:ptCount val="2"/>
                <c:pt idx="0">
                  <c:v>DCF</c:v>
                </c:pt>
                <c:pt idx="1">
                  <c:v>P/E</c:v>
                </c:pt>
              </c:strCache>
            </c:strRef>
          </c:cat>
          <c:val>
            <c:numRef>
              <c:f>'Valuation Summary'!$E$8:$E$9</c:f>
              <c:numCache>
                <c:formatCode>General</c:formatCode>
                <c:ptCount val="2"/>
              </c:numCache>
            </c:numRef>
          </c:val>
          <c:extLst>
            <c:ext xmlns:c16="http://schemas.microsoft.com/office/drawing/2014/chart" uri="{C3380CC4-5D6E-409C-BE32-E72D297353CC}">
              <c16:uniqueId val="{00000001-9E05-F04D-99D7-47E20876413E}"/>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 Summary'!$C$8:$C$9</c:f>
              <c:strCache>
                <c:ptCount val="2"/>
                <c:pt idx="0">
                  <c:v>DCF</c:v>
                </c:pt>
                <c:pt idx="1">
                  <c:v>P/E</c:v>
                </c:pt>
              </c:strCache>
            </c:strRef>
          </c:cat>
          <c:val>
            <c:numRef>
              <c:f>'Valuation Summary'!$F$8:$F$9</c:f>
              <c:numCache>
                <c:formatCode>General</c:formatCode>
                <c:ptCount val="2"/>
              </c:numCache>
            </c:numRef>
          </c:val>
          <c:extLst>
            <c:ext xmlns:c16="http://schemas.microsoft.com/office/drawing/2014/chart" uri="{C3380CC4-5D6E-409C-BE32-E72D297353CC}">
              <c16:uniqueId val="{00000002-9E05-F04D-99D7-47E20876413E}"/>
            </c:ext>
          </c:extLst>
        </c:ser>
        <c:dLbls>
          <c:showLegendKey val="0"/>
          <c:showVal val="0"/>
          <c:showCatName val="0"/>
          <c:showSerName val="0"/>
          <c:showPercent val="0"/>
          <c:showBubbleSize val="0"/>
        </c:dLbls>
        <c:gapWidth val="150"/>
        <c:overlap val="100"/>
        <c:axId val="366343231"/>
        <c:axId val="366999615"/>
      </c:barChart>
      <c:catAx>
        <c:axId val="3663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366999615"/>
        <c:crosses val="autoZero"/>
        <c:auto val="1"/>
        <c:lblAlgn val="ctr"/>
        <c:lblOffset val="100"/>
        <c:noMultiLvlLbl val="0"/>
      </c:catAx>
      <c:valAx>
        <c:axId val="366999615"/>
        <c:scaling>
          <c:orientation val="minMax"/>
          <c:max val="90"/>
          <c:min val="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634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503767</xdr:colOff>
      <xdr:row>4</xdr:row>
      <xdr:rowOff>135467</xdr:rowOff>
    </xdr:from>
    <xdr:to>
      <xdr:col>12</xdr:col>
      <xdr:colOff>97367</xdr:colOff>
      <xdr:row>15</xdr:row>
      <xdr:rowOff>84667</xdr:rowOff>
    </xdr:to>
    <xdr:graphicFrame macro="">
      <xdr:nvGraphicFramePr>
        <xdr:cNvPr id="8" name="Chart 7">
          <a:extLst>
            <a:ext uri="{FF2B5EF4-FFF2-40B4-BE49-F238E27FC236}">
              <a16:creationId xmlns:a16="http://schemas.microsoft.com/office/drawing/2014/main" id="{8AFE59F2-25CF-58B7-E363-9F861029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3" name="Logo" descr="Logo">
          <a:extLst>
            <a:ext uri="{FF2B5EF4-FFF2-40B4-BE49-F238E27FC236}">
              <a16:creationId xmlns:a16="http://schemas.microsoft.com/office/drawing/2014/main" id="{A9A7E44D-AE0B-466F-9BA9-1292227517A7}"/>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oneCellAnchor>
    <xdr:from>
      <xdr:col>0</xdr:col>
      <xdr:colOff>0</xdr:colOff>
      <xdr:row>0</xdr:row>
      <xdr:rowOff>0</xdr:rowOff>
    </xdr:from>
    <xdr:ext cx="476250" cy="476250"/>
    <xdr:pic>
      <xdr:nvPicPr>
        <xdr:cNvPr id="8" name="Logo" descr="Logo">
          <a:extLst>
            <a:ext uri="{FF2B5EF4-FFF2-40B4-BE49-F238E27FC236}">
              <a16:creationId xmlns:a16="http://schemas.microsoft.com/office/drawing/2014/main" id="{6B5AB256-EE51-4E7F-8849-6F5CD1CD4C74}"/>
            </a:ext>
          </a:extLst>
        </xdr:cNvPr>
        <xdr:cNvPicPr>
          <a:picLocks noChangeAspect="1"/>
        </xdr:cNvPicPr>
      </xdr:nvPicPr>
      <xdr:blipFill>
        <a:blip xmlns:r="http://schemas.openxmlformats.org/officeDocument/2006/relationships" r:embed="rId2"/>
        <a:stretch>
          <a:fillRect/>
        </a:stretch>
      </xdr:blipFill>
      <xdr:spPr>
        <a:xfrm>
          <a:off x="0" y="0"/>
          <a:ext cx="476250" cy="4762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76250" cy="476250"/>
    <xdr:pic>
      <xdr:nvPicPr>
        <xdr:cNvPr id="2" name="Logo" descr="Logo">
          <a:extLst>
            <a:ext uri="{FF2B5EF4-FFF2-40B4-BE49-F238E27FC236}">
              <a16:creationId xmlns:a16="http://schemas.microsoft.com/office/drawing/2014/main" id="{81993037-9C70-455A-9273-1E0053E6F501}"/>
            </a:ext>
          </a:extLst>
        </xdr:cNvPr>
        <xdr:cNvPicPr>
          <a:picLocks noChangeAspect="1"/>
        </xdr:cNvPicPr>
      </xdr:nvPicPr>
      <xdr:blipFill>
        <a:blip xmlns:r="http://schemas.openxmlformats.org/officeDocument/2006/relationships" r:embed="rId1"/>
        <a:stretch>
          <a:fillRect/>
        </a:stretch>
      </xdr:blipFill>
      <xdr:spPr>
        <a:xfrm>
          <a:off x="0" y="0"/>
          <a:ext cx="476250" cy="47625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625.83410000000003</v>
    <v>318.60000000000002</v>
    <v>1.3439000000000001</v>
    <v>4.05</v>
    <v>6.5400000000000007E-3</v>
    <v>-0.375</v>
    <v>-6.0159999999999999E-4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625.6</v>
    <v>3</v>
    <v>Software &amp; IT Services</v>
    <v>Stock</v>
    <v>45258.87670258047</v>
    <v>4</v>
    <v>612.26</v>
    <v>283797596000</v>
    <v>ADOBE INC.</v>
    <v>ADOBE INC.</v>
    <v>613.97500000000002</v>
    <v>55.756500000000003</v>
    <v>619.27</v>
    <v>623.32000000000005</v>
    <v>622.94500000000005</v>
    <v>455300000</v>
    <v>ADBE</v>
    <v>ADOBE INC. (XNAS:ADBE)</v>
    <v>2259940</v>
    <v>2473701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C8BDE-CED0-504C-971A-9811DEFB211E}">
  <dimension ref="A2:H31"/>
  <sheetViews>
    <sheetView showGridLines="0" zoomScale="111" zoomScaleNormal="91" workbookViewId="0">
      <pane xSplit="1" topLeftCell="B1" activePane="topRight" state="frozen"/>
      <selection activeCell="A3" sqref="A3"/>
      <selection pane="topRight" activeCell="A28" sqref="A28"/>
    </sheetView>
  </sheetViews>
  <sheetFormatPr baseColWidth="10" defaultColWidth="10.83203125" defaultRowHeight="16" x14ac:dyDescent="0.2"/>
  <cols>
    <col min="1" max="1" width="62.33203125" style="1" customWidth="1"/>
    <col min="2" max="2" width="21.6640625" style="35" customWidth="1"/>
    <col min="3" max="3" width="21.5" style="1" customWidth="1"/>
    <col min="4" max="4" width="27.1640625" style="1" customWidth="1"/>
    <col min="5" max="5" width="22.1640625" style="1" customWidth="1"/>
    <col min="6" max="6" width="20.1640625" style="1" customWidth="1"/>
    <col min="7" max="7" width="18" style="1" customWidth="1"/>
    <col min="8" max="8" width="14.6640625" style="1" customWidth="1"/>
    <col min="9" max="16384" width="10.83203125" style="1"/>
  </cols>
  <sheetData>
    <row r="2" spans="1:8" ht="17" customHeight="1" x14ac:dyDescent="0.2">
      <c r="A2" s="106" t="s">
        <v>208</v>
      </c>
      <c r="B2" s="162"/>
      <c r="C2" s="51"/>
      <c r="D2" s="51"/>
      <c r="E2" s="51"/>
      <c r="F2" s="51"/>
      <c r="G2" s="51"/>
      <c r="H2" s="51"/>
    </row>
    <row r="3" spans="1:8" x14ac:dyDescent="0.2">
      <c r="A3" s="2" t="s">
        <v>209</v>
      </c>
      <c r="B3" s="163"/>
      <c r="C3" s="3" t="s">
        <v>1</v>
      </c>
      <c r="D3" s="3" t="s">
        <v>183</v>
      </c>
      <c r="E3" s="3" t="s">
        <v>210</v>
      </c>
      <c r="F3" s="3" t="s">
        <v>184</v>
      </c>
      <c r="G3" s="3" t="s">
        <v>219</v>
      </c>
      <c r="H3" s="33" t="s">
        <v>2</v>
      </c>
    </row>
    <row r="4" spans="1:8" x14ac:dyDescent="0.2">
      <c r="C4" s="34"/>
      <c r="D4" s="35"/>
      <c r="E4" s="35"/>
      <c r="F4" s="35"/>
      <c r="G4" s="3"/>
      <c r="H4" s="3" t="s">
        <v>223</v>
      </c>
    </row>
    <row r="5" spans="1:8" ht="17" thickBot="1" x14ac:dyDescent="0.25">
      <c r="A5" s="160" t="s">
        <v>233</v>
      </c>
      <c r="B5" s="164"/>
      <c r="C5" s="161"/>
      <c r="D5" s="161"/>
      <c r="E5" s="161"/>
      <c r="F5" s="161"/>
      <c r="G5" s="161"/>
      <c r="H5" s="161"/>
    </row>
    <row r="6" spans="1:8" x14ac:dyDescent="0.2">
      <c r="A6" s="4"/>
      <c r="B6" s="3"/>
      <c r="C6" s="154"/>
      <c r="D6" s="154"/>
      <c r="E6" s="154"/>
      <c r="F6" s="154"/>
      <c r="G6" s="154"/>
      <c r="H6" s="154"/>
    </row>
    <row r="7" spans="1:8" x14ac:dyDescent="0.2">
      <c r="A7" s="170" t="s">
        <v>234</v>
      </c>
      <c r="B7" s="168" t="s">
        <v>211</v>
      </c>
      <c r="C7" s="169"/>
      <c r="D7" s="169"/>
      <c r="E7" s="169"/>
      <c r="F7" s="169"/>
      <c r="G7" s="169"/>
      <c r="H7" s="169"/>
    </row>
    <row r="8" spans="1:8" x14ac:dyDescent="0.2">
      <c r="A8" s="170" t="s">
        <v>235</v>
      </c>
      <c r="B8" s="197" t="s">
        <v>212</v>
      </c>
      <c r="C8" s="154"/>
      <c r="D8" s="154"/>
      <c r="E8" s="154"/>
      <c r="F8" s="154"/>
      <c r="G8" s="154"/>
      <c r="H8" s="154"/>
    </row>
    <row r="9" spans="1:8" x14ac:dyDescent="0.2">
      <c r="A9" s="170" t="s">
        <v>236</v>
      </c>
      <c r="B9" s="198"/>
      <c r="C9" s="154"/>
      <c r="D9" s="154"/>
      <c r="E9" s="154"/>
      <c r="F9" s="154"/>
      <c r="G9" s="154"/>
      <c r="H9" s="154"/>
    </row>
    <row r="10" spans="1:8" ht="16" customHeight="1" x14ac:dyDescent="0.2">
      <c r="A10" s="170" t="s">
        <v>237</v>
      </c>
      <c r="B10" s="199" t="s">
        <v>213</v>
      </c>
      <c r="C10" s="178"/>
      <c r="D10" s="178"/>
      <c r="E10" s="178"/>
      <c r="F10" s="178"/>
      <c r="G10" s="178"/>
      <c r="H10" s="178"/>
    </row>
    <row r="11" spans="1:8" ht="16" customHeight="1" x14ac:dyDescent="0.2">
      <c r="A11" s="170" t="s">
        <v>238</v>
      </c>
      <c r="B11" s="200"/>
      <c r="C11" s="154"/>
      <c r="D11" s="154"/>
      <c r="E11" s="154"/>
      <c r="F11" s="154"/>
      <c r="G11" s="154"/>
      <c r="H11" s="154"/>
    </row>
    <row r="12" spans="1:8" x14ac:dyDescent="0.2">
      <c r="A12" s="170" t="s">
        <v>239</v>
      </c>
      <c r="B12" s="201"/>
      <c r="C12" s="154"/>
      <c r="D12" s="154"/>
      <c r="E12" s="154"/>
      <c r="F12" s="154"/>
      <c r="G12" s="154"/>
      <c r="H12" s="154"/>
    </row>
    <row r="13" spans="1:8" x14ac:dyDescent="0.2">
      <c r="A13" s="170" t="s">
        <v>240</v>
      </c>
      <c r="B13" s="168" t="s">
        <v>214</v>
      </c>
      <c r="C13" s="169"/>
      <c r="D13" s="169"/>
      <c r="E13" s="169"/>
      <c r="F13" s="169"/>
      <c r="G13" s="169"/>
      <c r="H13" s="169"/>
    </row>
    <row r="14" spans="1:8" ht="17" thickBot="1" x14ac:dyDescent="0.25">
      <c r="A14" s="4"/>
      <c r="B14" s="3"/>
      <c r="C14" s="155"/>
      <c r="D14" s="155"/>
      <c r="E14" s="155"/>
      <c r="F14" s="155"/>
      <c r="G14" s="155"/>
      <c r="H14" s="155"/>
    </row>
    <row r="15" spans="1:8" x14ac:dyDescent="0.2">
      <c r="A15" s="5" t="s">
        <v>3</v>
      </c>
      <c r="B15" s="165"/>
      <c r="C15" s="156">
        <f>MAX(C7:C13)</f>
        <v>0</v>
      </c>
      <c r="D15" s="156">
        <f>MAX(D7:D13)</f>
        <v>0</v>
      </c>
      <c r="E15" s="156">
        <f>MAX(E7:E13)</f>
        <v>0</v>
      </c>
      <c r="F15" s="156">
        <f>MAX(F7:F13)</f>
        <v>0</v>
      </c>
      <c r="G15" s="156"/>
      <c r="H15" s="156">
        <f>MAX(H7:H13)</f>
        <v>0</v>
      </c>
    </row>
    <row r="16" spans="1:8" x14ac:dyDescent="0.2">
      <c r="A16" s="6" t="s">
        <v>216</v>
      </c>
      <c r="B16" s="3"/>
      <c r="C16" s="155" t="e">
        <f>_xlfn.PERCENTILE.INC(C7:C13,0.75)</f>
        <v>#NUM!</v>
      </c>
      <c r="D16" s="155" t="e">
        <f>_xlfn.PERCENTILE.INC(D7:D13,0.75)</f>
        <v>#NUM!</v>
      </c>
      <c r="E16" s="155" t="e">
        <f>_xlfn.PERCENTILE.INC(E7:E13,0.75)</f>
        <v>#NUM!</v>
      </c>
      <c r="F16" s="155" t="e">
        <f>_xlfn.PERCENTILE.INC(F7:F13,0.75)</f>
        <v>#NUM!</v>
      </c>
      <c r="G16" s="155"/>
      <c r="H16" s="155" t="e">
        <f>_xlfn.PERCENTILE.INC(H7:H13,0.75)</f>
        <v>#NUM!</v>
      </c>
    </row>
    <row r="17" spans="1:8" x14ac:dyDescent="0.2">
      <c r="A17" s="6" t="s">
        <v>4</v>
      </c>
      <c r="B17" s="3"/>
      <c r="C17" s="155" t="e">
        <f>MEDIAN(C7:C13)</f>
        <v>#NUM!</v>
      </c>
      <c r="D17" s="155" t="e">
        <f>MEDIAN(D7:D13)</f>
        <v>#NUM!</v>
      </c>
      <c r="E17" s="155" t="e">
        <f>MEDIAN(E7:E13)</f>
        <v>#NUM!</v>
      </c>
      <c r="F17" s="155" t="e">
        <f>MEDIAN(F7:F13)</f>
        <v>#NUM!</v>
      </c>
      <c r="G17" s="155"/>
      <c r="H17" s="155" t="e">
        <f>MEDIAN(H7:H13)</f>
        <v>#NUM!</v>
      </c>
    </row>
    <row r="18" spans="1:8" x14ac:dyDescent="0.2">
      <c r="A18" s="6" t="s">
        <v>215</v>
      </c>
      <c r="B18" s="3"/>
      <c r="C18" s="155" t="e">
        <f>_xlfn.PERCENTILE.INC(C7:C13,0.25)</f>
        <v>#NUM!</v>
      </c>
      <c r="D18" s="155" t="e">
        <f>_xlfn.PERCENTILE.INC(D7:D13,0.25)</f>
        <v>#NUM!</v>
      </c>
      <c r="E18" s="155" t="e">
        <f>_xlfn.PERCENTILE.INC(E7:E13,0.25)</f>
        <v>#NUM!</v>
      </c>
      <c r="F18" s="155" t="e">
        <f>_xlfn.PERCENTILE.INC(F7:F13,0.25)</f>
        <v>#NUM!</v>
      </c>
      <c r="G18" s="155"/>
      <c r="H18" s="155" t="e">
        <f>_xlfn.PERCENTILE.INC(H7:H13,0.25)</f>
        <v>#NUM!</v>
      </c>
    </row>
    <row r="19" spans="1:8" x14ac:dyDescent="0.2">
      <c r="A19" s="7" t="s">
        <v>5</v>
      </c>
      <c r="B19" s="166"/>
      <c r="C19" s="157">
        <f>MIN(C7:C13)</f>
        <v>0</v>
      </c>
      <c r="D19" s="157">
        <f>MIN(D7:D13)</f>
        <v>0</v>
      </c>
      <c r="E19" s="157">
        <f>MIN(E7:E13)</f>
        <v>0</v>
      </c>
      <c r="F19" s="157">
        <f>MIN(F7:F13)</f>
        <v>0</v>
      </c>
      <c r="G19" s="157"/>
      <c r="H19" s="157">
        <f>MIN(H7:H13)</f>
        <v>0</v>
      </c>
    </row>
    <row r="20" spans="1:8" ht="17" thickBot="1" x14ac:dyDescent="0.25">
      <c r="A20" s="8" t="s">
        <v>6</v>
      </c>
      <c r="B20" s="164"/>
      <c r="C20" s="158" t="e">
        <f>AVERAGE(C7:C13)</f>
        <v>#DIV/0!</v>
      </c>
      <c r="D20" s="158" t="e">
        <f>AVERAGE(D7:D13)</f>
        <v>#DIV/0!</v>
      </c>
      <c r="E20" s="158" t="e">
        <f>AVERAGE(E7:E13)</f>
        <v>#DIV/0!</v>
      </c>
      <c r="F20" s="158" t="e">
        <f>AVERAGE(F7:F13)</f>
        <v>#DIV/0!</v>
      </c>
      <c r="G20" s="158"/>
      <c r="H20" s="158" t="e">
        <f>AVERAGE(H7:H13)</f>
        <v>#DIV/0!</v>
      </c>
    </row>
    <row r="21" spans="1:8" ht="17" thickBot="1" x14ac:dyDescent="0.25">
      <c r="C21" s="155"/>
      <c r="D21" s="155"/>
      <c r="E21" s="155"/>
      <c r="F21" s="155"/>
      <c r="G21" s="155"/>
      <c r="H21" s="155"/>
    </row>
    <row r="22" spans="1:8" ht="17" thickBot="1" x14ac:dyDescent="0.25">
      <c r="A22" s="9" t="s">
        <v>222</v>
      </c>
      <c r="B22" s="167"/>
      <c r="C22" s="159" t="s">
        <v>86</v>
      </c>
      <c r="D22" s="159" t="s">
        <v>86</v>
      </c>
      <c r="E22" s="159" t="s">
        <v>86</v>
      </c>
      <c r="F22" s="159" t="s">
        <v>86</v>
      </c>
      <c r="G22" s="159" t="s">
        <v>86</v>
      </c>
      <c r="H22" s="175" t="s">
        <v>229</v>
      </c>
    </row>
    <row r="27" spans="1:8" x14ac:dyDescent="0.2">
      <c r="A27" s="174"/>
      <c r="C27" s="35"/>
      <c r="D27" s="35"/>
      <c r="E27" s="35"/>
      <c r="F27" s="35"/>
    </row>
    <row r="28" spans="1:8" x14ac:dyDescent="0.2">
      <c r="A28" s="2"/>
      <c r="B28" s="163"/>
      <c r="C28" s="3"/>
      <c r="D28" s="3"/>
      <c r="E28" s="3"/>
      <c r="F28" s="3"/>
      <c r="G28" s="33"/>
      <c r="H28" s="33"/>
    </row>
    <row r="29" spans="1:8" x14ac:dyDescent="0.2">
      <c r="B29" s="173"/>
      <c r="C29" s="202"/>
      <c r="D29" s="173"/>
      <c r="E29" s="35"/>
      <c r="F29" s="35"/>
    </row>
    <row r="30" spans="1:8" x14ac:dyDescent="0.2">
      <c r="B30" s="173"/>
      <c r="C30" s="203"/>
      <c r="D30" s="173"/>
      <c r="E30" s="35"/>
      <c r="F30" s="35"/>
    </row>
    <row r="31" spans="1:8" x14ac:dyDescent="0.2">
      <c r="B31" s="173"/>
      <c r="C31" s="203"/>
      <c r="D31" s="173"/>
      <c r="E31" s="35"/>
      <c r="F31" s="35"/>
    </row>
  </sheetData>
  <mergeCells count="3">
    <mergeCell ref="B8:B9"/>
    <mergeCell ref="B10:B12"/>
    <mergeCell ref="C29:C31"/>
  </mergeCells>
  <phoneticPr fontId="5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A71C-0C48-2542-8C38-9898C8177F41}">
  <dimension ref="B1:AN56"/>
  <sheetViews>
    <sheetView showGridLines="0" zoomScaleNormal="113" workbookViewId="0">
      <selection activeCell="O11" sqref="O11:O15"/>
    </sheetView>
  </sheetViews>
  <sheetFormatPr baseColWidth="10" defaultColWidth="10.83203125" defaultRowHeight="16" x14ac:dyDescent="0.2"/>
  <cols>
    <col min="1" max="1" width="10.83203125" style="1" customWidth="1"/>
    <col min="2" max="2" width="30.83203125" style="1" bestFit="1" customWidth="1"/>
    <col min="3" max="3" width="20.6640625" style="1" customWidth="1"/>
    <col min="4" max="4" width="5.6640625" style="1" customWidth="1"/>
    <col min="5" max="5" width="3" style="1" customWidth="1"/>
    <col min="6" max="10" width="15.33203125" style="1" customWidth="1"/>
    <col min="11" max="14" width="15.5" style="1" customWidth="1"/>
    <col min="15" max="16" width="10.83203125" style="1"/>
    <col min="17" max="17" width="9.6640625" style="1" customWidth="1"/>
    <col min="18" max="36" width="10.83203125" style="1"/>
    <col min="37" max="37" width="24.83203125" style="1" customWidth="1"/>
    <col min="38" max="38" width="16.5" style="1" customWidth="1"/>
    <col min="39" max="39" width="25.1640625" style="1" customWidth="1"/>
    <col min="40" max="41" width="10.1640625" style="1" customWidth="1"/>
    <col min="42" max="16384" width="10.83203125" style="1"/>
  </cols>
  <sheetData>
    <row r="1" spans="2:17" ht="15" customHeight="1" x14ac:dyDescent="0.2">
      <c r="B1" s="144" t="e" vm="1">
        <v>#VALUE!</v>
      </c>
      <c r="C1" s="50"/>
      <c r="D1" s="50"/>
    </row>
    <row r="3" spans="2:17" ht="17" customHeight="1" x14ac:dyDescent="0.2">
      <c r="B3" s="110" t="s">
        <v>230</v>
      </c>
      <c r="C3" s="65"/>
      <c r="D3" s="66"/>
      <c r="F3" s="110" t="s">
        <v>193</v>
      </c>
      <c r="G3" s="111"/>
      <c r="H3" s="65"/>
      <c r="I3" s="65"/>
      <c r="J3" s="65"/>
      <c r="K3" s="65"/>
      <c r="L3" s="65"/>
      <c r="M3" s="65"/>
      <c r="N3" s="66"/>
    </row>
    <row r="4" spans="2:17" ht="15.75" x14ac:dyDescent="0.25">
      <c r="B4" s="205" t="s">
        <v>7</v>
      </c>
      <c r="C4" s="206"/>
      <c r="D4" s="207"/>
      <c r="F4" s="67" t="s">
        <v>199</v>
      </c>
      <c r="J4" s="68" t="s">
        <v>206</v>
      </c>
      <c r="K4" s="68" t="s">
        <v>8</v>
      </c>
      <c r="L4" s="68" t="s">
        <v>9</v>
      </c>
      <c r="M4" s="68" t="s">
        <v>191</v>
      </c>
      <c r="N4" s="68" t="s">
        <v>196</v>
      </c>
    </row>
    <row r="5" spans="2:17" ht="15" x14ac:dyDescent="0.2">
      <c r="B5" s="38" t="s">
        <v>10</v>
      </c>
      <c r="C5" s="86" cm="1">
        <f t="array" ref="C5">_FV(B1,"Price")</f>
        <v>623.32000000000005</v>
      </c>
      <c r="D5" s="87"/>
      <c r="F5" s="38"/>
      <c r="I5" s="69" t="s">
        <v>11</v>
      </c>
      <c r="J5" s="70">
        <v>1</v>
      </c>
      <c r="K5" s="70">
        <v>2</v>
      </c>
      <c r="L5" s="70">
        <v>3</v>
      </c>
      <c r="M5" s="70">
        <v>4</v>
      </c>
      <c r="N5" s="71">
        <v>5</v>
      </c>
    </row>
    <row r="6" spans="2:17" ht="15" x14ac:dyDescent="0.2">
      <c r="B6" s="38" t="s">
        <v>220</v>
      </c>
      <c r="C6" s="88">
        <v>459000</v>
      </c>
      <c r="D6" s="87"/>
      <c r="F6" s="38"/>
      <c r="N6" s="72"/>
      <c r="O6" s="151"/>
    </row>
    <row r="7" spans="2:17" x14ac:dyDescent="0.2">
      <c r="B7" s="38" t="s">
        <v>221</v>
      </c>
      <c r="C7" s="89">
        <f>C6*C5</f>
        <v>286103880</v>
      </c>
      <c r="D7" s="72"/>
      <c r="F7" s="73" t="s">
        <v>13</v>
      </c>
      <c r="J7" s="74">
        <f>Schedules!J20</f>
        <v>2343450</v>
      </c>
      <c r="K7" s="74">
        <f>Schedules!K20</f>
        <v>9988582.0515000001</v>
      </c>
      <c r="L7" s="74">
        <f>Schedules!L20</f>
        <v>11230089.978412502</v>
      </c>
      <c r="M7" s="74">
        <f>Schedules!M20</f>
        <v>12577700.775822002</v>
      </c>
      <c r="N7" s="74">
        <f>Schedules!N20</f>
        <v>14087024.868920643</v>
      </c>
    </row>
    <row r="8" spans="2:17" ht="15" x14ac:dyDescent="0.2">
      <c r="B8" s="38"/>
      <c r="D8" s="72"/>
      <c r="F8" s="38" t="s">
        <v>14</v>
      </c>
      <c r="J8" s="30">
        <f>J7*J9</f>
        <v>492124.5</v>
      </c>
      <c r="K8" s="30">
        <f>K7*K9</f>
        <v>2097602.2308149999</v>
      </c>
      <c r="L8" s="30">
        <f>L7*L9</f>
        <v>2358318.8954666252</v>
      </c>
      <c r="M8" s="30">
        <f>M7*M9</f>
        <v>2641317.1629226203</v>
      </c>
      <c r="N8" s="58">
        <f>N7*N9</f>
        <v>2958275.222473335</v>
      </c>
    </row>
    <row r="9" spans="2:17" x14ac:dyDescent="0.2">
      <c r="B9" s="38" t="s">
        <v>15</v>
      </c>
      <c r="C9" s="90">
        <v>4096000</v>
      </c>
      <c r="D9" s="91"/>
      <c r="F9" s="145" t="s">
        <v>200</v>
      </c>
      <c r="G9" s="10"/>
      <c r="H9" s="10"/>
      <c r="I9" s="10"/>
      <c r="J9" s="176">
        <f>$C$32</f>
        <v>0.21</v>
      </c>
      <c r="K9" s="176">
        <f>$C$32</f>
        <v>0.21</v>
      </c>
      <c r="L9" s="176">
        <f>$C$32</f>
        <v>0.21</v>
      </c>
      <c r="M9" s="176">
        <f>$C$32</f>
        <v>0.21</v>
      </c>
      <c r="N9" s="177">
        <f>$C$32</f>
        <v>0.21</v>
      </c>
    </row>
    <row r="10" spans="2:17" ht="15.75" x14ac:dyDescent="0.25">
      <c r="B10" s="38" t="s">
        <v>218</v>
      </c>
      <c r="C10" s="90">
        <v>6601000</v>
      </c>
      <c r="D10" s="87"/>
      <c r="F10" s="73" t="s">
        <v>17</v>
      </c>
      <c r="J10" s="76">
        <f>J7-J8</f>
        <v>1851325.5</v>
      </c>
      <c r="K10" s="76">
        <f>K7-K8</f>
        <v>7890979.8206850002</v>
      </c>
      <c r="L10" s="76">
        <f>L7-L8</f>
        <v>8871771.0829458758</v>
      </c>
      <c r="M10" s="76">
        <f>M7-M8</f>
        <v>9936383.6128993817</v>
      </c>
      <c r="N10" s="77">
        <f>N7-N8</f>
        <v>11128749.646447308</v>
      </c>
    </row>
    <row r="11" spans="2:17" x14ac:dyDescent="0.2">
      <c r="B11" s="38"/>
      <c r="C11" s="90"/>
      <c r="D11" s="87"/>
      <c r="F11" s="38" t="s">
        <v>242</v>
      </c>
      <c r="J11" s="78">
        <f>Schedules!J61</f>
        <v>459000</v>
      </c>
      <c r="K11" s="78">
        <f>Schedules!K61</f>
        <v>1956414.3299999998</v>
      </c>
      <c r="L11" s="78">
        <f>Schedules!L61</f>
        <v>2233877.3578679999</v>
      </c>
      <c r="M11" s="78">
        <f>Schedules!M61</f>
        <v>2501942.6408121604</v>
      </c>
      <c r="N11" s="78">
        <f>Schedules!N61</f>
        <v>2802175.7577096196</v>
      </c>
    </row>
    <row r="12" spans="2:17" ht="15" x14ac:dyDescent="0.2">
      <c r="B12" s="38" t="s">
        <v>217</v>
      </c>
      <c r="C12" s="90">
        <v>0</v>
      </c>
      <c r="D12" s="87"/>
      <c r="F12" s="38" t="s">
        <v>18</v>
      </c>
      <c r="J12" s="78">
        <f>Schedules!J23</f>
        <v>255000</v>
      </c>
      <c r="K12" s="78">
        <f>Schedules!K23</f>
        <v>1086896.8500000001</v>
      </c>
      <c r="L12" s="78">
        <f>Schedules!L23</f>
        <v>1214063.7814500001</v>
      </c>
      <c r="M12" s="78">
        <f>Schedules!M23</f>
        <v>1359751.4352240004</v>
      </c>
      <c r="N12" s="78">
        <f>Schedules!N23</f>
        <v>1522921.6074508803</v>
      </c>
    </row>
    <row r="13" spans="2:17" ht="15" x14ac:dyDescent="0.2">
      <c r="B13" s="38" t="s">
        <v>19</v>
      </c>
      <c r="C13" s="30">
        <f>C7+C9-C10+C12</f>
        <v>283598880</v>
      </c>
      <c r="D13" s="72"/>
      <c r="F13" s="38" t="s">
        <v>20</v>
      </c>
      <c r="J13" s="79">
        <f>Schedules!J54</f>
        <v>112200</v>
      </c>
      <c r="K13" s="79">
        <f>Schedules!K54</f>
        <v>478234.61399999994</v>
      </c>
      <c r="L13" s="79">
        <f>Schedules!L54</f>
        <v>485625.51258000004</v>
      </c>
      <c r="M13" s="79">
        <f>Schedules!M54</f>
        <v>543900.57408960012</v>
      </c>
      <c r="N13" s="80">
        <f>Schedules!N54</f>
        <v>609168.64298035216</v>
      </c>
    </row>
    <row r="14" spans="2:17" ht="15" x14ac:dyDescent="0.2">
      <c r="B14" s="38"/>
      <c r="D14" s="72"/>
      <c r="F14" s="81" t="s">
        <v>176</v>
      </c>
      <c r="G14" s="10"/>
      <c r="H14" s="10"/>
      <c r="I14" s="10"/>
      <c r="J14" s="31">
        <f>Schedules!J49</f>
        <v>-297475</v>
      </c>
      <c r="K14" s="31">
        <f>Schedules!K49</f>
        <v>56923.425000000279</v>
      </c>
      <c r="L14" s="31">
        <f>Schedules!L49</f>
        <v>63583.465724999551</v>
      </c>
      <c r="M14" s="31">
        <f>Schedules!M49</f>
        <v>72843.826887000352</v>
      </c>
      <c r="N14" s="31">
        <f>Schedules!N49</f>
        <v>81585.086113440339</v>
      </c>
    </row>
    <row r="15" spans="2:17" ht="15.75" x14ac:dyDescent="0.25">
      <c r="B15" s="38" t="s">
        <v>21</v>
      </c>
      <c r="C15" s="92">
        <v>4.58E-2</v>
      </c>
      <c r="D15" s="87"/>
      <c r="F15" s="73" t="s">
        <v>22</v>
      </c>
      <c r="J15" s="76">
        <f>J10+J12+J11-J13-J14</f>
        <v>2750600.5</v>
      </c>
      <c r="K15" s="76">
        <f t="shared" ref="K15:N15" si="0">K10+K12+K11-K13-K14</f>
        <v>10399132.961685</v>
      </c>
      <c r="L15" s="76">
        <f t="shared" si="0"/>
        <v>11770503.243958877</v>
      </c>
      <c r="M15" s="76">
        <f t="shared" si="0"/>
        <v>13181333.287958942</v>
      </c>
      <c r="N15" s="76">
        <f t="shared" si="0"/>
        <v>14763093.282514015</v>
      </c>
    </row>
    <row r="16" spans="2:17" x14ac:dyDescent="0.2">
      <c r="B16" s="38" t="s">
        <v>23</v>
      </c>
      <c r="C16" s="152">
        <v>5.6000000000000001E-2</v>
      </c>
      <c r="D16" s="87"/>
      <c r="F16" s="81" t="s">
        <v>224</v>
      </c>
      <c r="G16" s="10"/>
      <c r="H16" s="10"/>
      <c r="I16" s="10"/>
      <c r="J16" s="20">
        <f>(1/(1+$C$24))^(0.08)</f>
        <v>0.99160687356597965</v>
      </c>
      <c r="K16" s="20">
        <f>(1/(1+$C$24))^0.67</f>
        <v>0.93184472564538356</v>
      </c>
      <c r="L16" s="20">
        <f>(1/(1+$C$24))^1.67</f>
        <v>0.83866333726526798</v>
      </c>
      <c r="M16" s="20">
        <f>(1/(1+$C$24))^2.67</f>
        <v>0.7547997793149297</v>
      </c>
      <c r="N16" s="20">
        <f>(1/(1+$C$24))^3.67</f>
        <v>0.6793222995911935</v>
      </c>
      <c r="P16" s="52"/>
      <c r="Q16" s="52"/>
    </row>
    <row r="17" spans="2:40" x14ac:dyDescent="0.2">
      <c r="B17" s="38" t="s">
        <v>25</v>
      </c>
      <c r="C17" s="93">
        <v>1.2</v>
      </c>
      <c r="D17" s="87"/>
      <c r="F17" s="83" t="s">
        <v>26</v>
      </c>
      <c r="G17" s="10"/>
      <c r="H17" s="10"/>
      <c r="I17" s="10"/>
      <c r="J17" s="84">
        <f>J15*J16</f>
        <v>2727514.3622340206</v>
      </c>
      <c r="K17" s="84">
        <f>K15*K16</f>
        <v>9690377.2016312238</v>
      </c>
      <c r="L17" s="84">
        <f>L15*L16</f>
        <v>9871489.5318702143</v>
      </c>
      <c r="M17" s="84">
        <f>M15*M16</f>
        <v>9949267.456827946</v>
      </c>
      <c r="N17" s="85">
        <f>N15*N16</f>
        <v>10028898.477756722</v>
      </c>
      <c r="R17" s="53"/>
      <c r="S17" s="54"/>
      <c r="T17" s="54"/>
      <c r="U17" s="54"/>
      <c r="V17" s="54"/>
      <c r="W17" s="54"/>
    </row>
    <row r="18" spans="2:40" x14ac:dyDescent="0.2">
      <c r="B18" s="38" t="s">
        <v>27</v>
      </c>
      <c r="C18" s="94">
        <f>C15+(C16*C17)</f>
        <v>0.11299999999999999</v>
      </c>
      <c r="D18" s="72"/>
      <c r="Q18" s="204"/>
      <c r="R18" s="204"/>
      <c r="S18" s="204"/>
      <c r="T18" s="204"/>
      <c r="U18" s="204"/>
      <c r="V18" s="204"/>
      <c r="W18" s="204"/>
    </row>
    <row r="19" spans="2:40" ht="17" customHeight="1" x14ac:dyDescent="0.2">
      <c r="B19" s="38"/>
      <c r="D19" s="72"/>
      <c r="F19" s="110" t="s">
        <v>28</v>
      </c>
      <c r="G19" s="99"/>
      <c r="H19" s="99"/>
      <c r="I19" s="100"/>
      <c r="K19" s="110" t="s">
        <v>29</v>
      </c>
      <c r="L19" s="99"/>
      <c r="M19" s="99"/>
      <c r="N19" s="100"/>
      <c r="T19" s="4" t="s">
        <v>182</v>
      </c>
    </row>
    <row r="20" spans="2:40" x14ac:dyDescent="0.2">
      <c r="B20" s="38" t="s">
        <v>30</v>
      </c>
      <c r="C20" s="92">
        <v>2.5000000000000001E-2</v>
      </c>
      <c r="D20" s="87"/>
      <c r="F20" s="38" t="s">
        <v>201</v>
      </c>
      <c r="I20" s="58">
        <f>N15</f>
        <v>14763093.282514015</v>
      </c>
      <c r="K20" s="38" t="s">
        <v>231</v>
      </c>
      <c r="N20" s="58">
        <f>Schedules!N25</f>
        <v>15609946.476371523</v>
      </c>
      <c r="P20" s="208" t="s">
        <v>34</v>
      </c>
      <c r="Q20" s="55">
        <f>I33</f>
        <v>357.63497835539215</v>
      </c>
      <c r="R20" s="56">
        <v>1.4999999999999999E-2</v>
      </c>
      <c r="S20" s="56">
        <v>0.02</v>
      </c>
      <c r="T20" s="56">
        <v>2.5000000000000001E-2</v>
      </c>
      <c r="U20" s="56">
        <v>0.03</v>
      </c>
      <c r="V20" s="56">
        <v>3.5000000000000003E-2</v>
      </c>
      <c r="W20" s="57">
        <v>0.04</v>
      </c>
    </row>
    <row r="21" spans="2:40" x14ac:dyDescent="0.2">
      <c r="B21" s="38"/>
      <c r="D21" s="72"/>
      <c r="F21" s="81" t="s">
        <v>31</v>
      </c>
      <c r="G21" s="10"/>
      <c r="H21" s="10"/>
      <c r="I21" s="101">
        <f>C33</f>
        <v>2.5000000000000001E-2</v>
      </c>
      <c r="K21" s="81" t="s">
        <v>232</v>
      </c>
      <c r="L21" s="10"/>
      <c r="M21" s="10"/>
      <c r="N21" s="182">
        <f>C34</f>
        <v>21</v>
      </c>
      <c r="P21" s="208"/>
      <c r="Q21" s="171">
        <v>0.1</v>
      </c>
      <c r="R21" s="30">
        <f t="dataTable" ref="R21:W25" dt2D="1" dtr="1" r1="C33" r2="C24"/>
        <v>370.17261072034984</v>
      </c>
      <c r="S21" s="30">
        <v>388.50872472964306</v>
      </c>
      <c r="T21" s="30">
        <v>409.2896539401753</v>
      </c>
      <c r="U21" s="30">
        <v>433.03928732364079</v>
      </c>
      <c r="V21" s="30">
        <v>460.44271045840867</v>
      </c>
      <c r="W21" s="58">
        <v>492.41337078230453</v>
      </c>
    </row>
    <row r="22" spans="2:40" x14ac:dyDescent="0.2">
      <c r="B22" s="38" t="s">
        <v>32</v>
      </c>
      <c r="C22" s="94">
        <f>1-C23</f>
        <v>0.97970000000000002</v>
      </c>
      <c r="D22" s="72"/>
      <c r="F22" s="38" t="s">
        <v>202</v>
      </c>
      <c r="I22" s="102">
        <f>(I20*(1+I21))/(C24-I21)</f>
        <v>175736771.93674812</v>
      </c>
      <c r="K22" s="38" t="s">
        <v>202</v>
      </c>
      <c r="N22" s="58">
        <f>N20*N21</f>
        <v>327808876.003802</v>
      </c>
      <c r="P22" s="208"/>
      <c r="Q22" s="171">
        <v>0.105</v>
      </c>
      <c r="R22" s="30">
        <v>350.03932347825412</v>
      </c>
      <c r="S22" s="30">
        <v>366.1419220083107</v>
      </c>
      <c r="T22" s="30">
        <v>384.25734535462436</v>
      </c>
      <c r="U22" s="30">
        <v>404.7881584804465</v>
      </c>
      <c r="V22" s="30">
        <v>428.25194490995756</v>
      </c>
      <c r="W22" s="58">
        <v>455.32554463631647</v>
      </c>
    </row>
    <row r="23" spans="2:40" x14ac:dyDescent="0.2">
      <c r="B23" s="38" t="s">
        <v>33</v>
      </c>
      <c r="C23" s="94">
        <v>2.0299999999999999E-2</v>
      </c>
      <c r="D23" s="72"/>
      <c r="F23" s="81" t="s">
        <v>24</v>
      </c>
      <c r="G23" s="10"/>
      <c r="H23" s="10"/>
      <c r="I23" s="82">
        <f>N16</f>
        <v>0.6793222995911935</v>
      </c>
      <c r="K23" s="81" t="s">
        <v>24</v>
      </c>
      <c r="L23" s="10"/>
      <c r="M23" s="10"/>
      <c r="N23" s="82">
        <f>N16</f>
        <v>0.6793222995911935</v>
      </c>
      <c r="P23" s="208"/>
      <c r="Q23" s="171">
        <v>0.11</v>
      </c>
      <c r="R23" s="30">
        <v>332.03165991202741</v>
      </c>
      <c r="S23" s="30">
        <v>346.26661871546366</v>
      </c>
      <c r="T23" s="30">
        <v>362.17627855459813</v>
      </c>
      <c r="U23" s="30">
        <v>380.07464587362438</v>
      </c>
      <c r="V23" s="30">
        <v>400.35946216852091</v>
      </c>
      <c r="W23" s="58">
        <v>423.54210936268834</v>
      </c>
    </row>
    <row r="24" spans="2:40" x14ac:dyDescent="0.2">
      <c r="B24" s="73" t="s">
        <v>34</v>
      </c>
      <c r="C24" s="95">
        <f>(C22*C18)+(C23*(1-C32)*C20)</f>
        <v>0.11110702499999998</v>
      </c>
      <c r="D24" s="96"/>
      <c r="F24" s="73" t="s">
        <v>35</v>
      </c>
      <c r="I24" s="103">
        <f>I22*I23</f>
        <v>119381908.03480485</v>
      </c>
      <c r="K24" s="73" t="s">
        <v>35</v>
      </c>
      <c r="N24" s="77">
        <f>N22*N23</f>
        <v>222687879.47330719</v>
      </c>
      <c r="P24" s="208"/>
      <c r="Q24" s="171">
        <v>0.115</v>
      </c>
      <c r="R24" s="30">
        <v>315.83064828302503</v>
      </c>
      <c r="S24" s="30">
        <v>328.4892921420136</v>
      </c>
      <c r="T24" s="30">
        <v>342.55445198533408</v>
      </c>
      <c r="U24" s="30">
        <v>358.27433651610409</v>
      </c>
      <c r="V24" s="30">
        <v>375.95920661322032</v>
      </c>
      <c r="W24" s="58">
        <v>396.00205938995208</v>
      </c>
    </row>
    <row r="25" spans="2:40" x14ac:dyDescent="0.2">
      <c r="B25" s="38"/>
      <c r="D25" s="72"/>
      <c r="F25" s="38"/>
      <c r="I25" s="72"/>
      <c r="K25" s="38"/>
      <c r="N25" s="72"/>
      <c r="P25" s="208"/>
      <c r="Q25" s="172">
        <v>0.12</v>
      </c>
      <c r="R25" s="114">
        <v>301.1780763714255</v>
      </c>
      <c r="S25" s="114">
        <v>312.49512711289253</v>
      </c>
      <c r="T25" s="114">
        <v>325.00344635346124</v>
      </c>
      <c r="U25" s="114">
        <v>338.90157884298208</v>
      </c>
      <c r="V25" s="114">
        <v>354.43478574303481</v>
      </c>
      <c r="W25" s="59">
        <v>371.90964350559409</v>
      </c>
    </row>
    <row r="26" spans="2:40" ht="15.75" x14ac:dyDescent="0.25">
      <c r="B26" s="205" t="s">
        <v>36</v>
      </c>
      <c r="C26" s="206"/>
      <c r="D26" s="207"/>
      <c r="E26" s="4"/>
      <c r="F26" s="38" t="s">
        <v>35</v>
      </c>
      <c r="I26" s="58">
        <f>I24</f>
        <v>119381908.03480485</v>
      </c>
      <c r="K26" s="38" t="s">
        <v>35</v>
      </c>
      <c r="N26" s="58">
        <f>N24</f>
        <v>222687879.47330719</v>
      </c>
    </row>
    <row r="27" spans="2:40" ht="15" x14ac:dyDescent="0.2">
      <c r="B27" s="38" t="s">
        <v>37</v>
      </c>
      <c r="C27" s="97">
        <f>C10</f>
        <v>6601000</v>
      </c>
      <c r="D27" s="87"/>
      <c r="F27" s="81" t="s">
        <v>38</v>
      </c>
      <c r="G27" s="10"/>
      <c r="H27" s="10"/>
      <c r="I27" s="59">
        <f>SUM(J17:N17)</f>
        <v>42267547.03032013</v>
      </c>
      <c r="K27" s="81" t="s">
        <v>38</v>
      </c>
      <c r="L27" s="10"/>
      <c r="M27" s="10"/>
      <c r="N27" s="59">
        <f>SUM(J17:N17)</f>
        <v>42267547.03032013</v>
      </c>
    </row>
    <row r="28" spans="2:40" ht="15.75" x14ac:dyDescent="0.25">
      <c r="B28" s="38" t="s">
        <v>15</v>
      </c>
      <c r="C28" s="97">
        <f>C9</f>
        <v>4096000</v>
      </c>
      <c r="D28" s="87"/>
      <c r="F28" s="73" t="s">
        <v>19</v>
      </c>
      <c r="I28" s="77">
        <f>I26+I27</f>
        <v>161649455.06512499</v>
      </c>
      <c r="K28" s="73" t="s">
        <v>19</v>
      </c>
      <c r="N28" s="77">
        <f>N26+N27</f>
        <v>264955426.50362733</v>
      </c>
      <c r="T28" s="4" t="s">
        <v>247</v>
      </c>
    </row>
    <row r="29" spans="2:40" x14ac:dyDescent="0.2">
      <c r="B29" s="38" t="s">
        <v>0</v>
      </c>
      <c r="C29" s="30">
        <f>C28-C27</f>
        <v>-2505000</v>
      </c>
      <c r="D29" s="72"/>
      <c r="F29" s="38" t="s">
        <v>39</v>
      </c>
      <c r="I29" s="58">
        <f>C29</f>
        <v>-2505000</v>
      </c>
      <c r="K29" s="38" t="s">
        <v>39</v>
      </c>
      <c r="N29" s="58">
        <f>C29</f>
        <v>-2505000</v>
      </c>
      <c r="P29" s="208" t="s">
        <v>34</v>
      </c>
      <c r="Q29" s="55">
        <f>N33</f>
        <v>583</v>
      </c>
      <c r="R29" s="60">
        <v>20</v>
      </c>
      <c r="S29" s="60">
        <v>20.5</v>
      </c>
      <c r="T29" s="60">
        <v>21</v>
      </c>
      <c r="U29" s="60">
        <v>21.5</v>
      </c>
      <c r="V29" s="60">
        <v>22</v>
      </c>
      <c r="W29" s="61">
        <v>22.5</v>
      </c>
    </row>
    <row r="30" spans="2:40" x14ac:dyDescent="0.2">
      <c r="B30" s="38"/>
      <c r="D30" s="72"/>
      <c r="F30" s="81" t="s">
        <v>40</v>
      </c>
      <c r="G30" s="10"/>
      <c r="H30" s="10"/>
      <c r="I30" s="59">
        <f>C12</f>
        <v>0</v>
      </c>
      <c r="K30" s="81" t="s">
        <v>40</v>
      </c>
      <c r="L30" s="10"/>
      <c r="M30" s="10"/>
      <c r="N30" s="59">
        <f>C12</f>
        <v>0</v>
      </c>
      <c r="P30" s="208"/>
      <c r="Q30" s="171">
        <v>0.1</v>
      </c>
      <c r="R30" s="62">
        <f t="dataTable" ref="R30:W34" dt2D="1" dtr="1" r1="C34" r2="C24" ca="1"/>
        <v>579</v>
      </c>
      <c r="S30" s="62">
        <v>591</v>
      </c>
      <c r="T30" s="62">
        <v>603</v>
      </c>
      <c r="U30" s="62">
        <v>615</v>
      </c>
      <c r="V30" s="62">
        <v>627</v>
      </c>
      <c r="W30" s="63">
        <v>639</v>
      </c>
    </row>
    <row r="31" spans="2:40" ht="20" customHeight="1" x14ac:dyDescent="0.2">
      <c r="B31" s="205" t="s">
        <v>41</v>
      </c>
      <c r="C31" s="206"/>
      <c r="D31" s="207"/>
      <c r="E31" s="4"/>
      <c r="F31" s="73" t="s">
        <v>42</v>
      </c>
      <c r="I31" s="77">
        <f>I28-I29</f>
        <v>164154455.06512499</v>
      </c>
      <c r="K31" s="73" t="s">
        <v>42</v>
      </c>
      <c r="N31" s="77">
        <f>N28-N29</f>
        <v>267460426.50362733</v>
      </c>
      <c r="P31" s="208"/>
      <c r="Q31" s="171">
        <v>0.105</v>
      </c>
      <c r="R31" s="62">
        <v>570</v>
      </c>
      <c r="S31" s="62">
        <v>582</v>
      </c>
      <c r="T31" s="62">
        <v>594</v>
      </c>
      <c r="U31" s="62">
        <v>605</v>
      </c>
      <c r="V31" s="62">
        <v>617</v>
      </c>
      <c r="W31" s="63">
        <v>629</v>
      </c>
      <c r="AK31" s="188"/>
      <c r="AL31" s="188"/>
    </row>
    <row r="32" spans="2:40" ht="20" customHeight="1" x14ac:dyDescent="0.2">
      <c r="B32" s="38" t="s">
        <v>16</v>
      </c>
      <c r="C32" s="152">
        <v>0.21</v>
      </c>
      <c r="D32" s="72"/>
      <c r="F32" s="38" t="s">
        <v>203</v>
      </c>
      <c r="I32" s="104">
        <f>C6</f>
        <v>459000</v>
      </c>
      <c r="K32" s="38" t="s">
        <v>12</v>
      </c>
      <c r="N32" s="183">
        <f>C6</f>
        <v>459000</v>
      </c>
      <c r="P32" s="208"/>
      <c r="Q32" s="171">
        <v>0.11</v>
      </c>
      <c r="R32" s="62">
        <v>561</v>
      </c>
      <c r="S32" s="62">
        <v>573</v>
      </c>
      <c r="T32" s="62">
        <v>585</v>
      </c>
      <c r="U32" s="62">
        <v>596</v>
      </c>
      <c r="V32" s="62">
        <v>608</v>
      </c>
      <c r="W32" s="63">
        <v>619</v>
      </c>
      <c r="AK32" s="189"/>
      <c r="AL32" s="190"/>
      <c r="AM32" s="189"/>
      <c r="AN32" s="190"/>
    </row>
    <row r="33" spans="2:40" ht="20" customHeight="1" x14ac:dyDescent="0.2">
      <c r="B33" s="38" t="s">
        <v>31</v>
      </c>
      <c r="C33" s="112">
        <v>2.5000000000000001E-2</v>
      </c>
      <c r="D33" s="72"/>
      <c r="F33" s="11" t="s">
        <v>43</v>
      </c>
      <c r="G33" s="12"/>
      <c r="H33" s="12"/>
      <c r="I33" s="32">
        <f>I31/I32</f>
        <v>357.63497835539215</v>
      </c>
      <c r="K33" s="185" t="s">
        <v>43</v>
      </c>
      <c r="L33" s="186"/>
      <c r="M33" s="186"/>
      <c r="N33" s="187">
        <f>ROUND(N31/N32,0)</f>
        <v>583</v>
      </c>
      <c r="P33" s="208"/>
      <c r="Q33" s="171">
        <v>0.115</v>
      </c>
      <c r="R33" s="62">
        <v>553</v>
      </c>
      <c r="S33" s="62">
        <v>564</v>
      </c>
      <c r="T33" s="62">
        <v>576</v>
      </c>
      <c r="U33" s="62">
        <v>587</v>
      </c>
      <c r="V33" s="62">
        <v>599</v>
      </c>
      <c r="W33" s="63">
        <v>610</v>
      </c>
      <c r="AK33" s="189"/>
      <c r="AL33" s="191"/>
      <c r="AM33" s="189"/>
      <c r="AN33" s="190"/>
    </row>
    <row r="34" spans="2:40" ht="20" customHeight="1" x14ac:dyDescent="0.2">
      <c r="B34" s="81" t="s">
        <v>232</v>
      </c>
      <c r="C34" s="113">
        <v>21</v>
      </c>
      <c r="D34" s="98"/>
      <c r="F34" s="75" t="s">
        <v>44</v>
      </c>
      <c r="G34" s="10"/>
      <c r="H34" s="10"/>
      <c r="I34" s="105">
        <f>I33/$C$5-1</f>
        <v>-0.42624177251589535</v>
      </c>
      <c r="K34" s="75" t="s">
        <v>44</v>
      </c>
      <c r="L34" s="10"/>
      <c r="M34" s="10"/>
      <c r="N34" s="184">
        <f>N33/$C$5-1</f>
        <v>-6.4685875633703427E-2</v>
      </c>
      <c r="P34" s="208"/>
      <c r="Q34" s="172">
        <v>0.12</v>
      </c>
      <c r="R34" s="62">
        <v>545</v>
      </c>
      <c r="S34" s="62">
        <v>556</v>
      </c>
      <c r="T34" s="62">
        <v>567</v>
      </c>
      <c r="U34" s="62">
        <v>578</v>
      </c>
      <c r="V34" s="62">
        <v>590</v>
      </c>
      <c r="W34" s="63">
        <v>601</v>
      </c>
      <c r="AK34" s="189"/>
      <c r="AL34" s="192"/>
      <c r="AM34" s="189"/>
      <c r="AN34" s="193"/>
    </row>
    <row r="35" spans="2:40" ht="20" customHeight="1" x14ac:dyDescent="0.2">
      <c r="Q35" s="64"/>
      <c r="R35" s="36"/>
      <c r="S35" s="36"/>
      <c r="T35" s="36"/>
      <c r="U35" s="36"/>
      <c r="V35" s="36"/>
      <c r="W35" s="36"/>
      <c r="AK35" s="189"/>
      <c r="AL35" s="193"/>
      <c r="AM35" s="189"/>
      <c r="AN35" s="193"/>
    </row>
    <row r="36" spans="2:40" ht="20" customHeight="1" x14ac:dyDescent="0.2">
      <c r="AK36" s="194"/>
      <c r="AL36" s="195"/>
      <c r="AM36" s="195"/>
    </row>
    <row r="38" spans="2:40" x14ac:dyDescent="0.2">
      <c r="G38" s="196"/>
    </row>
    <row r="39" spans="2:40" x14ac:dyDescent="0.2">
      <c r="C39" s="19"/>
    </row>
    <row r="46" spans="2:40" x14ac:dyDescent="0.2">
      <c r="D46" s="93"/>
    </row>
    <row r="47" spans="2:40" x14ac:dyDescent="0.2">
      <c r="D47" s="93"/>
    </row>
    <row r="48" spans="2:40" x14ac:dyDescent="0.2">
      <c r="D48" s="93"/>
    </row>
    <row r="49" spans="4:4" x14ac:dyDescent="0.2">
      <c r="D49" s="93"/>
    </row>
    <row r="50" spans="4:4" x14ac:dyDescent="0.2">
      <c r="D50" s="93"/>
    </row>
    <row r="51" spans="4:4" x14ac:dyDescent="0.2">
      <c r="D51" s="93"/>
    </row>
    <row r="52" spans="4:4" x14ac:dyDescent="0.2">
      <c r="D52" s="93"/>
    </row>
    <row r="53" spans="4:4" x14ac:dyDescent="0.2">
      <c r="D53" s="93"/>
    </row>
    <row r="54" spans="4:4" x14ac:dyDescent="0.2">
      <c r="D54" s="93"/>
    </row>
    <row r="55" spans="4:4" x14ac:dyDescent="0.2">
      <c r="D55" s="93"/>
    </row>
    <row r="56" spans="4:4" x14ac:dyDescent="0.2">
      <c r="D56" s="93"/>
    </row>
  </sheetData>
  <mergeCells count="6">
    <mergeCell ref="Q18:W18"/>
    <mergeCell ref="B26:D26"/>
    <mergeCell ref="B31:D31"/>
    <mergeCell ref="B4:D4"/>
    <mergeCell ref="P20:P25"/>
    <mergeCell ref="P29:P34"/>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pageSetup orientation="portrait" r:id="rId1"/>
  <ignoredErrors>
    <ignoredError sqref="N2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8DD0-6399-644F-BAA1-BF78766BA224}">
  <dimension ref="B1:P62"/>
  <sheetViews>
    <sheetView showGridLines="0" zoomScale="125" zoomScaleNormal="115" workbookViewId="0">
      <pane ySplit="3" topLeftCell="A4" activePane="bottomLeft" state="frozen"/>
      <selection pane="bottomLeft" activeCell="F23" sqref="F23"/>
    </sheetView>
  </sheetViews>
  <sheetFormatPr baseColWidth="10" defaultColWidth="10.83203125" defaultRowHeight="16" x14ac:dyDescent="0.2"/>
  <cols>
    <col min="1" max="1" width="10.83203125" style="1"/>
    <col min="2" max="2" width="13.83203125" style="1" customWidth="1"/>
    <col min="3" max="3" width="22.33203125" style="1" customWidth="1"/>
    <col min="4" max="4" width="13.33203125" style="1" customWidth="1"/>
    <col min="5" max="5" width="14.33203125" style="1" customWidth="1"/>
    <col min="6" max="8" width="13.33203125" style="116" customWidth="1"/>
    <col min="9" max="9" width="14.6640625" style="116" customWidth="1"/>
    <col min="10" max="10" width="13.33203125" style="130" customWidth="1"/>
    <col min="11" max="14" width="13.33203125" style="116" customWidth="1"/>
    <col min="15" max="15" width="12.6640625" style="1" bestFit="1" customWidth="1"/>
    <col min="16" max="16" width="11.5" style="1" bestFit="1" customWidth="1"/>
    <col min="17" max="16384" width="10.83203125" style="1"/>
  </cols>
  <sheetData>
    <row r="1" spans="2:16" x14ac:dyDescent="0.2">
      <c r="F1" s="130"/>
    </row>
    <row r="2" spans="2:16" s="109" customFormat="1" ht="17" customHeight="1" x14ac:dyDescent="0.2">
      <c r="B2" s="107" t="s">
        <v>45</v>
      </c>
      <c r="C2" s="108"/>
      <c r="D2" s="108"/>
      <c r="E2" s="108"/>
      <c r="F2" s="213" t="s">
        <v>207</v>
      </c>
      <c r="G2" s="214"/>
      <c r="H2" s="214"/>
      <c r="I2" s="215"/>
      <c r="J2" s="213" t="s">
        <v>194</v>
      </c>
      <c r="K2" s="214"/>
      <c r="L2" s="214"/>
      <c r="M2" s="214"/>
      <c r="N2" s="214"/>
    </row>
    <row r="3" spans="2:16" x14ac:dyDescent="0.2">
      <c r="B3" s="13" t="s">
        <v>195</v>
      </c>
      <c r="D3" s="148">
        <v>2018</v>
      </c>
      <c r="E3" s="148">
        <v>2019</v>
      </c>
      <c r="F3" s="148">
        <v>2020</v>
      </c>
      <c r="G3" s="116">
        <v>2021</v>
      </c>
      <c r="H3" s="116">
        <v>2022</v>
      </c>
      <c r="I3" s="149" t="s">
        <v>241</v>
      </c>
      <c r="J3" s="150" t="s">
        <v>206</v>
      </c>
      <c r="K3" s="147" t="s">
        <v>8</v>
      </c>
      <c r="L3" s="147" t="s">
        <v>9</v>
      </c>
      <c r="M3" s="147" t="s">
        <v>191</v>
      </c>
      <c r="N3" s="147" t="s">
        <v>196</v>
      </c>
    </row>
    <row r="4" spans="2:16" x14ac:dyDescent="0.2">
      <c r="B4" s="14" t="s">
        <v>46</v>
      </c>
      <c r="D4" s="117">
        <v>9030000</v>
      </c>
      <c r="E4" s="117">
        <v>11171000</v>
      </c>
      <c r="F4" s="117">
        <v>12868000</v>
      </c>
      <c r="G4" s="117">
        <v>15785000</v>
      </c>
      <c r="H4" s="117">
        <v>17606000</v>
      </c>
      <c r="I4" s="117">
        <v>14361000</v>
      </c>
      <c r="J4" s="118">
        <v>5100000</v>
      </c>
      <c r="K4" s="118">
        <f>(K5+1)*(J4+I4)</f>
        <v>21737937</v>
      </c>
      <c r="L4" s="118">
        <f t="shared" ref="L4:N4" si="0">(L5+1)*K4</f>
        <v>24281275.629000001</v>
      </c>
      <c r="M4" s="118">
        <f t="shared" si="0"/>
        <v>27195028.704480004</v>
      </c>
      <c r="N4" s="118">
        <f t="shared" si="0"/>
        <v>30458432.149017606</v>
      </c>
    </row>
    <row r="5" spans="2:16" x14ac:dyDescent="0.2">
      <c r="B5" s="16" t="s">
        <v>47</v>
      </c>
      <c r="D5" s="120">
        <v>0.23669999999999999</v>
      </c>
      <c r="E5" s="120">
        <f t="shared" ref="E5:F5" si="1">E4/D4-1</f>
        <v>0.23709856035437427</v>
      </c>
      <c r="F5" s="120">
        <f t="shared" si="1"/>
        <v>0.151911198639334</v>
      </c>
      <c r="G5" s="120">
        <f>G4/F4-1</f>
        <v>0.22668635374572577</v>
      </c>
      <c r="H5" s="120">
        <f>H4/G4-1</f>
        <v>0.11536268609439349</v>
      </c>
      <c r="I5" s="212">
        <f>(I4+J4)/H4-1</f>
        <v>0.1053618084743837</v>
      </c>
      <c r="J5" s="212"/>
      <c r="K5" s="120">
        <v>0.11700000000000001</v>
      </c>
      <c r="L5" s="120">
        <v>0.11700000000000001</v>
      </c>
      <c r="M5" s="120">
        <v>0.12</v>
      </c>
      <c r="N5" s="120">
        <v>0.12</v>
      </c>
    </row>
    <row r="6" spans="2:16" x14ac:dyDescent="0.2">
      <c r="P6" s="30"/>
    </row>
    <row r="7" spans="2:16" x14ac:dyDescent="0.2">
      <c r="B7" s="1" t="s">
        <v>48</v>
      </c>
      <c r="D7" s="117">
        <v>1195000</v>
      </c>
      <c r="E7" s="117">
        <v>1673000</v>
      </c>
      <c r="F7" s="117">
        <v>1722000</v>
      </c>
      <c r="G7" s="117">
        <v>1865000</v>
      </c>
      <c r="H7" s="153">
        <v>2165000</v>
      </c>
      <c r="I7" s="121">
        <v>1720000</v>
      </c>
      <c r="J7" s="122">
        <f>J8*J4</f>
        <v>612000</v>
      </c>
      <c r="K7" s="122">
        <f t="shared" ref="K7:N7" si="2">K8*K4</f>
        <v>2608552.44</v>
      </c>
      <c r="L7" s="122">
        <f t="shared" si="2"/>
        <v>2840909.2485930002</v>
      </c>
      <c r="M7" s="122">
        <f t="shared" si="2"/>
        <v>3181818.3584241606</v>
      </c>
      <c r="N7" s="122">
        <f t="shared" si="2"/>
        <v>3563636.5614350601</v>
      </c>
    </row>
    <row r="8" spans="2:16" x14ac:dyDescent="0.2">
      <c r="B8" s="17" t="s">
        <v>49</v>
      </c>
      <c r="C8" s="10"/>
      <c r="D8" s="123">
        <f t="shared" ref="D8:E8" si="3">D7/D4</f>
        <v>0.13233665559246954</v>
      </c>
      <c r="E8" s="123">
        <f t="shared" si="3"/>
        <v>0.14976277862322085</v>
      </c>
      <c r="F8" s="123">
        <f>F7/F4</f>
        <v>0.13382032949953374</v>
      </c>
      <c r="G8" s="123">
        <f t="shared" ref="G8:I8" si="4">G7/G4</f>
        <v>0.11815014254038644</v>
      </c>
      <c r="H8" s="123">
        <f t="shared" si="4"/>
        <v>0.12296944223560149</v>
      </c>
      <c r="I8" s="123">
        <f t="shared" si="4"/>
        <v>0.11976881832741453</v>
      </c>
      <c r="J8" s="124">
        <v>0.12</v>
      </c>
      <c r="K8" s="124">
        <v>0.12</v>
      </c>
      <c r="L8" s="124">
        <v>0.11700000000000001</v>
      </c>
      <c r="M8" s="124">
        <v>0.11700000000000001</v>
      </c>
      <c r="N8" s="124">
        <v>0.11700000000000001</v>
      </c>
    </row>
    <row r="9" spans="2:16" x14ac:dyDescent="0.2">
      <c r="B9" s="14" t="s">
        <v>50</v>
      </c>
      <c r="D9" s="125">
        <f t="shared" ref="D9:E9" si="5">D4-D7</f>
        <v>7835000</v>
      </c>
      <c r="E9" s="125">
        <f t="shared" si="5"/>
        <v>9498000</v>
      </c>
      <c r="F9" s="125">
        <f>F4-F7</f>
        <v>11146000</v>
      </c>
      <c r="G9" s="125">
        <f t="shared" ref="G9:N9" si="6">G4-G7</f>
        <v>13920000</v>
      </c>
      <c r="H9" s="125">
        <f t="shared" si="6"/>
        <v>15441000</v>
      </c>
      <c r="I9" s="125">
        <f t="shared" si="6"/>
        <v>12641000</v>
      </c>
      <c r="J9" s="125">
        <f t="shared" si="6"/>
        <v>4488000</v>
      </c>
      <c r="K9" s="125">
        <f t="shared" si="6"/>
        <v>19129384.559999999</v>
      </c>
      <c r="L9" s="125">
        <f t="shared" si="6"/>
        <v>21440366.380407002</v>
      </c>
      <c r="M9" s="125">
        <f t="shared" si="6"/>
        <v>24013210.346055843</v>
      </c>
      <c r="N9" s="125">
        <f t="shared" si="6"/>
        <v>26894795.587582547</v>
      </c>
    </row>
    <row r="10" spans="2:16" x14ac:dyDescent="0.2">
      <c r="B10" s="15" t="s">
        <v>51</v>
      </c>
      <c r="D10" s="119">
        <f t="shared" ref="D10:E10" si="7">D9/D4</f>
        <v>0.86766334440753046</v>
      </c>
      <c r="E10" s="119">
        <f t="shared" si="7"/>
        <v>0.85023722137677915</v>
      </c>
      <c r="F10" s="119">
        <f>F9/F4</f>
        <v>0.86617967050046629</v>
      </c>
      <c r="G10" s="119">
        <f t="shared" ref="G10:N10" si="8">G9/G4</f>
        <v>0.88184985745961353</v>
      </c>
      <c r="H10" s="119">
        <f t="shared" si="8"/>
        <v>0.87703055776439853</v>
      </c>
      <c r="I10" s="119">
        <f t="shared" si="8"/>
        <v>0.88023118167258552</v>
      </c>
      <c r="J10" s="119">
        <f t="shared" si="8"/>
        <v>0.88</v>
      </c>
      <c r="K10" s="119">
        <f t="shared" si="8"/>
        <v>0.87999999999999989</v>
      </c>
      <c r="L10" s="119">
        <f t="shared" si="8"/>
        <v>0.88300000000000001</v>
      </c>
      <c r="M10" s="119">
        <f t="shared" si="8"/>
        <v>0.88300000000000001</v>
      </c>
      <c r="N10" s="119">
        <f t="shared" si="8"/>
        <v>0.88300000000000001</v>
      </c>
    </row>
    <row r="12" spans="2:16" x14ac:dyDescent="0.2">
      <c r="B12" s="1" t="s">
        <v>204</v>
      </c>
      <c r="D12" s="117">
        <v>3366000</v>
      </c>
      <c r="E12" s="117">
        <v>4125000</v>
      </c>
      <c r="F12" s="117">
        <v>4559000</v>
      </c>
      <c r="G12" s="117">
        <v>5406000</v>
      </c>
      <c r="H12" s="117">
        <v>6187000</v>
      </c>
      <c r="I12" s="117">
        <v>5024000</v>
      </c>
      <c r="J12" s="126">
        <f>J13*J4</f>
        <v>1785000</v>
      </c>
      <c r="K12" s="126">
        <f t="shared" ref="K12:N12" si="9">K13*K4</f>
        <v>7608277.9499999993</v>
      </c>
      <c r="L12" s="126">
        <f t="shared" si="9"/>
        <v>8425602.6432629991</v>
      </c>
      <c r="M12" s="126">
        <f t="shared" si="9"/>
        <v>9436674.9604545608</v>
      </c>
      <c r="N12" s="126">
        <f t="shared" si="9"/>
        <v>10569075.955709109</v>
      </c>
    </row>
    <row r="13" spans="2:16" x14ac:dyDescent="0.2">
      <c r="B13" s="17" t="s">
        <v>49</v>
      </c>
      <c r="C13" s="10"/>
      <c r="D13" s="128">
        <f t="shared" ref="D13:E13" si="10">D12/D4</f>
        <v>0.37275747508305646</v>
      </c>
      <c r="E13" s="128">
        <f t="shared" si="10"/>
        <v>0.36925969026944766</v>
      </c>
      <c r="F13" s="128">
        <f>F12/F4</f>
        <v>0.35428971091078643</v>
      </c>
      <c r="G13" s="128">
        <f t="shared" ref="G13:I13" si="11">G12/G4</f>
        <v>0.34247703515996197</v>
      </c>
      <c r="H13" s="128">
        <f t="shared" si="11"/>
        <v>0.35141429058275586</v>
      </c>
      <c r="I13" s="128">
        <f t="shared" si="11"/>
        <v>0.34983636237030846</v>
      </c>
      <c r="J13" s="124">
        <v>0.35</v>
      </c>
      <c r="K13" s="124">
        <v>0.35</v>
      </c>
      <c r="L13" s="124">
        <v>0.34699999999999998</v>
      </c>
      <c r="M13" s="124">
        <v>0.34699999999999998</v>
      </c>
      <c r="N13" s="124">
        <v>0.34699999999999998</v>
      </c>
    </row>
    <row r="14" spans="2:16" x14ac:dyDescent="0.2">
      <c r="B14" s="1" t="s">
        <v>205</v>
      </c>
      <c r="D14" s="117">
        <v>1538000</v>
      </c>
      <c r="E14" s="117">
        <v>1930000</v>
      </c>
      <c r="F14" s="117">
        <v>2188000</v>
      </c>
      <c r="G14" s="117">
        <v>2540000</v>
      </c>
      <c r="H14" s="117">
        <v>2987000</v>
      </c>
      <c r="I14" s="117">
        <v>2584000</v>
      </c>
      <c r="J14" s="126">
        <f>J15*J4</f>
        <v>867000.00000000012</v>
      </c>
      <c r="K14" s="126">
        <f>K15*K4</f>
        <v>3695449.29</v>
      </c>
      <c r="L14" s="126">
        <f>L15*L4</f>
        <v>4127816.8569300002</v>
      </c>
      <c r="M14" s="126">
        <f>M15*M4</f>
        <v>4623154.8797616009</v>
      </c>
      <c r="N14" s="126">
        <f>N15*N4</f>
        <v>5177933.4653329933</v>
      </c>
    </row>
    <row r="15" spans="2:16" x14ac:dyDescent="0.2">
      <c r="B15" s="17" t="s">
        <v>49</v>
      </c>
      <c r="C15" s="10"/>
      <c r="D15" s="128">
        <f t="shared" ref="D15:I15" si="12">D14/D4</f>
        <v>0.17032115171650056</v>
      </c>
      <c r="E15" s="128">
        <f t="shared" si="12"/>
        <v>0.17276877629576581</v>
      </c>
      <c r="F15" s="128">
        <f t="shared" si="12"/>
        <v>0.17003419334783959</v>
      </c>
      <c r="G15" s="128">
        <f t="shared" si="12"/>
        <v>0.16091225847323409</v>
      </c>
      <c r="H15" s="128">
        <f t="shared" si="12"/>
        <v>0.16965807111212086</v>
      </c>
      <c r="I15" s="128">
        <f t="shared" si="12"/>
        <v>0.17993175962676694</v>
      </c>
      <c r="J15" s="146">
        <v>0.17</v>
      </c>
      <c r="K15" s="146">
        <v>0.17</v>
      </c>
      <c r="L15" s="146">
        <v>0.17</v>
      </c>
      <c r="M15" s="146">
        <v>0.17</v>
      </c>
      <c r="N15" s="146">
        <v>0.17</v>
      </c>
    </row>
    <row r="16" spans="2:16" x14ac:dyDescent="0.2">
      <c r="B16" s="1" t="s">
        <v>244</v>
      </c>
      <c r="D16" s="117">
        <v>91000</v>
      </c>
      <c r="E16" s="117">
        <v>175000</v>
      </c>
      <c r="F16" s="117">
        <v>162000</v>
      </c>
      <c r="G16" s="117">
        <v>172000</v>
      </c>
      <c r="H16" s="117">
        <v>169000</v>
      </c>
      <c r="I16" s="117">
        <v>126000</v>
      </c>
      <c r="J16" s="126">
        <f>J17*J4</f>
        <v>45900</v>
      </c>
      <c r="K16" s="126">
        <f>K17*K4</f>
        <v>195641.43299999999</v>
      </c>
      <c r="L16" s="126">
        <f>L17*L4</f>
        <v>218531.48066099998</v>
      </c>
      <c r="M16" s="126">
        <f>M17*M4</f>
        <v>244755.25834032003</v>
      </c>
      <c r="N16" s="126">
        <f>N17*N4</f>
        <v>274125.88934115844</v>
      </c>
    </row>
    <row r="17" spans="2:15" x14ac:dyDescent="0.2">
      <c r="B17" s="17" t="s">
        <v>49</v>
      </c>
      <c r="C17" s="10"/>
      <c r="D17" s="128">
        <f t="shared" ref="D17:I17" si="13">D16/D4</f>
        <v>1.0077519379844961E-2</v>
      </c>
      <c r="E17" s="128">
        <f t="shared" si="13"/>
        <v>1.5665562617491718E-2</v>
      </c>
      <c r="F17" s="128">
        <f t="shared" si="13"/>
        <v>1.2589368977308051E-2</v>
      </c>
      <c r="G17" s="128">
        <f t="shared" si="13"/>
        <v>1.0896420652518213E-2</v>
      </c>
      <c r="H17" s="128">
        <f t="shared" si="13"/>
        <v>9.5990003407929111E-3</v>
      </c>
      <c r="I17" s="128">
        <f t="shared" si="13"/>
        <v>8.7737622728222275E-3</v>
      </c>
      <c r="J17" s="146">
        <v>8.9999999999999993E-3</v>
      </c>
      <c r="K17" s="146">
        <v>8.9999999999999993E-3</v>
      </c>
      <c r="L17" s="146">
        <v>8.9999999999999993E-3</v>
      </c>
      <c r="M17" s="146">
        <v>8.9999999999999993E-3</v>
      </c>
      <c r="N17" s="146">
        <v>8.9999999999999993E-3</v>
      </c>
    </row>
    <row r="18" spans="2:15" x14ac:dyDescent="0.2">
      <c r="B18" s="18" t="s">
        <v>13</v>
      </c>
      <c r="D18" s="125">
        <f t="shared" ref="D18:N18" si="14">D9-D12-D16-D14</f>
        <v>2840000</v>
      </c>
      <c r="E18" s="125">
        <f t="shared" si="14"/>
        <v>3268000</v>
      </c>
      <c r="F18" s="125">
        <f t="shared" si="14"/>
        <v>4237000</v>
      </c>
      <c r="G18" s="125">
        <f t="shared" si="14"/>
        <v>5802000</v>
      </c>
      <c r="H18" s="125">
        <f t="shared" si="14"/>
        <v>6098000</v>
      </c>
      <c r="I18" s="125">
        <f t="shared" si="14"/>
        <v>4907000</v>
      </c>
      <c r="J18" s="125">
        <f t="shared" si="14"/>
        <v>1790100</v>
      </c>
      <c r="K18" s="125">
        <f t="shared" si="14"/>
        <v>7630015.8869999992</v>
      </c>
      <c r="L18" s="125">
        <f t="shared" si="14"/>
        <v>8668415.3995530028</v>
      </c>
      <c r="M18" s="125">
        <f t="shared" si="14"/>
        <v>9708625.2474993616</v>
      </c>
      <c r="N18" s="125">
        <f t="shared" si="14"/>
        <v>10873660.277199287</v>
      </c>
      <c r="O18" s="30"/>
    </row>
    <row r="19" spans="2:15" x14ac:dyDescent="0.2">
      <c r="B19" s="15" t="s">
        <v>54</v>
      </c>
      <c r="D19" s="129">
        <f t="shared" ref="D19:N19" si="15">D18/D4</f>
        <v>0.31450719822812845</v>
      </c>
      <c r="E19" s="129">
        <f t="shared" si="15"/>
        <v>0.29254319219407393</v>
      </c>
      <c r="F19" s="129">
        <f t="shared" si="15"/>
        <v>0.32926639726453216</v>
      </c>
      <c r="G19" s="129">
        <f t="shared" si="15"/>
        <v>0.36756414317389929</v>
      </c>
      <c r="H19" s="129">
        <f t="shared" si="15"/>
        <v>0.34635919572872886</v>
      </c>
      <c r="I19" s="129">
        <f t="shared" si="15"/>
        <v>0.34168929740268783</v>
      </c>
      <c r="J19" s="129">
        <f t="shared" si="15"/>
        <v>0.35099999999999998</v>
      </c>
      <c r="K19" s="129">
        <f>K18/K4</f>
        <v>0.35099999999999998</v>
      </c>
      <c r="L19" s="129">
        <f t="shared" si="15"/>
        <v>0.3570000000000001</v>
      </c>
      <c r="M19" s="129">
        <f t="shared" si="15"/>
        <v>0.35700000000000004</v>
      </c>
      <c r="N19" s="129">
        <f t="shared" si="15"/>
        <v>0.35700000000000004</v>
      </c>
    </row>
    <row r="20" spans="2:15" x14ac:dyDescent="0.2">
      <c r="B20" s="18" t="s">
        <v>245</v>
      </c>
      <c r="D20" s="125">
        <v>3435452</v>
      </c>
      <c r="E20" s="125">
        <v>4435599</v>
      </c>
      <c r="F20" s="125">
        <v>5520000</v>
      </c>
      <c r="G20" s="125">
        <v>7242000</v>
      </c>
      <c r="H20" s="125">
        <v>7925000</v>
      </c>
      <c r="I20" s="125">
        <v>6732000</v>
      </c>
      <c r="J20" s="125">
        <f>J21*J4</f>
        <v>2343450</v>
      </c>
      <c r="K20" s="125">
        <f t="shared" ref="K20:N20" si="16">K21*K4</f>
        <v>9988582.0515000001</v>
      </c>
      <c r="L20" s="125">
        <f t="shared" si="16"/>
        <v>11230089.978412502</v>
      </c>
      <c r="M20" s="125">
        <f t="shared" si="16"/>
        <v>12577700.775822002</v>
      </c>
      <c r="N20" s="125">
        <f t="shared" si="16"/>
        <v>14087024.868920643</v>
      </c>
      <c r="O20" s="30"/>
    </row>
    <row r="21" spans="2:15" x14ac:dyDescent="0.2">
      <c r="B21" s="15" t="s">
        <v>246</v>
      </c>
      <c r="D21" s="129">
        <f>D20/D4</f>
        <v>0.38044872646733113</v>
      </c>
      <c r="E21" s="129">
        <f t="shared" ref="E21:I21" si="17">E20/E4</f>
        <v>0.39706373646047805</v>
      </c>
      <c r="F21" s="129">
        <f t="shared" si="17"/>
        <v>0.42897109107864467</v>
      </c>
      <c r="G21" s="129">
        <f t="shared" si="17"/>
        <v>0.45878999049730756</v>
      </c>
      <c r="H21" s="129">
        <f t="shared" si="17"/>
        <v>0.45013063728274449</v>
      </c>
      <c r="I21" s="129">
        <f t="shared" si="17"/>
        <v>0.46876958429078752</v>
      </c>
      <c r="J21" s="141">
        <v>0.45950000000000002</v>
      </c>
      <c r="K21" s="141">
        <v>0.45950000000000002</v>
      </c>
      <c r="L21" s="141">
        <v>0.46250000000000002</v>
      </c>
      <c r="M21" s="141">
        <v>0.46250000000000002</v>
      </c>
      <c r="N21" s="141">
        <v>0.46250000000000002</v>
      </c>
    </row>
    <row r="22" spans="2:15" x14ac:dyDescent="0.2">
      <c r="B22" s="15"/>
      <c r="F22" s="129"/>
      <c r="G22" s="129"/>
      <c r="H22" s="129"/>
      <c r="I22" s="129"/>
      <c r="J22" s="129"/>
      <c r="K22" s="129"/>
      <c r="L22" s="129"/>
      <c r="M22" s="129"/>
      <c r="N22" s="129"/>
    </row>
    <row r="23" spans="2:15" x14ac:dyDescent="0.2">
      <c r="B23" s="1" t="s">
        <v>198</v>
      </c>
      <c r="D23" s="117">
        <v>346492</v>
      </c>
      <c r="E23" s="117">
        <v>624750</v>
      </c>
      <c r="F23" s="117">
        <v>757000</v>
      </c>
      <c r="G23" s="117">
        <v>788000</v>
      </c>
      <c r="H23" s="117">
        <v>856000</v>
      </c>
      <c r="I23" s="117">
        <v>650000</v>
      </c>
      <c r="J23" s="126">
        <f>J24*J4</f>
        <v>255000</v>
      </c>
      <c r="K23" s="126">
        <f>K24*K4</f>
        <v>1086896.8500000001</v>
      </c>
      <c r="L23" s="126">
        <f>L24*L4</f>
        <v>1214063.7814500001</v>
      </c>
      <c r="M23" s="126">
        <f>M24*M4</f>
        <v>1359751.4352240004</v>
      </c>
      <c r="N23" s="126">
        <f>N24*N4</f>
        <v>1522921.6074508803</v>
      </c>
    </row>
    <row r="24" spans="2:15" x14ac:dyDescent="0.2">
      <c r="B24" s="17" t="s">
        <v>49</v>
      </c>
      <c r="C24" s="10"/>
      <c r="D24" s="128">
        <f t="shared" ref="D24:I24" si="18">D23/D4</f>
        <v>3.8371207087486155E-2</v>
      </c>
      <c r="E24" s="128">
        <f t="shared" si="18"/>
        <v>5.5926058544445441E-2</v>
      </c>
      <c r="F24" s="128">
        <f t="shared" si="18"/>
        <v>5.8828100714951821E-2</v>
      </c>
      <c r="G24" s="128">
        <f t="shared" si="18"/>
        <v>4.9920810896420656E-2</v>
      </c>
      <c r="H24" s="128">
        <f t="shared" si="18"/>
        <v>4.8619788708394868E-2</v>
      </c>
      <c r="I24" s="128">
        <f t="shared" si="18"/>
        <v>4.5261472042336888E-2</v>
      </c>
      <c r="J24" s="146">
        <v>0.05</v>
      </c>
      <c r="K24" s="146">
        <v>0.05</v>
      </c>
      <c r="L24" s="146">
        <v>0.05</v>
      </c>
      <c r="M24" s="146">
        <v>0.05</v>
      </c>
      <c r="N24" s="146">
        <v>0.05</v>
      </c>
    </row>
    <row r="25" spans="2:15" x14ac:dyDescent="0.2">
      <c r="B25" s="18" t="s">
        <v>52</v>
      </c>
      <c r="D25" s="125">
        <f t="shared" ref="D25:N25" si="19">D20+D23</f>
        <v>3781944</v>
      </c>
      <c r="E25" s="125">
        <f t="shared" si="19"/>
        <v>5060349</v>
      </c>
      <c r="F25" s="125">
        <f t="shared" si="19"/>
        <v>6277000</v>
      </c>
      <c r="G25" s="125">
        <f t="shared" si="19"/>
        <v>8030000</v>
      </c>
      <c r="H25" s="125">
        <f t="shared" si="19"/>
        <v>8781000</v>
      </c>
      <c r="I25" s="125">
        <f t="shared" si="19"/>
        <v>7382000</v>
      </c>
      <c r="J25" s="125">
        <f t="shared" si="19"/>
        <v>2598450</v>
      </c>
      <c r="K25" s="125">
        <f t="shared" si="19"/>
        <v>11075478.9015</v>
      </c>
      <c r="L25" s="125">
        <f t="shared" si="19"/>
        <v>12444153.759862501</v>
      </c>
      <c r="M25" s="125">
        <f t="shared" si="19"/>
        <v>13937452.211046003</v>
      </c>
      <c r="N25" s="125">
        <f t="shared" si="19"/>
        <v>15609946.476371523</v>
      </c>
    </row>
    <row r="26" spans="2:15" x14ac:dyDescent="0.2">
      <c r="B26" s="15" t="s">
        <v>53</v>
      </c>
      <c r="F26" s="143">
        <f t="shared" ref="F26:N26" si="20">F25/F4</f>
        <v>0.48779919179359654</v>
      </c>
      <c r="G26" s="143">
        <f t="shared" si="20"/>
        <v>0.50871080139372826</v>
      </c>
      <c r="H26" s="143">
        <f t="shared" si="20"/>
        <v>0.49875042599113939</v>
      </c>
      <c r="I26" s="143">
        <f t="shared" si="20"/>
        <v>0.5140310563331244</v>
      </c>
      <c r="J26" s="143">
        <f t="shared" si="20"/>
        <v>0.50949999999999995</v>
      </c>
      <c r="K26" s="143">
        <f t="shared" si="20"/>
        <v>0.50949999999999995</v>
      </c>
      <c r="L26" s="143">
        <f t="shared" si="20"/>
        <v>0.51250000000000007</v>
      </c>
      <c r="M26" s="143">
        <f t="shared" si="20"/>
        <v>0.51250000000000007</v>
      </c>
      <c r="N26" s="143">
        <f t="shared" si="20"/>
        <v>0.51249999999999996</v>
      </c>
    </row>
    <row r="27" spans="2:15" x14ac:dyDescent="0.2">
      <c r="B27" s="15"/>
      <c r="F27" s="143"/>
      <c r="G27" s="143"/>
      <c r="H27" s="143"/>
      <c r="I27" s="143"/>
      <c r="J27" s="143"/>
      <c r="K27" s="143"/>
      <c r="L27" s="143"/>
      <c r="M27" s="143"/>
      <c r="N27" s="143"/>
    </row>
    <row r="29" spans="2:15" s="109" customFormat="1" ht="17" customHeight="1" x14ac:dyDescent="0.2">
      <c r="B29" s="107" t="s">
        <v>55</v>
      </c>
      <c r="C29" s="108"/>
      <c r="D29" s="108"/>
      <c r="E29" s="108"/>
      <c r="F29" s="115"/>
      <c r="G29" s="115"/>
      <c r="H29" s="115"/>
      <c r="I29" s="115"/>
      <c r="J29" s="131"/>
      <c r="K29" s="115"/>
      <c r="L29" s="115"/>
      <c r="M29" s="115"/>
      <c r="N29" s="115"/>
    </row>
    <row r="30" spans="2:15" x14ac:dyDescent="0.2">
      <c r="B30" s="13" t="s">
        <v>195</v>
      </c>
      <c r="D30" s="116">
        <v>2018</v>
      </c>
      <c r="E30" s="116">
        <v>2019</v>
      </c>
      <c r="F30" s="116">
        <v>2020</v>
      </c>
      <c r="G30" s="116">
        <v>2021</v>
      </c>
      <c r="H30" s="116">
        <v>2022</v>
      </c>
      <c r="I30" s="149" t="s">
        <v>241</v>
      </c>
      <c r="J30" s="150" t="s">
        <v>206</v>
      </c>
      <c r="K30" s="147" t="s">
        <v>8</v>
      </c>
      <c r="L30" s="147" t="s">
        <v>9</v>
      </c>
      <c r="M30" s="147" t="s">
        <v>191</v>
      </c>
      <c r="N30" s="147" t="s">
        <v>196</v>
      </c>
    </row>
    <row r="32" spans="2:15" x14ac:dyDescent="0.2">
      <c r="B32" s="1" t="s">
        <v>56</v>
      </c>
      <c r="D32" s="117">
        <v>1315578</v>
      </c>
      <c r="E32" s="117">
        <v>1534809</v>
      </c>
      <c r="F32" s="117">
        <v>1398000</v>
      </c>
      <c r="G32" s="117">
        <v>1878000</v>
      </c>
      <c r="H32" s="117">
        <v>2065000</v>
      </c>
      <c r="I32" s="117">
        <v>1851000</v>
      </c>
      <c r="J32" s="132">
        <f>I33*(I4+J4)</f>
        <v>2238015</v>
      </c>
      <c r="K32" s="132">
        <f>K33*K4</f>
        <v>2499862.7549999999</v>
      </c>
      <c r="L32" s="132">
        <f>L33*L4</f>
        <v>2792346.6973350001</v>
      </c>
      <c r="M32" s="132">
        <f>M33*M4</f>
        <v>3127428.3010152006</v>
      </c>
      <c r="N32" s="132">
        <f>N33*N4</f>
        <v>3502719.6971370247</v>
      </c>
    </row>
    <row r="33" spans="2:14" x14ac:dyDescent="0.2">
      <c r="B33" s="15" t="s">
        <v>49</v>
      </c>
      <c r="D33" s="129">
        <f>D32/D4</f>
        <v>0.14568970099667775</v>
      </c>
      <c r="E33" s="129">
        <f>E32/E4</f>
        <v>0.13739226568794199</v>
      </c>
      <c r="F33" s="129">
        <f>F32/F4</f>
        <v>0.10864159154491762</v>
      </c>
      <c r="G33" s="129">
        <f>G32/G4</f>
        <v>0.11897370921761166</v>
      </c>
      <c r="H33" s="129">
        <f>H32/H4</f>
        <v>0.11728956037714415</v>
      </c>
      <c r="I33" s="209">
        <v>0.115</v>
      </c>
      <c r="J33" s="210"/>
      <c r="K33" s="133">
        <v>0.115</v>
      </c>
      <c r="L33" s="133">
        <v>0.115</v>
      </c>
      <c r="M33" s="133">
        <v>0.115</v>
      </c>
      <c r="N33" s="133">
        <v>0.115</v>
      </c>
    </row>
    <row r="34" spans="2:14" x14ac:dyDescent="0.2">
      <c r="B34" s="1" t="s">
        <v>57</v>
      </c>
      <c r="D34" s="117">
        <v>0</v>
      </c>
      <c r="E34" s="117">
        <v>0</v>
      </c>
      <c r="F34" s="117">
        <v>0</v>
      </c>
      <c r="G34" s="117">
        <v>0</v>
      </c>
      <c r="H34" s="117">
        <v>0</v>
      </c>
      <c r="I34" s="117">
        <v>0</v>
      </c>
      <c r="J34" s="126">
        <v>0</v>
      </c>
      <c r="K34" s="126">
        <v>0</v>
      </c>
      <c r="L34" s="126">
        <v>0</v>
      </c>
      <c r="M34" s="126">
        <v>0</v>
      </c>
      <c r="N34" s="126">
        <v>0</v>
      </c>
    </row>
    <row r="35" spans="2:14" x14ac:dyDescent="0.2">
      <c r="B35" s="15" t="s">
        <v>49</v>
      </c>
      <c r="D35" s="129">
        <f>D34/D4</f>
        <v>0</v>
      </c>
      <c r="E35" s="129">
        <f>E34/E4</f>
        <v>0</v>
      </c>
      <c r="F35" s="129">
        <f>F34/F4</f>
        <v>0</v>
      </c>
      <c r="G35" s="129">
        <f>G34/G4</f>
        <v>0</v>
      </c>
      <c r="H35" s="129">
        <f>H34/H4</f>
        <v>0</v>
      </c>
      <c r="I35" s="209">
        <v>0</v>
      </c>
      <c r="J35" s="210"/>
      <c r="K35" s="133">
        <v>0</v>
      </c>
      <c r="L35" s="133">
        <v>0</v>
      </c>
      <c r="M35" s="133">
        <v>0</v>
      </c>
      <c r="N35" s="133">
        <v>0</v>
      </c>
    </row>
    <row r="36" spans="2:14" x14ac:dyDescent="0.2">
      <c r="B36" s="1" t="s">
        <v>58</v>
      </c>
      <c r="D36" s="117">
        <v>268240</v>
      </c>
      <c r="E36" s="117">
        <v>595311</v>
      </c>
      <c r="F36" s="117">
        <v>563000</v>
      </c>
      <c r="G36" s="117">
        <v>690000</v>
      </c>
      <c r="H36" s="117">
        <v>561000</v>
      </c>
      <c r="I36" s="117">
        <v>961000</v>
      </c>
      <c r="J36" s="132">
        <f>I37*(J4+I4)</f>
        <v>622752</v>
      </c>
      <c r="K36" s="132">
        <f>K37*K4</f>
        <v>695613.98400000005</v>
      </c>
      <c r="L36" s="132">
        <f>L37*L4</f>
        <v>777000.82012799999</v>
      </c>
      <c r="M36" s="132">
        <f>M37*M4</f>
        <v>870240.91854336008</v>
      </c>
      <c r="N36" s="132">
        <f>N37*N4</f>
        <v>974669.82876856346</v>
      </c>
    </row>
    <row r="37" spans="2:14" x14ac:dyDescent="0.2">
      <c r="B37" s="17" t="s">
        <v>49</v>
      </c>
      <c r="C37" s="10"/>
      <c r="D37" s="128">
        <f>D36/D4</f>
        <v>2.9705426356589147E-2</v>
      </c>
      <c r="E37" s="128">
        <f>E36/E4</f>
        <v>5.3290752842180648E-2</v>
      </c>
      <c r="F37" s="128">
        <f>F36/F4</f>
        <v>4.375194280385452E-2</v>
      </c>
      <c r="G37" s="128">
        <f>G36/G4</f>
        <v>4.3712385175799812E-2</v>
      </c>
      <c r="H37" s="128">
        <f>H36/H4</f>
        <v>3.18641372259457E-2</v>
      </c>
      <c r="I37" s="211">
        <v>3.2000000000000001E-2</v>
      </c>
      <c r="J37" s="216"/>
      <c r="K37" s="134">
        <v>3.2000000000000001E-2</v>
      </c>
      <c r="L37" s="134">
        <v>3.2000000000000001E-2</v>
      </c>
      <c r="M37" s="134">
        <v>3.2000000000000001E-2</v>
      </c>
      <c r="N37" s="134">
        <v>3.2000000000000001E-2</v>
      </c>
    </row>
    <row r="38" spans="2:14" x14ac:dyDescent="0.2">
      <c r="B38" s="1" t="s">
        <v>59</v>
      </c>
      <c r="D38" s="127">
        <f t="shared" ref="D38:E38" si="21">D32+D34+D36</f>
        <v>1583818</v>
      </c>
      <c r="E38" s="127">
        <f t="shared" si="21"/>
        <v>2130120</v>
      </c>
      <c r="F38" s="127">
        <f>F32+F34+F36</f>
        <v>1961000</v>
      </c>
      <c r="G38" s="127">
        <f t="shared" ref="G38:N38" si="22">G32+G34+G36</f>
        <v>2568000</v>
      </c>
      <c r="H38" s="127">
        <f t="shared" si="22"/>
        <v>2626000</v>
      </c>
      <c r="I38" s="127">
        <f t="shared" si="22"/>
        <v>2812000</v>
      </c>
      <c r="J38" s="127">
        <f t="shared" si="22"/>
        <v>2860767</v>
      </c>
      <c r="K38" s="127">
        <f t="shared" si="22"/>
        <v>3195476.7390000001</v>
      </c>
      <c r="L38" s="127">
        <f t="shared" si="22"/>
        <v>3569347.517463</v>
      </c>
      <c r="M38" s="127">
        <f t="shared" si="22"/>
        <v>3997669.2195585608</v>
      </c>
      <c r="N38" s="127">
        <f t="shared" si="22"/>
        <v>4477389.5259055886</v>
      </c>
    </row>
    <row r="40" spans="2:14" x14ac:dyDescent="0.2">
      <c r="B40" s="1" t="s">
        <v>180</v>
      </c>
      <c r="D40" s="117">
        <v>1348627</v>
      </c>
      <c r="E40" s="117">
        <v>1575516</v>
      </c>
      <c r="F40" s="117">
        <v>1597000</v>
      </c>
      <c r="G40" s="117">
        <v>1912000</v>
      </c>
      <c r="H40" s="117">
        <v>2048000</v>
      </c>
      <c r="I40" s="117">
        <v>1929000</v>
      </c>
      <c r="J40" s="132">
        <f>I41*(I4+J4)</f>
        <v>2238015</v>
      </c>
      <c r="K40" s="132">
        <f>K41*K4</f>
        <v>2499862.7549999999</v>
      </c>
      <c r="L40" s="132">
        <f>L41*L4</f>
        <v>2792346.6973350001</v>
      </c>
      <c r="M40" s="132">
        <f>M41*M4</f>
        <v>3127428.3010152006</v>
      </c>
      <c r="N40" s="132">
        <f>N41*N4</f>
        <v>3502719.6971370247</v>
      </c>
    </row>
    <row r="41" spans="2:14" x14ac:dyDescent="0.2">
      <c r="B41" s="15" t="s">
        <v>49</v>
      </c>
      <c r="D41" s="129">
        <f>D40/D4</f>
        <v>0.14934961240310077</v>
      </c>
      <c r="E41" s="129">
        <f>E40/E4</f>
        <v>0.14103625458777191</v>
      </c>
      <c r="F41" s="129">
        <f>F40/F4</f>
        <v>0.12410631022691949</v>
      </c>
      <c r="G41" s="129">
        <f>G40/G4</f>
        <v>0.12112765283496991</v>
      </c>
      <c r="H41" s="129">
        <f>H40/H4</f>
        <v>0.11632398046120641</v>
      </c>
      <c r="I41" s="209">
        <v>0.115</v>
      </c>
      <c r="J41" s="210"/>
      <c r="K41" s="133">
        <v>0.115</v>
      </c>
      <c r="L41" s="133">
        <v>0.115</v>
      </c>
      <c r="M41" s="133">
        <v>0.115</v>
      </c>
      <c r="N41" s="133">
        <v>0.115</v>
      </c>
    </row>
    <row r="42" spans="2:14" x14ac:dyDescent="0.2">
      <c r="B42" s="1" t="s">
        <v>197</v>
      </c>
      <c r="D42" s="117">
        <v>816</v>
      </c>
      <c r="E42" s="117">
        <v>32323</v>
      </c>
      <c r="F42" s="117">
        <v>131000</v>
      </c>
      <c r="G42" s="117">
        <v>136000</v>
      </c>
      <c r="H42" s="117">
        <v>121000</v>
      </c>
      <c r="I42" s="117">
        <v>99000</v>
      </c>
      <c r="J42" s="132">
        <f>I43*(I4+J4)</f>
        <v>136227</v>
      </c>
      <c r="K42" s="132">
        <f>K43*K4</f>
        <v>152165.55900000001</v>
      </c>
      <c r="L42" s="132">
        <f>L43*L4</f>
        <v>169968.92940300002</v>
      </c>
      <c r="M42" s="132">
        <f>M43*M4</f>
        <v>190365.20093136004</v>
      </c>
      <c r="N42" s="132">
        <f>N43*N4</f>
        <v>213209.02504312326</v>
      </c>
    </row>
    <row r="43" spans="2:14" x14ac:dyDescent="0.2">
      <c r="B43" s="15" t="s">
        <v>49</v>
      </c>
      <c r="D43" s="129">
        <f>D42/D4</f>
        <v>9.0365448504983389E-5</v>
      </c>
      <c r="E43" s="129">
        <f>E42/E4</f>
        <v>2.8934741742010564E-3</v>
      </c>
      <c r="F43" s="129">
        <f>F42/F4</f>
        <v>1.018029219769972E-2</v>
      </c>
      <c r="G43" s="129">
        <f>G42/G4</f>
        <v>8.615774469433006E-3</v>
      </c>
      <c r="H43" s="129">
        <f>H42/H4</f>
        <v>6.8726570487333861E-3</v>
      </c>
      <c r="I43" s="211">
        <v>7.0000000000000001E-3</v>
      </c>
      <c r="J43" s="211"/>
      <c r="K43" s="140">
        <v>7.0000000000000001E-3</v>
      </c>
      <c r="L43" s="140">
        <v>7.0000000000000001E-3</v>
      </c>
      <c r="M43" s="140">
        <v>7.0000000000000001E-3</v>
      </c>
      <c r="N43" s="140">
        <v>7.0000000000000001E-3</v>
      </c>
    </row>
    <row r="44" spans="2:14" x14ac:dyDescent="0.2">
      <c r="B44" s="37" t="s">
        <v>60</v>
      </c>
      <c r="C44" s="37"/>
      <c r="D44" s="135">
        <f t="shared" ref="D44:E44" si="23">D40+D42</f>
        <v>1349443</v>
      </c>
      <c r="E44" s="135">
        <f t="shared" si="23"/>
        <v>1607839</v>
      </c>
      <c r="F44" s="135">
        <f>F40+F42</f>
        <v>1728000</v>
      </c>
      <c r="G44" s="135">
        <f t="shared" ref="G44:N44" si="24">G40+G42</f>
        <v>2048000</v>
      </c>
      <c r="H44" s="135">
        <f t="shared" si="24"/>
        <v>2169000</v>
      </c>
      <c r="I44" s="135">
        <f t="shared" si="24"/>
        <v>2028000</v>
      </c>
      <c r="J44" s="135">
        <f t="shared" si="24"/>
        <v>2374242</v>
      </c>
      <c r="K44" s="135">
        <f t="shared" si="24"/>
        <v>2652028.3139999998</v>
      </c>
      <c r="L44" s="135">
        <f t="shared" si="24"/>
        <v>2962315.6267380002</v>
      </c>
      <c r="M44" s="135">
        <f t="shared" si="24"/>
        <v>3317793.5019465606</v>
      </c>
      <c r="N44" s="135">
        <f t="shared" si="24"/>
        <v>3715928.7221801481</v>
      </c>
    </row>
    <row r="46" spans="2:14" x14ac:dyDescent="0.2">
      <c r="B46" s="1" t="s">
        <v>59</v>
      </c>
      <c r="D46" s="127">
        <f t="shared" ref="D46:E46" si="25">D38</f>
        <v>1583818</v>
      </c>
      <c r="E46" s="127">
        <f t="shared" si="25"/>
        <v>2130120</v>
      </c>
      <c r="F46" s="127">
        <f>F38</f>
        <v>1961000</v>
      </c>
      <c r="G46" s="127">
        <f t="shared" ref="G46:N46" si="26">G38</f>
        <v>2568000</v>
      </c>
      <c r="H46" s="127">
        <f t="shared" si="26"/>
        <v>2626000</v>
      </c>
      <c r="I46" s="127">
        <f>I38</f>
        <v>2812000</v>
      </c>
      <c r="J46" s="127">
        <f t="shared" si="26"/>
        <v>2860767</v>
      </c>
      <c r="K46" s="127">
        <f t="shared" si="26"/>
        <v>3195476.7390000001</v>
      </c>
      <c r="L46" s="127">
        <f t="shared" si="26"/>
        <v>3569347.517463</v>
      </c>
      <c r="M46" s="127">
        <f t="shared" si="26"/>
        <v>3997669.2195585608</v>
      </c>
      <c r="N46" s="127">
        <f t="shared" si="26"/>
        <v>4477389.5259055886</v>
      </c>
    </row>
    <row r="47" spans="2:14" x14ac:dyDescent="0.2">
      <c r="B47" s="10" t="s">
        <v>60</v>
      </c>
      <c r="C47" s="10"/>
      <c r="D47" s="136">
        <f t="shared" ref="D47:N47" si="27">D44</f>
        <v>1349443</v>
      </c>
      <c r="E47" s="136">
        <f t="shared" si="27"/>
        <v>1607839</v>
      </c>
      <c r="F47" s="136">
        <f t="shared" si="27"/>
        <v>1728000</v>
      </c>
      <c r="G47" s="136">
        <f t="shared" si="27"/>
        <v>2048000</v>
      </c>
      <c r="H47" s="136">
        <f t="shared" si="27"/>
        <v>2169000</v>
      </c>
      <c r="I47" s="136">
        <f t="shared" si="27"/>
        <v>2028000</v>
      </c>
      <c r="J47" s="136">
        <f t="shared" si="27"/>
        <v>2374242</v>
      </c>
      <c r="K47" s="136">
        <f t="shared" si="27"/>
        <v>2652028.3139999998</v>
      </c>
      <c r="L47" s="136">
        <f t="shared" si="27"/>
        <v>2962315.6267380002</v>
      </c>
      <c r="M47" s="136">
        <f t="shared" si="27"/>
        <v>3317793.5019465606</v>
      </c>
      <c r="N47" s="136">
        <f t="shared" si="27"/>
        <v>3715928.7221801481</v>
      </c>
    </row>
    <row r="48" spans="2:14" x14ac:dyDescent="0.2">
      <c r="B48" s="1" t="s">
        <v>61</v>
      </c>
      <c r="D48" s="127">
        <f t="shared" ref="D48:N48" si="28">D46-D47</f>
        <v>234375</v>
      </c>
      <c r="E48" s="127">
        <f t="shared" si="28"/>
        <v>522281</v>
      </c>
      <c r="F48" s="127">
        <f t="shared" si="28"/>
        <v>233000</v>
      </c>
      <c r="G48" s="127">
        <f t="shared" si="28"/>
        <v>520000</v>
      </c>
      <c r="H48" s="127">
        <f t="shared" si="28"/>
        <v>457000</v>
      </c>
      <c r="I48" s="127">
        <f t="shared" si="28"/>
        <v>784000</v>
      </c>
      <c r="J48" s="127">
        <f>J46-J47</f>
        <v>486525</v>
      </c>
      <c r="K48" s="127">
        <f t="shared" si="28"/>
        <v>543448.42500000028</v>
      </c>
      <c r="L48" s="127">
        <f t="shared" si="28"/>
        <v>607031.89072499983</v>
      </c>
      <c r="M48" s="127">
        <f t="shared" si="28"/>
        <v>679875.71761200018</v>
      </c>
      <c r="N48" s="127">
        <f t="shared" si="28"/>
        <v>761460.80372544052</v>
      </c>
    </row>
    <row r="49" spans="2:14" x14ac:dyDescent="0.2">
      <c r="B49" s="14" t="s">
        <v>62</v>
      </c>
      <c r="D49" s="125">
        <f t="shared" ref="D49:F49" si="29">D48-C48</f>
        <v>234375</v>
      </c>
      <c r="E49" s="125">
        <f t="shared" si="29"/>
        <v>287906</v>
      </c>
      <c r="F49" s="125">
        <f t="shared" si="29"/>
        <v>-289281</v>
      </c>
      <c r="G49" s="125">
        <f>G48-F48</f>
        <v>287000</v>
      </c>
      <c r="H49" s="125">
        <f>H48-G48</f>
        <v>-63000</v>
      </c>
      <c r="I49" s="125">
        <f>I48-H48</f>
        <v>327000</v>
      </c>
      <c r="J49" s="125">
        <f>J48-I48</f>
        <v>-297475</v>
      </c>
      <c r="K49" s="125">
        <f>K48-J48</f>
        <v>56923.425000000279</v>
      </c>
      <c r="L49" s="125">
        <f t="shared" ref="L49:N49" si="30">L48-K48</f>
        <v>63583.465724999551</v>
      </c>
      <c r="M49" s="125">
        <f t="shared" si="30"/>
        <v>72843.826887000352</v>
      </c>
      <c r="N49" s="125">
        <f t="shared" si="30"/>
        <v>81585.086113440339</v>
      </c>
    </row>
    <row r="51" spans="2:14" s="109" customFormat="1" ht="17" customHeight="1" x14ac:dyDescent="0.2">
      <c r="B51" s="107" t="s">
        <v>192</v>
      </c>
      <c r="C51" s="108"/>
      <c r="D51" s="108"/>
      <c r="E51" s="108"/>
      <c r="F51" s="115"/>
      <c r="G51" s="115"/>
      <c r="H51" s="115"/>
      <c r="I51" s="115"/>
      <c r="J51" s="131"/>
      <c r="K51" s="115"/>
      <c r="L51" s="115"/>
      <c r="M51" s="115"/>
      <c r="N51" s="115"/>
    </row>
    <row r="52" spans="2:14" x14ac:dyDescent="0.2">
      <c r="B52" s="13" t="s">
        <v>195</v>
      </c>
      <c r="D52" s="116">
        <v>2018</v>
      </c>
      <c r="E52" s="116">
        <v>2019</v>
      </c>
      <c r="F52" s="116">
        <v>2020</v>
      </c>
      <c r="G52" s="116">
        <v>2021</v>
      </c>
      <c r="H52" s="116">
        <v>2022</v>
      </c>
      <c r="I52" s="149" t="s">
        <v>241</v>
      </c>
      <c r="J52" s="150" t="s">
        <v>206</v>
      </c>
      <c r="K52" s="147" t="s">
        <v>8</v>
      </c>
      <c r="L52" s="147" t="s">
        <v>9</v>
      </c>
      <c r="M52" s="147" t="s">
        <v>191</v>
      </c>
      <c r="N52" s="147" t="s">
        <v>196</v>
      </c>
    </row>
    <row r="54" spans="2:14" x14ac:dyDescent="0.2">
      <c r="B54" s="14" t="s">
        <v>63</v>
      </c>
      <c r="D54" s="137">
        <v>266579</v>
      </c>
      <c r="E54" s="137">
        <v>394479</v>
      </c>
      <c r="F54" s="137">
        <v>419000</v>
      </c>
      <c r="G54" s="137">
        <v>348000</v>
      </c>
      <c r="H54" s="137">
        <v>442000</v>
      </c>
      <c r="I54" s="137">
        <v>313000</v>
      </c>
      <c r="J54" s="138">
        <f>J55*J4</f>
        <v>112200</v>
      </c>
      <c r="K54" s="138">
        <f>K55*K4</f>
        <v>478234.61399999994</v>
      </c>
      <c r="L54" s="138">
        <f>L55*L4</f>
        <v>485625.51258000004</v>
      </c>
      <c r="M54" s="138">
        <f>M55*M4</f>
        <v>543900.57408960012</v>
      </c>
      <c r="N54" s="138">
        <f>N55*N4</f>
        <v>609168.64298035216</v>
      </c>
    </row>
    <row r="55" spans="2:14" x14ac:dyDescent="0.2">
      <c r="B55" s="15" t="s">
        <v>49</v>
      </c>
      <c r="D55" s="141">
        <f t="shared" ref="D55:I55" si="31">D54/D4</f>
        <v>2.9521483942414176E-2</v>
      </c>
      <c r="E55" s="141">
        <f t="shared" si="31"/>
        <v>3.5312774147345807E-2</v>
      </c>
      <c r="F55" s="141">
        <f t="shared" si="31"/>
        <v>3.2561392601802921E-2</v>
      </c>
      <c r="G55" s="141">
        <f t="shared" si="31"/>
        <v>2.2046246436490339E-2</v>
      </c>
      <c r="H55" s="141">
        <f t="shared" si="31"/>
        <v>2.5105077814381462E-2</v>
      </c>
      <c r="I55" s="141">
        <f t="shared" si="31"/>
        <v>2.1795139614232992E-2</v>
      </c>
      <c r="J55" s="142">
        <v>2.1999999999999999E-2</v>
      </c>
      <c r="K55" s="142">
        <v>2.1999999999999999E-2</v>
      </c>
      <c r="L55" s="142">
        <v>0.02</v>
      </c>
      <c r="M55" s="142">
        <v>0.02</v>
      </c>
      <c r="N55" s="142">
        <v>0.02</v>
      </c>
    </row>
    <row r="56" spans="2:14" x14ac:dyDescent="0.2">
      <c r="H56" s="139"/>
      <c r="I56" s="139"/>
    </row>
    <row r="58" spans="2:14" x14ac:dyDescent="0.2">
      <c r="B58" s="107" t="s">
        <v>243</v>
      </c>
      <c r="C58" s="108"/>
      <c r="D58" s="108"/>
      <c r="E58" s="108"/>
      <c r="F58" s="115"/>
      <c r="G58" s="115"/>
      <c r="H58" s="115"/>
      <c r="I58" s="115"/>
      <c r="J58" s="131"/>
      <c r="K58" s="115"/>
      <c r="L58" s="115"/>
      <c r="M58" s="115"/>
      <c r="N58" s="115"/>
    </row>
    <row r="59" spans="2:14" x14ac:dyDescent="0.2">
      <c r="B59" s="13" t="s">
        <v>195</v>
      </c>
      <c r="D59" s="116">
        <v>2018</v>
      </c>
      <c r="E59" s="116">
        <v>2019</v>
      </c>
      <c r="F59" s="116">
        <v>2020</v>
      </c>
      <c r="G59" s="116">
        <v>2021</v>
      </c>
      <c r="H59" s="116">
        <v>2022</v>
      </c>
      <c r="I59" s="149" t="s">
        <v>241</v>
      </c>
      <c r="J59" s="150" t="s">
        <v>206</v>
      </c>
      <c r="K59" s="147" t="s">
        <v>8</v>
      </c>
      <c r="L59" s="147" t="s">
        <v>9</v>
      </c>
      <c r="M59" s="147" t="s">
        <v>191</v>
      </c>
      <c r="N59" s="147" t="s">
        <v>196</v>
      </c>
    </row>
    <row r="61" spans="2:14" x14ac:dyDescent="0.2">
      <c r="B61" s="14" t="s">
        <v>243</v>
      </c>
      <c r="D61" s="137">
        <v>609562</v>
      </c>
      <c r="E61" s="137">
        <v>787705</v>
      </c>
      <c r="F61" s="137">
        <v>909000</v>
      </c>
      <c r="G61" s="137">
        <v>1069000</v>
      </c>
      <c r="H61" s="137">
        <v>1440000</v>
      </c>
      <c r="I61" s="137">
        <v>1291000</v>
      </c>
      <c r="J61" s="138">
        <f>J62*J4</f>
        <v>459000</v>
      </c>
      <c r="K61" s="138">
        <f>K62*K4</f>
        <v>1956414.3299999998</v>
      </c>
      <c r="L61" s="138">
        <f>L62*L4</f>
        <v>2233877.3578679999</v>
      </c>
      <c r="M61" s="138">
        <f>M62*M4</f>
        <v>2501942.6408121604</v>
      </c>
      <c r="N61" s="138">
        <f>N62*N4</f>
        <v>2802175.7577096196</v>
      </c>
    </row>
    <row r="62" spans="2:14" x14ac:dyDescent="0.2">
      <c r="B62" s="15" t="s">
        <v>49</v>
      </c>
      <c r="D62" s="141">
        <f t="shared" ref="D62:I62" si="32">D61/D4</f>
        <v>6.7504097452934661E-2</v>
      </c>
      <c r="E62" s="141">
        <f t="shared" si="32"/>
        <v>7.0513382866350366E-2</v>
      </c>
      <c r="F62" s="141">
        <f t="shared" si="32"/>
        <v>7.0640348150450727E-2</v>
      </c>
      <c r="G62" s="141">
        <f t="shared" si="32"/>
        <v>6.7722521381057971E-2</v>
      </c>
      <c r="H62" s="141">
        <f t="shared" si="32"/>
        <v>8.1790298761785757E-2</v>
      </c>
      <c r="I62" s="141">
        <f t="shared" si="32"/>
        <v>8.989624677947218E-2</v>
      </c>
      <c r="J62" s="142">
        <v>0.09</v>
      </c>
      <c r="K62" s="142">
        <v>0.09</v>
      </c>
      <c r="L62" s="142">
        <v>9.1999999999999998E-2</v>
      </c>
      <c r="M62" s="142">
        <v>9.1999999999999998E-2</v>
      </c>
      <c r="N62" s="142">
        <v>9.1999999999999998E-2</v>
      </c>
    </row>
  </sheetData>
  <mergeCells count="8">
    <mergeCell ref="I41:J41"/>
    <mergeCell ref="I43:J43"/>
    <mergeCell ref="I5:J5"/>
    <mergeCell ref="J2:N2"/>
    <mergeCell ref="F2:I2"/>
    <mergeCell ref="I33:J33"/>
    <mergeCell ref="I35:J35"/>
    <mergeCell ref="I37:J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C05E-7F42-DB47-862E-0113684357CE}">
  <dimension ref="C6:F9"/>
  <sheetViews>
    <sheetView tabSelected="1" zoomScale="84" workbookViewId="0">
      <selection activeCell="E30" sqref="E30"/>
    </sheetView>
  </sheetViews>
  <sheetFormatPr baseColWidth="10" defaultRowHeight="20" customHeight="1" x14ac:dyDescent="0.2"/>
  <cols>
    <col min="1" max="2" width="10.83203125" style="179"/>
    <col min="3" max="3" width="10.1640625" style="179" customWidth="1"/>
    <col min="4" max="4" width="10.83203125" style="179"/>
    <col min="5" max="6" width="13.6640625" style="179" customWidth="1"/>
    <col min="7" max="16384" width="10.83203125" style="179"/>
  </cols>
  <sheetData>
    <row r="6" spans="3:6" ht="20" customHeight="1" x14ac:dyDescent="0.2">
      <c r="C6" s="217" t="s">
        <v>43</v>
      </c>
      <c r="D6" s="217"/>
      <c r="E6" s="217"/>
      <c r="F6" s="217"/>
    </row>
    <row r="7" spans="3:6" ht="20" customHeight="1" x14ac:dyDescent="0.2">
      <c r="C7" s="180"/>
      <c r="D7" s="181" t="s">
        <v>225</v>
      </c>
      <c r="E7" s="181" t="s">
        <v>228</v>
      </c>
      <c r="F7" s="181" t="s">
        <v>226</v>
      </c>
    </row>
    <row r="8" spans="3:6" ht="20" customHeight="1" x14ac:dyDescent="0.2">
      <c r="C8" s="181" t="s">
        <v>227</v>
      </c>
      <c r="D8" s="180"/>
      <c r="E8" s="180"/>
      <c r="F8" s="180"/>
    </row>
    <row r="9" spans="3:6" ht="20" customHeight="1" x14ac:dyDescent="0.2">
      <c r="C9" s="181" t="s">
        <v>2</v>
      </c>
      <c r="D9" s="180"/>
      <c r="E9" s="180"/>
      <c r="F9" s="180"/>
    </row>
  </sheetData>
  <mergeCells count="1">
    <mergeCell ref="C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DDF1-F3AB-5D40-9ECC-B2A999DC55CE}">
  <dimension ref="A4:K84"/>
  <sheetViews>
    <sheetView zoomScale="70" zoomScaleNormal="70" workbookViewId="0">
      <selection activeCell="F24" sqref="F24"/>
    </sheetView>
  </sheetViews>
  <sheetFormatPr baseColWidth="10" defaultColWidth="8.83203125" defaultRowHeight="16" x14ac:dyDescent="0.2"/>
  <cols>
    <col min="1" max="1" width="45.83203125" customWidth="1"/>
    <col min="2" max="5" width="11" customWidth="1"/>
    <col min="6" max="8" width="10.83203125" customWidth="1"/>
    <col min="9" max="196" width="11" customWidth="1"/>
  </cols>
  <sheetData>
    <row r="4" spans="1:8" x14ac:dyDescent="0.2">
      <c r="A4" s="27" t="s">
        <v>64</v>
      </c>
    </row>
    <row r="5" spans="1:8" ht="20" x14ac:dyDescent="0.2">
      <c r="A5" s="28" t="s">
        <v>65</v>
      </c>
    </row>
    <row r="7" spans="1:8" ht="85" x14ac:dyDescent="0.2">
      <c r="A7" s="29" t="s">
        <v>66</v>
      </c>
    </row>
    <row r="9" spans="1:8" ht="34" x14ac:dyDescent="0.2">
      <c r="A9" s="29" t="s">
        <v>67</v>
      </c>
    </row>
    <row r="11" spans="1:8" x14ac:dyDescent="0.2">
      <c r="D11" t="s">
        <v>190</v>
      </c>
    </row>
    <row r="12" spans="1:8" x14ac:dyDescent="0.2">
      <c r="A12" s="21" t="s">
        <v>68</v>
      </c>
    </row>
    <row r="13" spans="1:8" x14ac:dyDescent="0.2">
      <c r="A13" s="22" t="s">
        <v>69</v>
      </c>
      <c r="B13" s="23" t="s">
        <v>185</v>
      </c>
      <c r="C13" s="23"/>
      <c r="D13" s="23" t="s">
        <v>73</v>
      </c>
      <c r="E13" s="23" t="s">
        <v>72</v>
      </c>
      <c r="F13" s="23" t="s">
        <v>71</v>
      </c>
      <c r="G13" s="23" t="s">
        <v>70</v>
      </c>
      <c r="H13" s="23" t="s">
        <v>185</v>
      </c>
    </row>
    <row r="14" spans="1:8" x14ac:dyDescent="0.2">
      <c r="A14" s="22" t="s">
        <v>74</v>
      </c>
      <c r="B14" s="23" t="s">
        <v>177</v>
      </c>
      <c r="C14" s="23"/>
      <c r="D14" s="23" t="s">
        <v>177</v>
      </c>
      <c r="E14" s="23" t="s">
        <v>177</v>
      </c>
      <c r="F14" s="23" t="s">
        <v>177</v>
      </c>
      <c r="G14" s="23" t="s">
        <v>177</v>
      </c>
      <c r="H14" s="23" t="s">
        <v>177</v>
      </c>
    </row>
    <row r="15" spans="1:8" ht="28" x14ac:dyDescent="0.2">
      <c r="A15" s="22" t="s">
        <v>75</v>
      </c>
      <c r="B15" s="23" t="s">
        <v>76</v>
      </c>
      <c r="C15" s="23"/>
      <c r="D15" s="23" t="s">
        <v>76</v>
      </c>
      <c r="E15" s="23" t="s">
        <v>76</v>
      </c>
      <c r="F15" s="23" t="s">
        <v>76</v>
      </c>
      <c r="G15" s="23" t="s">
        <v>76</v>
      </c>
      <c r="H15" s="23" t="s">
        <v>76</v>
      </c>
    </row>
    <row r="16" spans="1:8" x14ac:dyDescent="0.2">
      <c r="A16" s="22" t="s">
        <v>77</v>
      </c>
      <c r="B16" s="23" t="s">
        <v>78</v>
      </c>
      <c r="C16" s="23"/>
      <c r="D16" s="23" t="s">
        <v>78</v>
      </c>
      <c r="E16" s="23" t="s">
        <v>78</v>
      </c>
      <c r="F16" s="23" t="s">
        <v>78</v>
      </c>
      <c r="G16" s="23" t="s">
        <v>78</v>
      </c>
      <c r="H16" s="23" t="s">
        <v>78</v>
      </c>
    </row>
    <row r="17" spans="1:8" x14ac:dyDescent="0.2">
      <c r="A17" s="22" t="s">
        <v>178</v>
      </c>
      <c r="B17" s="23" t="s">
        <v>179</v>
      </c>
      <c r="C17" s="23"/>
      <c r="D17" s="23" t="s">
        <v>179</v>
      </c>
      <c r="E17" s="23" t="s">
        <v>179</v>
      </c>
      <c r="F17" s="23" t="s">
        <v>179</v>
      </c>
      <c r="G17" s="23" t="s">
        <v>179</v>
      </c>
      <c r="H17" s="23" t="s">
        <v>179</v>
      </c>
    </row>
    <row r="18" spans="1:8" x14ac:dyDescent="0.2">
      <c r="A18" s="24" t="s">
        <v>79</v>
      </c>
      <c r="B18" s="25">
        <v>3764</v>
      </c>
      <c r="C18" s="25"/>
      <c r="D18" s="25">
        <v>870</v>
      </c>
      <c r="E18" s="25">
        <v>858</v>
      </c>
      <c r="F18" s="25">
        <v>953</v>
      </c>
      <c r="G18" s="25">
        <v>5117</v>
      </c>
      <c r="H18" s="25">
        <v>3764</v>
      </c>
    </row>
    <row r="19" spans="1:8" x14ac:dyDescent="0.2">
      <c r="A19" s="24" t="s">
        <v>80</v>
      </c>
      <c r="B19" s="25">
        <v>4</v>
      </c>
      <c r="C19" s="25"/>
      <c r="D19" s="25">
        <v>8</v>
      </c>
      <c r="E19" s="25">
        <v>25</v>
      </c>
      <c r="F19" s="25">
        <v>49</v>
      </c>
      <c r="G19" s="25">
        <v>11</v>
      </c>
      <c r="H19" s="25">
        <v>4</v>
      </c>
    </row>
    <row r="20" spans="1:8" x14ac:dyDescent="0.2">
      <c r="A20" s="24" t="s">
        <v>81</v>
      </c>
      <c r="B20" s="25">
        <v>1022</v>
      </c>
      <c r="C20" s="25"/>
      <c r="D20" s="25">
        <v>889</v>
      </c>
      <c r="E20" s="25">
        <v>1010</v>
      </c>
      <c r="F20" s="25">
        <v>1081</v>
      </c>
      <c r="G20" s="25">
        <v>733</v>
      </c>
      <c r="H20" s="25">
        <v>1022</v>
      </c>
    </row>
    <row r="21" spans="1:8" x14ac:dyDescent="0.2">
      <c r="A21" s="24" t="s">
        <v>82</v>
      </c>
      <c r="B21" s="25">
        <v>914</v>
      </c>
      <c r="C21" s="25"/>
      <c r="D21" s="25">
        <v>925</v>
      </c>
      <c r="E21" s="25">
        <v>1275</v>
      </c>
      <c r="F21" s="25">
        <v>1142</v>
      </c>
      <c r="G21" s="25">
        <v>728</v>
      </c>
      <c r="H21" s="25">
        <v>914</v>
      </c>
    </row>
    <row r="22" spans="1:8" x14ac:dyDescent="0.2">
      <c r="A22" s="24" t="s">
        <v>83</v>
      </c>
      <c r="B22" s="25">
        <v>-46</v>
      </c>
      <c r="C22" s="25"/>
      <c r="D22" s="25">
        <v>-35</v>
      </c>
      <c r="E22" s="25">
        <v>-40</v>
      </c>
      <c r="F22" s="25">
        <v>-42</v>
      </c>
      <c r="G22" s="25">
        <v>-54</v>
      </c>
      <c r="H22" s="25">
        <v>-46</v>
      </c>
    </row>
    <row r="23" spans="1:8" x14ac:dyDescent="0.2">
      <c r="A23" s="24" t="s">
        <v>84</v>
      </c>
      <c r="B23" s="25">
        <v>1890</v>
      </c>
      <c r="C23" s="25"/>
      <c r="D23" s="25">
        <v>1778</v>
      </c>
      <c r="E23" s="25">
        <v>2245</v>
      </c>
      <c r="F23" s="25">
        <v>2182</v>
      </c>
      <c r="G23" s="25">
        <v>1407</v>
      </c>
      <c r="H23" s="25">
        <v>1890</v>
      </c>
    </row>
    <row r="24" spans="1:8" x14ac:dyDescent="0.2">
      <c r="A24" s="24" t="s">
        <v>85</v>
      </c>
      <c r="B24" s="25">
        <v>322</v>
      </c>
      <c r="C24" s="25"/>
      <c r="D24" s="25">
        <v>263</v>
      </c>
      <c r="E24" s="25">
        <v>340</v>
      </c>
      <c r="F24" s="25">
        <v>332</v>
      </c>
      <c r="G24" s="25">
        <v>358</v>
      </c>
      <c r="H24" s="25">
        <v>322</v>
      </c>
    </row>
    <row r="25" spans="1:8" x14ac:dyDescent="0.2">
      <c r="A25" s="24" t="s">
        <v>186</v>
      </c>
      <c r="B25" s="25">
        <v>-1</v>
      </c>
      <c r="C25" s="26"/>
      <c r="D25" s="25">
        <v>-2</v>
      </c>
      <c r="E25" s="25">
        <v>-1</v>
      </c>
      <c r="F25" s="26" t="s">
        <v>86</v>
      </c>
      <c r="G25" s="26" t="s">
        <v>86</v>
      </c>
      <c r="H25" s="25">
        <v>-1</v>
      </c>
    </row>
    <row r="26" spans="1:8" x14ac:dyDescent="0.2">
      <c r="A26" s="24" t="s">
        <v>87</v>
      </c>
      <c r="B26" s="25">
        <v>2211</v>
      </c>
      <c r="C26" s="25"/>
      <c r="D26" s="25">
        <v>2039</v>
      </c>
      <c r="E26" s="25">
        <v>2585</v>
      </c>
      <c r="F26" s="25">
        <v>2514</v>
      </c>
      <c r="G26" s="25">
        <v>1765</v>
      </c>
      <c r="H26" s="25">
        <v>2211</v>
      </c>
    </row>
    <row r="27" spans="1:8" x14ac:dyDescent="0.2">
      <c r="A27" s="24" t="s">
        <v>88</v>
      </c>
      <c r="B27" s="25">
        <v>2206</v>
      </c>
      <c r="C27" s="25"/>
      <c r="D27" s="25">
        <v>1181</v>
      </c>
      <c r="E27" s="25">
        <v>1764</v>
      </c>
      <c r="F27" s="25">
        <v>1979</v>
      </c>
      <c r="G27" s="25">
        <v>1739</v>
      </c>
      <c r="H27" s="25">
        <v>2206</v>
      </c>
    </row>
    <row r="28" spans="1:8" x14ac:dyDescent="0.2">
      <c r="A28" s="24" t="s">
        <v>89</v>
      </c>
      <c r="B28" s="25">
        <v>139</v>
      </c>
      <c r="C28" s="25"/>
      <c r="D28" s="25">
        <v>82</v>
      </c>
      <c r="E28" s="25">
        <v>137</v>
      </c>
      <c r="F28" s="25">
        <v>113</v>
      </c>
      <c r="G28" s="25">
        <v>135</v>
      </c>
      <c r="H28" s="25">
        <v>139</v>
      </c>
    </row>
    <row r="29" spans="1:8" x14ac:dyDescent="0.2">
      <c r="A29" s="24" t="s">
        <v>90</v>
      </c>
      <c r="B29" s="25">
        <v>418</v>
      </c>
      <c r="C29" s="25"/>
      <c r="D29" s="26" t="s">
        <v>86</v>
      </c>
      <c r="E29" s="25">
        <v>95</v>
      </c>
      <c r="F29" s="26" t="s">
        <v>86</v>
      </c>
      <c r="G29" s="25">
        <v>90</v>
      </c>
      <c r="H29" s="25">
        <v>418</v>
      </c>
    </row>
    <row r="30" spans="1:8" x14ac:dyDescent="0.2">
      <c r="A30" s="24" t="s">
        <v>91</v>
      </c>
      <c r="B30" s="25">
        <v>14</v>
      </c>
      <c r="C30" s="25"/>
      <c r="D30" s="25">
        <v>10</v>
      </c>
      <c r="E30" s="25">
        <v>2</v>
      </c>
      <c r="F30" s="26" t="s">
        <v>86</v>
      </c>
      <c r="G30" s="25">
        <v>54</v>
      </c>
      <c r="H30" s="25">
        <v>14</v>
      </c>
    </row>
    <row r="31" spans="1:8" x14ac:dyDescent="0.2">
      <c r="A31" s="24" t="s">
        <v>92</v>
      </c>
      <c r="B31" s="25">
        <v>132</v>
      </c>
      <c r="C31" s="25"/>
      <c r="D31" s="25">
        <v>139</v>
      </c>
      <c r="E31" s="25">
        <v>301</v>
      </c>
      <c r="F31" s="25">
        <v>220</v>
      </c>
      <c r="G31" s="25">
        <v>126</v>
      </c>
      <c r="H31" s="25">
        <v>132</v>
      </c>
    </row>
    <row r="32" spans="1:8" x14ac:dyDescent="0.2">
      <c r="A32" s="24" t="s">
        <v>93</v>
      </c>
      <c r="B32" s="25">
        <v>8889</v>
      </c>
      <c r="C32" s="25"/>
      <c r="D32" s="25">
        <v>4330</v>
      </c>
      <c r="E32" s="25">
        <v>5767</v>
      </c>
      <c r="F32" s="25">
        <v>5828</v>
      </c>
      <c r="G32" s="25">
        <v>9036</v>
      </c>
      <c r="H32" s="25">
        <v>8889</v>
      </c>
    </row>
    <row r="33" spans="1:8" x14ac:dyDescent="0.2">
      <c r="A33" s="24" t="s">
        <v>94</v>
      </c>
      <c r="B33" s="25">
        <v>20308</v>
      </c>
      <c r="C33" s="25"/>
      <c r="D33" s="25">
        <v>14479</v>
      </c>
      <c r="E33" s="25">
        <v>19137</v>
      </c>
      <c r="F33" s="25">
        <v>20830</v>
      </c>
      <c r="G33" s="25">
        <v>20756</v>
      </c>
      <c r="H33" s="25">
        <v>20308</v>
      </c>
    </row>
    <row r="34" spans="1:8" x14ac:dyDescent="0.2">
      <c r="A34" s="24" t="s">
        <v>95</v>
      </c>
      <c r="B34" s="25">
        <v>-6741</v>
      </c>
      <c r="C34" s="25"/>
      <c r="D34" s="25">
        <v>-4260</v>
      </c>
      <c r="E34" s="25">
        <v>-4853</v>
      </c>
      <c r="F34" s="25">
        <v>-5820</v>
      </c>
      <c r="G34" s="25">
        <v>-6514</v>
      </c>
      <c r="H34" s="25">
        <v>-6741</v>
      </c>
    </row>
    <row r="35" spans="1:8" x14ac:dyDescent="0.2">
      <c r="A35" s="24" t="s">
        <v>96</v>
      </c>
      <c r="B35" s="25">
        <v>13567</v>
      </c>
      <c r="C35" s="25"/>
      <c r="D35" s="25">
        <v>10220</v>
      </c>
      <c r="E35" s="25">
        <v>14284</v>
      </c>
      <c r="F35" s="25">
        <v>15010</v>
      </c>
      <c r="G35" s="25">
        <v>14243</v>
      </c>
      <c r="H35" s="25">
        <v>13567</v>
      </c>
    </row>
    <row r="36" spans="1:8" x14ac:dyDescent="0.2">
      <c r="A36" s="24" t="s">
        <v>97</v>
      </c>
      <c r="B36" s="25">
        <v>3831</v>
      </c>
      <c r="C36" s="25"/>
      <c r="D36" s="26" t="s">
        <v>86</v>
      </c>
      <c r="E36" s="26" t="s">
        <v>86</v>
      </c>
      <c r="F36" s="26" t="s">
        <v>86</v>
      </c>
      <c r="G36" s="25">
        <v>3532</v>
      </c>
      <c r="H36" s="25">
        <v>3831</v>
      </c>
    </row>
    <row r="37" spans="1:8" x14ac:dyDescent="0.2">
      <c r="A37" s="24" t="s">
        <v>98</v>
      </c>
      <c r="B37" s="25">
        <v>895</v>
      </c>
      <c r="C37" s="25"/>
      <c r="D37" s="25">
        <v>913</v>
      </c>
      <c r="E37" s="25">
        <v>1332</v>
      </c>
      <c r="F37" s="25">
        <v>1274</v>
      </c>
      <c r="G37" s="25">
        <v>774</v>
      </c>
      <c r="H37" s="25">
        <v>895</v>
      </c>
    </row>
    <row r="38" spans="1:8" x14ac:dyDescent="0.2">
      <c r="A38" s="24" t="s">
        <v>99</v>
      </c>
      <c r="B38" s="25">
        <v>7422</v>
      </c>
      <c r="C38" s="25"/>
      <c r="D38" s="25">
        <v>3243</v>
      </c>
      <c r="E38" s="25">
        <v>7802</v>
      </c>
      <c r="F38" s="25">
        <v>7664</v>
      </c>
      <c r="G38" s="25">
        <v>7736</v>
      </c>
      <c r="H38" s="25">
        <v>7422</v>
      </c>
    </row>
    <row r="39" spans="1:8" x14ac:dyDescent="0.2">
      <c r="A39" s="24" t="s">
        <v>100</v>
      </c>
      <c r="B39" s="25">
        <v>486</v>
      </c>
      <c r="C39" s="25"/>
      <c r="D39" s="25">
        <v>428</v>
      </c>
      <c r="E39" s="25">
        <v>390</v>
      </c>
      <c r="F39" s="25">
        <v>413</v>
      </c>
      <c r="G39" s="25">
        <v>492</v>
      </c>
      <c r="H39" s="25">
        <v>486</v>
      </c>
    </row>
    <row r="40" spans="1:8" x14ac:dyDescent="0.2">
      <c r="A40" s="24" t="s">
        <v>181</v>
      </c>
      <c r="B40" s="25">
        <v>25</v>
      </c>
      <c r="C40" s="26"/>
      <c r="D40" s="26" t="s">
        <v>86</v>
      </c>
      <c r="E40" s="26" t="s">
        <v>86</v>
      </c>
      <c r="F40" s="26" t="s">
        <v>86</v>
      </c>
      <c r="G40" s="26" t="s">
        <v>86</v>
      </c>
      <c r="H40" s="25">
        <v>25</v>
      </c>
    </row>
    <row r="41" spans="1:8" x14ac:dyDescent="0.2">
      <c r="A41" s="24" t="s">
        <v>187</v>
      </c>
      <c r="B41" s="25">
        <v>249</v>
      </c>
      <c r="C41" s="25"/>
      <c r="D41" s="25">
        <v>147</v>
      </c>
      <c r="E41" s="25">
        <v>159</v>
      </c>
      <c r="F41" s="25">
        <v>183</v>
      </c>
      <c r="G41" s="25">
        <v>196</v>
      </c>
      <c r="H41" s="25">
        <v>249</v>
      </c>
    </row>
    <row r="42" spans="1:8" x14ac:dyDescent="0.2">
      <c r="A42" s="24" t="s">
        <v>101</v>
      </c>
      <c r="B42" s="25">
        <v>76</v>
      </c>
      <c r="C42" s="25"/>
      <c r="D42" s="25">
        <v>54</v>
      </c>
      <c r="E42" s="25">
        <v>74</v>
      </c>
      <c r="F42" s="25">
        <v>117</v>
      </c>
      <c r="G42" s="25">
        <v>73</v>
      </c>
      <c r="H42" s="25">
        <v>76</v>
      </c>
    </row>
    <row r="43" spans="1:8" x14ac:dyDescent="0.2">
      <c r="A43" s="24" t="s">
        <v>102</v>
      </c>
      <c r="B43" s="25">
        <v>35439</v>
      </c>
      <c r="C43" s="25"/>
      <c r="D43" s="25">
        <v>19335</v>
      </c>
      <c r="E43" s="25">
        <v>29810</v>
      </c>
      <c r="F43" s="25">
        <v>30489</v>
      </c>
      <c r="G43" s="25">
        <v>36082</v>
      </c>
      <c r="H43" s="25">
        <v>35439</v>
      </c>
    </row>
    <row r="44" spans="1:8" x14ac:dyDescent="0.2">
      <c r="A44" s="24" t="s">
        <v>103</v>
      </c>
      <c r="B44" s="25">
        <v>3217</v>
      </c>
      <c r="C44" s="25"/>
      <c r="D44" s="25">
        <v>2273</v>
      </c>
      <c r="E44" s="25">
        <v>3171</v>
      </c>
      <c r="F44" s="25">
        <v>3439</v>
      </c>
      <c r="G44" s="25">
        <v>2118</v>
      </c>
      <c r="H44" s="25">
        <v>3217</v>
      </c>
    </row>
    <row r="45" spans="1:8" x14ac:dyDescent="0.2">
      <c r="A45" s="24" t="s">
        <v>104</v>
      </c>
      <c r="B45" s="25">
        <v>949</v>
      </c>
      <c r="C45" s="25"/>
      <c r="D45" s="25">
        <v>871</v>
      </c>
      <c r="E45" s="25">
        <v>964</v>
      </c>
      <c r="F45" s="25">
        <v>1034</v>
      </c>
      <c r="G45" s="25">
        <v>1030</v>
      </c>
      <c r="H45" s="25">
        <v>949</v>
      </c>
    </row>
    <row r="46" spans="1:8" x14ac:dyDescent="0.2">
      <c r="A46" s="24" t="s">
        <v>105</v>
      </c>
      <c r="B46" s="25">
        <v>448</v>
      </c>
      <c r="C46" s="25"/>
      <c r="D46" s="25">
        <v>254</v>
      </c>
      <c r="E46" s="25">
        <v>335</v>
      </c>
      <c r="F46" s="25">
        <v>372</v>
      </c>
      <c r="G46" s="25">
        <v>399</v>
      </c>
      <c r="H46" s="25">
        <v>448</v>
      </c>
    </row>
    <row r="47" spans="1:8" x14ac:dyDescent="0.2">
      <c r="A47" s="24" t="s">
        <v>106</v>
      </c>
      <c r="B47" s="26" t="s">
        <v>86</v>
      </c>
      <c r="C47" s="26"/>
      <c r="D47" s="25">
        <v>37</v>
      </c>
      <c r="E47" s="26" t="s">
        <v>86</v>
      </c>
      <c r="F47" s="26" t="s">
        <v>86</v>
      </c>
      <c r="G47" s="26" t="s">
        <v>86</v>
      </c>
      <c r="H47" s="26" t="s">
        <v>86</v>
      </c>
    </row>
    <row r="48" spans="1:8" x14ac:dyDescent="0.2">
      <c r="A48" s="24" t="s">
        <v>107</v>
      </c>
      <c r="B48" s="25">
        <v>371</v>
      </c>
      <c r="C48" s="25"/>
      <c r="D48" s="25">
        <v>255</v>
      </c>
      <c r="E48" s="25">
        <v>442</v>
      </c>
      <c r="F48" s="25">
        <v>437</v>
      </c>
      <c r="G48" s="25">
        <v>398</v>
      </c>
      <c r="H48" s="25">
        <v>371</v>
      </c>
    </row>
    <row r="49" spans="1:8" x14ac:dyDescent="0.2">
      <c r="A49" s="24" t="s">
        <v>108</v>
      </c>
      <c r="B49" s="25">
        <v>4985</v>
      </c>
      <c r="C49" s="25"/>
      <c r="D49" s="25">
        <v>3689</v>
      </c>
      <c r="E49" s="25">
        <v>4912</v>
      </c>
      <c r="F49" s="25">
        <v>5283</v>
      </c>
      <c r="G49" s="25">
        <v>3946</v>
      </c>
      <c r="H49" s="25">
        <v>4985</v>
      </c>
    </row>
    <row r="50" spans="1:8" x14ac:dyDescent="0.2">
      <c r="A50" s="24" t="s">
        <v>109</v>
      </c>
      <c r="B50" s="25">
        <v>193</v>
      </c>
      <c r="C50" s="25"/>
      <c r="D50" s="25">
        <v>178</v>
      </c>
      <c r="E50" s="25">
        <v>231</v>
      </c>
      <c r="F50" s="25">
        <v>216</v>
      </c>
      <c r="G50" s="25">
        <v>152</v>
      </c>
      <c r="H50" s="25">
        <v>193</v>
      </c>
    </row>
    <row r="51" spans="1:8" x14ac:dyDescent="0.2">
      <c r="A51" s="24" t="s">
        <v>110</v>
      </c>
      <c r="B51" s="26" t="s">
        <v>86</v>
      </c>
      <c r="C51" s="26"/>
      <c r="D51" s="26" t="s">
        <v>86</v>
      </c>
      <c r="E51" s="25">
        <v>7</v>
      </c>
      <c r="F51" s="26" t="s">
        <v>86</v>
      </c>
      <c r="G51" s="26" t="s">
        <v>86</v>
      </c>
      <c r="H51" s="26" t="s">
        <v>86</v>
      </c>
    </row>
    <row r="52" spans="1:8" x14ac:dyDescent="0.2">
      <c r="A52" s="24" t="s">
        <v>111</v>
      </c>
      <c r="B52" s="25">
        <v>33</v>
      </c>
      <c r="C52" s="26"/>
      <c r="D52" s="25">
        <v>121</v>
      </c>
      <c r="E52" s="26" t="s">
        <v>86</v>
      </c>
      <c r="F52" s="25">
        <v>167</v>
      </c>
      <c r="G52" s="26" t="s">
        <v>86</v>
      </c>
      <c r="H52" s="25">
        <v>33</v>
      </c>
    </row>
    <row r="53" spans="1:8" x14ac:dyDescent="0.2">
      <c r="A53" s="24" t="s">
        <v>112</v>
      </c>
      <c r="B53" s="25">
        <v>194</v>
      </c>
      <c r="C53" s="25"/>
      <c r="D53" s="25">
        <v>103</v>
      </c>
      <c r="E53" s="25">
        <v>189</v>
      </c>
      <c r="F53" s="25">
        <v>95</v>
      </c>
      <c r="G53" s="25">
        <v>312</v>
      </c>
      <c r="H53" s="25">
        <v>194</v>
      </c>
    </row>
    <row r="54" spans="1:8" x14ac:dyDescent="0.2">
      <c r="A54" s="24" t="s">
        <v>110</v>
      </c>
      <c r="B54" s="25">
        <v>115</v>
      </c>
      <c r="C54" s="25"/>
      <c r="D54" s="26" t="s">
        <v>86</v>
      </c>
      <c r="E54" s="26" t="s">
        <v>86</v>
      </c>
      <c r="F54" s="26" t="s">
        <v>86</v>
      </c>
      <c r="G54" s="25">
        <v>11</v>
      </c>
      <c r="H54" s="25">
        <v>115</v>
      </c>
    </row>
    <row r="55" spans="1:8" x14ac:dyDescent="0.2">
      <c r="A55" s="24" t="s">
        <v>113</v>
      </c>
      <c r="B55" s="25">
        <v>1382</v>
      </c>
      <c r="C55" s="25"/>
      <c r="D55" s="25">
        <v>344</v>
      </c>
      <c r="E55" s="25">
        <v>55</v>
      </c>
      <c r="F55" s="25">
        <v>1768</v>
      </c>
      <c r="G55" s="25">
        <v>302</v>
      </c>
      <c r="H55" s="25">
        <v>1382</v>
      </c>
    </row>
    <row r="56" spans="1:8" x14ac:dyDescent="0.2">
      <c r="A56" s="24" t="s">
        <v>114</v>
      </c>
      <c r="B56" s="25">
        <v>523</v>
      </c>
      <c r="C56" s="25"/>
      <c r="D56" s="26" t="s">
        <v>86</v>
      </c>
      <c r="E56" s="26" t="s">
        <v>86</v>
      </c>
      <c r="F56" s="26" t="s">
        <v>86</v>
      </c>
      <c r="G56" s="25">
        <v>538</v>
      </c>
      <c r="H56" s="25">
        <v>523</v>
      </c>
    </row>
    <row r="57" spans="1:8" x14ac:dyDescent="0.2">
      <c r="A57" s="24" t="s">
        <v>115</v>
      </c>
      <c r="B57" s="25">
        <v>7426</v>
      </c>
      <c r="C57" s="25"/>
      <c r="D57" s="25">
        <v>4435</v>
      </c>
      <c r="E57" s="25">
        <v>5395</v>
      </c>
      <c r="F57" s="25">
        <v>7528</v>
      </c>
      <c r="G57" s="25">
        <v>5261</v>
      </c>
      <c r="H57" s="25">
        <v>7426</v>
      </c>
    </row>
    <row r="58" spans="1:8" x14ac:dyDescent="0.2">
      <c r="A58" s="24" t="s">
        <v>116</v>
      </c>
      <c r="B58" s="25">
        <v>4996</v>
      </c>
      <c r="C58" s="25"/>
      <c r="D58" s="26" t="s">
        <v>86</v>
      </c>
      <c r="E58" s="25">
        <v>4346</v>
      </c>
      <c r="F58" s="25">
        <v>4558</v>
      </c>
      <c r="G58" s="25">
        <v>5579</v>
      </c>
      <c r="H58" s="25">
        <v>4996</v>
      </c>
    </row>
    <row r="59" spans="1:8" x14ac:dyDescent="0.2">
      <c r="A59" s="24" t="s">
        <v>118</v>
      </c>
      <c r="B59" s="25">
        <v>1646</v>
      </c>
      <c r="C59" s="25"/>
      <c r="D59" s="26" t="s">
        <v>86</v>
      </c>
      <c r="E59" s="25">
        <v>2393</v>
      </c>
      <c r="F59" s="25">
        <v>2393</v>
      </c>
      <c r="G59" s="25">
        <v>1946</v>
      </c>
      <c r="H59" s="25">
        <v>1646</v>
      </c>
    </row>
    <row r="60" spans="1:8" x14ac:dyDescent="0.2">
      <c r="A60" s="24" t="s">
        <v>119</v>
      </c>
      <c r="B60" s="25">
        <v>1126</v>
      </c>
      <c r="C60" s="25"/>
      <c r="D60" s="26" t="s">
        <v>86</v>
      </c>
      <c r="E60" s="25">
        <v>1160</v>
      </c>
      <c r="F60" s="25">
        <v>1121</v>
      </c>
      <c r="G60" s="25">
        <v>1134</v>
      </c>
      <c r="H60" s="25">
        <v>1126</v>
      </c>
    </row>
    <row r="61" spans="1:8" x14ac:dyDescent="0.2">
      <c r="A61" s="24" t="s">
        <v>120</v>
      </c>
      <c r="B61" s="25">
        <v>101</v>
      </c>
      <c r="C61" s="25"/>
      <c r="D61" s="26" t="s">
        <v>86</v>
      </c>
      <c r="E61" s="25">
        <v>108</v>
      </c>
      <c r="F61" s="25">
        <v>104</v>
      </c>
      <c r="G61" s="25">
        <v>89</v>
      </c>
      <c r="H61" s="25">
        <v>101</v>
      </c>
    </row>
    <row r="62" spans="1:8" x14ac:dyDescent="0.2">
      <c r="A62" s="24" t="s">
        <v>117</v>
      </c>
      <c r="B62" s="26" t="s">
        <v>86</v>
      </c>
      <c r="C62" s="25"/>
      <c r="D62" s="26" t="s">
        <v>86</v>
      </c>
      <c r="E62" s="25">
        <v>1800</v>
      </c>
      <c r="F62" s="25">
        <v>54</v>
      </c>
      <c r="G62" s="25">
        <v>2108</v>
      </c>
      <c r="H62" s="26" t="s">
        <v>86</v>
      </c>
    </row>
    <row r="63" spans="1:8" x14ac:dyDescent="0.2">
      <c r="A63" s="24" t="s">
        <v>121</v>
      </c>
      <c r="B63" s="26" t="s">
        <v>86</v>
      </c>
      <c r="C63" s="26"/>
      <c r="D63" s="26" t="s">
        <v>86</v>
      </c>
      <c r="E63" s="25">
        <v>656</v>
      </c>
      <c r="F63" s="25">
        <v>694</v>
      </c>
      <c r="G63" s="26" t="s">
        <v>86</v>
      </c>
      <c r="H63" s="26" t="s">
        <v>86</v>
      </c>
    </row>
    <row r="64" spans="1:8" x14ac:dyDescent="0.2">
      <c r="A64" s="24" t="s">
        <v>122</v>
      </c>
      <c r="B64" s="26" t="s">
        <v>86</v>
      </c>
      <c r="C64" s="26"/>
      <c r="D64" s="26" t="s">
        <v>86</v>
      </c>
      <c r="E64" s="25">
        <v>531</v>
      </c>
      <c r="F64" s="26" t="s">
        <v>86</v>
      </c>
      <c r="G64" s="26" t="s">
        <v>86</v>
      </c>
      <c r="H64" s="26" t="s">
        <v>86</v>
      </c>
    </row>
    <row r="65" spans="1:11" x14ac:dyDescent="0.2">
      <c r="A65" s="24" t="s">
        <v>123</v>
      </c>
      <c r="B65" s="26" t="s">
        <v>86</v>
      </c>
      <c r="C65" s="26"/>
      <c r="D65" s="26" t="s">
        <v>86</v>
      </c>
      <c r="E65" s="25">
        <v>454</v>
      </c>
      <c r="F65" s="25">
        <v>450</v>
      </c>
      <c r="G65" s="26" t="s">
        <v>86</v>
      </c>
      <c r="H65" s="26" t="s">
        <v>86</v>
      </c>
    </row>
    <row r="66" spans="1:11" x14ac:dyDescent="0.2">
      <c r="A66" s="24" t="s">
        <v>124</v>
      </c>
      <c r="B66" s="25">
        <v>106</v>
      </c>
      <c r="C66" s="25"/>
      <c r="D66" s="26" t="s">
        <v>86</v>
      </c>
      <c r="E66" s="26" t="s">
        <v>86</v>
      </c>
      <c r="F66" s="26" t="s">
        <v>86</v>
      </c>
      <c r="G66" s="25">
        <v>7</v>
      </c>
      <c r="H66" s="25">
        <v>106</v>
      </c>
    </row>
    <row r="67" spans="1:11" x14ac:dyDescent="0.2">
      <c r="A67" s="24" t="s">
        <v>113</v>
      </c>
      <c r="B67" s="25">
        <v>-1382</v>
      </c>
      <c r="C67" s="25"/>
      <c r="D67" s="26" t="s">
        <v>86</v>
      </c>
      <c r="E67" s="25">
        <v>-55</v>
      </c>
      <c r="F67" s="25">
        <v>-1768</v>
      </c>
      <c r="G67" s="25">
        <v>-302</v>
      </c>
      <c r="H67" s="25">
        <v>-1382</v>
      </c>
    </row>
    <row r="68" spans="1:11" x14ac:dyDescent="0.2">
      <c r="A68" s="24" t="s">
        <v>125</v>
      </c>
      <c r="B68" s="25">
        <v>6593</v>
      </c>
      <c r="C68" s="25"/>
      <c r="D68" s="25">
        <v>4224</v>
      </c>
      <c r="E68" s="25">
        <v>11393</v>
      </c>
      <c r="F68" s="25">
        <v>7607</v>
      </c>
      <c r="G68" s="25">
        <v>10560</v>
      </c>
      <c r="H68" s="25">
        <v>6593</v>
      </c>
    </row>
    <row r="69" spans="1:11" x14ac:dyDescent="0.2">
      <c r="A69" s="24" t="s">
        <v>126</v>
      </c>
      <c r="B69" s="25">
        <v>3486</v>
      </c>
      <c r="C69" s="25"/>
      <c r="D69" s="26" t="s">
        <v>86</v>
      </c>
      <c r="E69" s="26" t="s">
        <v>86</v>
      </c>
      <c r="F69" s="26" t="s">
        <v>86</v>
      </c>
      <c r="G69" s="25">
        <v>3183</v>
      </c>
      <c r="H69" s="25">
        <v>3486</v>
      </c>
    </row>
    <row r="70" spans="1:11" x14ac:dyDescent="0.2">
      <c r="A70" s="24" t="s">
        <v>127</v>
      </c>
      <c r="B70" s="25">
        <v>788</v>
      </c>
      <c r="C70" s="25"/>
      <c r="D70" s="25">
        <v>659</v>
      </c>
      <c r="E70" s="25">
        <v>786</v>
      </c>
      <c r="F70" s="25">
        <v>796</v>
      </c>
      <c r="G70" s="25">
        <v>775</v>
      </c>
      <c r="H70" s="25">
        <v>788</v>
      </c>
    </row>
    <row r="71" spans="1:11" x14ac:dyDescent="0.2">
      <c r="A71" s="24" t="s">
        <v>128</v>
      </c>
      <c r="B71" s="25">
        <v>122</v>
      </c>
      <c r="C71" s="25"/>
      <c r="D71" s="25">
        <v>129</v>
      </c>
      <c r="E71" s="25">
        <v>129</v>
      </c>
      <c r="F71" s="25">
        <v>125</v>
      </c>
      <c r="G71" s="25">
        <v>129</v>
      </c>
      <c r="H71" s="25">
        <v>122</v>
      </c>
    </row>
    <row r="72" spans="1:11" x14ac:dyDescent="0.2">
      <c r="A72" s="24" t="s">
        <v>129</v>
      </c>
      <c r="B72" s="25">
        <v>99</v>
      </c>
      <c r="C72" s="25"/>
      <c r="D72" s="25">
        <v>304</v>
      </c>
      <c r="E72" s="25">
        <v>224</v>
      </c>
      <c r="F72" s="25">
        <v>182</v>
      </c>
      <c r="G72" s="25">
        <v>334</v>
      </c>
      <c r="H72" s="25">
        <v>99</v>
      </c>
    </row>
    <row r="73" spans="1:11" x14ac:dyDescent="0.2">
      <c r="A73" s="24" t="s">
        <v>112</v>
      </c>
      <c r="B73" s="26" t="s">
        <v>86</v>
      </c>
      <c r="C73" s="26"/>
      <c r="D73" s="26" t="s">
        <v>86</v>
      </c>
      <c r="E73" s="25">
        <v>76</v>
      </c>
      <c r="F73" s="26" t="s">
        <v>86</v>
      </c>
      <c r="G73" s="26" t="s">
        <v>86</v>
      </c>
      <c r="H73" s="26" t="s">
        <v>86</v>
      </c>
    </row>
    <row r="74" spans="1:11" x14ac:dyDescent="0.2">
      <c r="A74" s="24" t="s">
        <v>130</v>
      </c>
      <c r="B74" s="25">
        <v>314</v>
      </c>
      <c r="C74" s="25"/>
      <c r="D74" s="25">
        <v>364</v>
      </c>
      <c r="E74" s="25">
        <v>448</v>
      </c>
      <c r="F74" s="25">
        <v>471</v>
      </c>
      <c r="G74" s="25">
        <v>227</v>
      </c>
      <c r="H74" s="25">
        <v>314</v>
      </c>
    </row>
    <row r="75" spans="1:11" x14ac:dyDescent="0.2">
      <c r="A75" s="24" t="s">
        <v>101</v>
      </c>
      <c r="B75" s="25">
        <v>1409</v>
      </c>
      <c r="C75" s="25"/>
      <c r="D75" s="25">
        <v>1021</v>
      </c>
      <c r="E75" s="25">
        <v>1195</v>
      </c>
      <c r="F75" s="25">
        <v>1399</v>
      </c>
      <c r="G75" s="25">
        <v>1468</v>
      </c>
      <c r="H75" s="25">
        <v>1409</v>
      </c>
      <c r="K75" s="25"/>
    </row>
    <row r="76" spans="1:11" x14ac:dyDescent="0.2">
      <c r="A76" s="24" t="s">
        <v>131</v>
      </c>
      <c r="B76" s="25">
        <v>20236</v>
      </c>
      <c r="C76" s="25"/>
      <c r="D76" s="25">
        <v>11136</v>
      </c>
      <c r="E76" s="25">
        <v>19645</v>
      </c>
      <c r="F76" s="25">
        <v>18107</v>
      </c>
      <c r="G76" s="25">
        <v>21937</v>
      </c>
      <c r="H76" s="25">
        <v>20236</v>
      </c>
    </row>
    <row r="77" spans="1:11" x14ac:dyDescent="0.2">
      <c r="A77" s="24" t="s">
        <v>132</v>
      </c>
      <c r="B77" s="25">
        <v>837</v>
      </c>
      <c r="C77" s="25"/>
      <c r="D77" s="25">
        <v>967</v>
      </c>
      <c r="E77" s="25">
        <v>907</v>
      </c>
      <c r="F77" s="25">
        <v>953</v>
      </c>
      <c r="G77" s="25">
        <v>976</v>
      </c>
      <c r="H77" s="25">
        <v>837</v>
      </c>
      <c r="K77" s="25"/>
    </row>
    <row r="78" spans="1:11" x14ac:dyDescent="0.2">
      <c r="A78" s="24" t="s">
        <v>133</v>
      </c>
      <c r="B78" s="25">
        <v>29</v>
      </c>
      <c r="C78" s="25"/>
      <c r="D78" s="25">
        <v>21</v>
      </c>
      <c r="E78" s="25">
        <v>23</v>
      </c>
      <c r="F78" s="25">
        <v>26</v>
      </c>
      <c r="G78" s="25">
        <v>30</v>
      </c>
      <c r="H78" s="25">
        <v>29</v>
      </c>
    </row>
    <row r="79" spans="1:11" x14ac:dyDescent="0.2">
      <c r="A79" s="24" t="s">
        <v>134</v>
      </c>
      <c r="B79" s="25">
        <v>14999</v>
      </c>
      <c r="C79" s="25"/>
      <c r="D79" s="25">
        <v>8300</v>
      </c>
      <c r="E79" s="25">
        <v>9543</v>
      </c>
      <c r="F79" s="25">
        <v>12210</v>
      </c>
      <c r="G79" s="25">
        <v>14910</v>
      </c>
      <c r="H79" s="25">
        <v>14999</v>
      </c>
    </row>
    <row r="80" spans="1:11" x14ac:dyDescent="0.2">
      <c r="A80" s="24" t="s">
        <v>135</v>
      </c>
      <c r="B80" s="25">
        <v>-663</v>
      </c>
      <c r="C80" s="25"/>
      <c r="D80" s="25">
        <v>-1089</v>
      </c>
      <c r="E80" s="25">
        <v>-730</v>
      </c>
      <c r="F80" s="25">
        <v>-1155</v>
      </c>
      <c r="G80" s="25">
        <v>-1772</v>
      </c>
      <c r="H80" s="25">
        <v>-663</v>
      </c>
    </row>
    <row r="81" spans="1:8" x14ac:dyDescent="0.2">
      <c r="A81" s="24" t="s">
        <v>136</v>
      </c>
      <c r="B81" s="25">
        <v>15203</v>
      </c>
      <c r="C81" s="25"/>
      <c r="D81" s="25">
        <v>8200</v>
      </c>
      <c r="E81" s="25">
        <v>9743</v>
      </c>
      <c r="F81" s="25">
        <v>12034</v>
      </c>
      <c r="G81" s="25">
        <v>14144</v>
      </c>
      <c r="H81" s="25">
        <v>15203</v>
      </c>
    </row>
    <row r="82" spans="1:8" x14ac:dyDescent="0.2">
      <c r="A82" s="24" t="s">
        <v>137</v>
      </c>
      <c r="B82" s="26" t="s">
        <v>86</v>
      </c>
      <c r="C82" s="26"/>
      <c r="D82" s="26" t="s">
        <v>86</v>
      </c>
      <c r="E82" s="25">
        <v>421</v>
      </c>
      <c r="F82" s="25">
        <v>348</v>
      </c>
      <c r="G82" s="26" t="s">
        <v>86</v>
      </c>
      <c r="H82" s="26" t="s">
        <v>86</v>
      </c>
    </row>
    <row r="83" spans="1:8" x14ac:dyDescent="0.2">
      <c r="A83" s="24" t="s">
        <v>138</v>
      </c>
      <c r="B83" s="25">
        <v>15203</v>
      </c>
      <c r="C83" s="25"/>
      <c r="D83" s="25">
        <v>8200</v>
      </c>
      <c r="E83" s="25">
        <v>10164</v>
      </c>
      <c r="F83" s="25">
        <v>12382</v>
      </c>
      <c r="G83" s="25">
        <v>14144</v>
      </c>
      <c r="H83" s="25">
        <v>15203</v>
      </c>
    </row>
    <row r="84" spans="1:8" x14ac:dyDescent="0.2">
      <c r="A84" s="24" t="s">
        <v>139</v>
      </c>
      <c r="B84" s="25">
        <v>35439</v>
      </c>
      <c r="C84" s="25"/>
      <c r="D84" s="25">
        <v>19335</v>
      </c>
      <c r="E84" s="25">
        <v>29810</v>
      </c>
      <c r="F84" s="25">
        <v>30489</v>
      </c>
      <c r="G84" s="25">
        <v>36082</v>
      </c>
      <c r="H84" s="25">
        <v>35439</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0852-002B-4D14-9A58-B33B282FDD1A}">
  <dimension ref="A4:F54"/>
  <sheetViews>
    <sheetView zoomScale="60" zoomScaleNormal="60" workbookViewId="0">
      <selection activeCell="F24" sqref="F24"/>
    </sheetView>
  </sheetViews>
  <sheetFormatPr baseColWidth="10" defaultColWidth="8.83203125" defaultRowHeight="16" x14ac:dyDescent="0.2"/>
  <cols>
    <col min="1" max="1" width="45.83203125" customWidth="1"/>
    <col min="2" max="6" width="11" customWidth="1"/>
    <col min="7" max="7" width="13.1640625" customWidth="1"/>
    <col min="8" max="11" width="11" customWidth="1"/>
    <col min="12" max="12" width="18.83203125" customWidth="1"/>
    <col min="13" max="190" width="11" customWidth="1"/>
  </cols>
  <sheetData>
    <row r="4" spans="1:6" x14ac:dyDescent="0.2">
      <c r="A4" s="27" t="s">
        <v>64</v>
      </c>
    </row>
    <row r="5" spans="1:6" ht="20" x14ac:dyDescent="0.2">
      <c r="A5" s="28" t="s">
        <v>65</v>
      </c>
    </row>
    <row r="7" spans="1:6" ht="85" x14ac:dyDescent="0.2">
      <c r="A7" s="29" t="s">
        <v>66</v>
      </c>
    </row>
    <row r="9" spans="1:6" ht="28" x14ac:dyDescent="0.2">
      <c r="A9" s="48" t="s">
        <v>67</v>
      </c>
      <c r="B9" s="49"/>
      <c r="C9" s="49"/>
      <c r="D9" s="49"/>
      <c r="E9" s="49"/>
      <c r="F9" s="49"/>
    </row>
    <row r="12" spans="1:6" x14ac:dyDescent="0.2">
      <c r="A12" s="47" t="s">
        <v>175</v>
      </c>
      <c r="B12" s="49"/>
      <c r="C12" s="49"/>
      <c r="D12" s="49"/>
      <c r="E12" s="49"/>
      <c r="F12" s="49"/>
    </row>
    <row r="13" spans="1:6" x14ac:dyDescent="0.2">
      <c r="A13" s="46" t="s">
        <v>69</v>
      </c>
      <c r="B13" s="45" t="s">
        <v>73</v>
      </c>
      <c r="C13" s="45" t="s">
        <v>72</v>
      </c>
      <c r="D13" s="45" t="s">
        <v>71</v>
      </c>
      <c r="E13" s="45" t="s">
        <v>70</v>
      </c>
      <c r="F13" s="45" t="s">
        <v>185</v>
      </c>
    </row>
    <row r="14" spans="1:6" x14ac:dyDescent="0.2">
      <c r="A14" s="46" t="s">
        <v>74</v>
      </c>
      <c r="B14" s="45" t="s">
        <v>177</v>
      </c>
      <c r="C14" s="45" t="s">
        <v>177</v>
      </c>
      <c r="D14" s="45" t="s">
        <v>177</v>
      </c>
      <c r="E14" s="45" t="s">
        <v>177</v>
      </c>
      <c r="F14" s="45" t="s">
        <v>177</v>
      </c>
    </row>
    <row r="15" spans="1:6" ht="28" x14ac:dyDescent="0.2">
      <c r="A15" s="46" t="s">
        <v>75</v>
      </c>
      <c r="B15" s="45" t="s">
        <v>76</v>
      </c>
      <c r="C15" s="45" t="s">
        <v>76</v>
      </c>
      <c r="D15" s="45" t="s">
        <v>76</v>
      </c>
      <c r="E15" s="45" t="s">
        <v>76</v>
      </c>
      <c r="F15" s="45" t="s">
        <v>76</v>
      </c>
    </row>
    <row r="16" spans="1:6" x14ac:dyDescent="0.2">
      <c r="A16" s="46" t="s">
        <v>77</v>
      </c>
      <c r="B16" s="45" t="s">
        <v>78</v>
      </c>
      <c r="C16" s="45" t="s">
        <v>78</v>
      </c>
      <c r="D16" s="45" t="s">
        <v>78</v>
      </c>
      <c r="E16" s="45" t="s">
        <v>78</v>
      </c>
      <c r="F16" s="45" t="s">
        <v>78</v>
      </c>
    </row>
    <row r="17" spans="1:6" x14ac:dyDescent="0.2">
      <c r="A17" s="46" t="s">
        <v>178</v>
      </c>
      <c r="B17" s="45" t="s">
        <v>179</v>
      </c>
      <c r="C17" s="45" t="s">
        <v>179</v>
      </c>
      <c r="D17" s="45" t="s">
        <v>179</v>
      </c>
      <c r="E17" s="45" t="s">
        <v>179</v>
      </c>
      <c r="F17" s="45" t="s">
        <v>179</v>
      </c>
    </row>
    <row r="18" spans="1:6" x14ac:dyDescent="0.2">
      <c r="A18" s="44" t="s">
        <v>174</v>
      </c>
      <c r="B18" s="43">
        <v>51717</v>
      </c>
      <c r="C18" s="43">
        <v>66206</v>
      </c>
      <c r="D18" s="43">
        <v>79727</v>
      </c>
      <c r="E18" s="43">
        <v>76060</v>
      </c>
      <c r="F18" s="43">
        <v>57113</v>
      </c>
    </row>
    <row r="19" spans="1:6" x14ac:dyDescent="0.2">
      <c r="A19" s="44" t="s">
        <v>173</v>
      </c>
      <c r="B19" s="43">
        <v>-42873</v>
      </c>
      <c r="C19" s="43">
        <v>-55757</v>
      </c>
      <c r="D19" s="43">
        <v>-67326</v>
      </c>
      <c r="E19" s="43">
        <v>-62382</v>
      </c>
      <c r="F19" s="43">
        <v>-44488</v>
      </c>
    </row>
    <row r="20" spans="1:6" x14ac:dyDescent="0.2">
      <c r="A20" s="44" t="s">
        <v>172</v>
      </c>
      <c r="B20" s="43">
        <v>8844</v>
      </c>
      <c r="C20" s="43">
        <v>10449</v>
      </c>
      <c r="D20" s="43">
        <v>12400</v>
      </c>
      <c r="E20" s="43">
        <v>13678</v>
      </c>
      <c r="F20" s="43">
        <v>12625</v>
      </c>
    </row>
    <row r="21" spans="1:6" x14ac:dyDescent="0.2">
      <c r="A21" s="44" t="s">
        <v>171</v>
      </c>
      <c r="B21" s="43">
        <v>-5595</v>
      </c>
      <c r="C21" s="43">
        <v>-6603</v>
      </c>
      <c r="D21" s="43">
        <v>-7614</v>
      </c>
      <c r="E21" s="43">
        <v>-7467</v>
      </c>
      <c r="F21" s="43">
        <v>-6426</v>
      </c>
    </row>
    <row r="22" spans="1:6" x14ac:dyDescent="0.2">
      <c r="A22" s="44" t="s">
        <v>170</v>
      </c>
      <c r="B22" s="43">
        <v>-11</v>
      </c>
      <c r="C22" s="43">
        <v>-73</v>
      </c>
      <c r="D22" s="43">
        <v>-14</v>
      </c>
      <c r="E22" s="43">
        <v>-6</v>
      </c>
      <c r="F22" s="42" t="s">
        <v>86</v>
      </c>
    </row>
    <row r="23" spans="1:6" x14ac:dyDescent="0.2">
      <c r="A23" s="44" t="s">
        <v>169</v>
      </c>
      <c r="B23" s="43">
        <v>-16</v>
      </c>
      <c r="C23" s="43">
        <v>23</v>
      </c>
      <c r="D23" s="43">
        <v>29</v>
      </c>
      <c r="E23" s="43">
        <v>117</v>
      </c>
      <c r="F23" s="43">
        <v>85</v>
      </c>
    </row>
    <row r="24" spans="1:6" x14ac:dyDescent="0.2">
      <c r="A24" s="44" t="s">
        <v>188</v>
      </c>
      <c r="B24" s="43">
        <v>-911</v>
      </c>
      <c r="C24" s="43">
        <v>-1168</v>
      </c>
      <c r="D24" s="43">
        <v>-1444</v>
      </c>
      <c r="E24" s="43">
        <v>-1878</v>
      </c>
      <c r="F24" s="43">
        <v>-1696</v>
      </c>
    </row>
    <row r="25" spans="1:6" x14ac:dyDescent="0.2">
      <c r="A25" s="44" t="s">
        <v>168</v>
      </c>
      <c r="B25" s="43">
        <v>5</v>
      </c>
      <c r="C25" s="43">
        <v>1</v>
      </c>
      <c r="D25" s="42" t="s">
        <v>86</v>
      </c>
      <c r="E25" s="42" t="s">
        <v>86</v>
      </c>
      <c r="F25" s="42" t="s">
        <v>86</v>
      </c>
    </row>
    <row r="26" spans="1:6" x14ac:dyDescent="0.2">
      <c r="A26" s="44" t="s">
        <v>167</v>
      </c>
      <c r="B26" s="43">
        <v>-6527</v>
      </c>
      <c r="C26" s="43">
        <v>-7820</v>
      </c>
      <c r="D26" s="43">
        <v>-9044</v>
      </c>
      <c r="E26" s="43">
        <v>-9234</v>
      </c>
      <c r="F26" s="43">
        <v>-8037</v>
      </c>
    </row>
    <row r="27" spans="1:6" x14ac:dyDescent="0.2">
      <c r="A27" s="44" t="s">
        <v>166</v>
      </c>
      <c r="B27" s="43">
        <v>2316</v>
      </c>
      <c r="C27" s="43">
        <v>2629</v>
      </c>
      <c r="D27" s="43">
        <v>3357</v>
      </c>
      <c r="E27" s="43">
        <v>4444</v>
      </c>
      <c r="F27" s="43">
        <v>4588</v>
      </c>
    </row>
    <row r="28" spans="1:6" x14ac:dyDescent="0.2">
      <c r="A28" s="44" t="s">
        <v>165</v>
      </c>
      <c r="B28" s="43">
        <v>41</v>
      </c>
      <c r="C28" s="43">
        <v>41</v>
      </c>
      <c r="D28" s="43">
        <v>32</v>
      </c>
      <c r="E28" s="43">
        <v>36</v>
      </c>
      <c r="F28" s="43">
        <v>32</v>
      </c>
    </row>
    <row r="29" spans="1:6" x14ac:dyDescent="0.2">
      <c r="A29" s="44" t="s">
        <v>164</v>
      </c>
      <c r="B29" s="43">
        <v>-116</v>
      </c>
      <c r="C29" s="43">
        <v>-277</v>
      </c>
      <c r="D29" s="43">
        <v>-349</v>
      </c>
      <c r="E29" s="43">
        <v>-302</v>
      </c>
      <c r="F29" s="43">
        <v>-266</v>
      </c>
    </row>
    <row r="30" spans="1:6" x14ac:dyDescent="0.2">
      <c r="A30" s="44" t="s">
        <v>163</v>
      </c>
      <c r="B30" s="43">
        <v>-32</v>
      </c>
      <c r="C30" s="43">
        <v>-36</v>
      </c>
      <c r="D30" s="43">
        <v>-38</v>
      </c>
      <c r="E30" s="43">
        <v>-127</v>
      </c>
      <c r="F30" s="43">
        <v>-110</v>
      </c>
    </row>
    <row r="31" spans="1:6" x14ac:dyDescent="0.2">
      <c r="A31" s="44" t="s">
        <v>189</v>
      </c>
      <c r="B31" s="42" t="s">
        <v>86</v>
      </c>
      <c r="C31" s="42" t="s">
        <v>86</v>
      </c>
      <c r="D31" s="42" t="s">
        <v>86</v>
      </c>
      <c r="E31" s="42" t="s">
        <v>86</v>
      </c>
      <c r="F31" s="43">
        <v>-36</v>
      </c>
    </row>
    <row r="32" spans="1:6" x14ac:dyDescent="0.2">
      <c r="A32" s="44" t="s">
        <v>162</v>
      </c>
      <c r="B32" s="43">
        <v>-20</v>
      </c>
      <c r="C32" s="43">
        <v>-22</v>
      </c>
      <c r="D32" s="43">
        <v>-28</v>
      </c>
      <c r="E32" s="43">
        <v>-26</v>
      </c>
      <c r="F32" s="43">
        <v>-20</v>
      </c>
    </row>
    <row r="33" spans="1:6" x14ac:dyDescent="0.2">
      <c r="A33" s="44" t="s">
        <v>161</v>
      </c>
      <c r="B33" s="43">
        <v>-2</v>
      </c>
      <c r="C33" s="43">
        <v>-3</v>
      </c>
      <c r="D33" s="43">
        <v>-4</v>
      </c>
      <c r="E33" s="43">
        <v>-2</v>
      </c>
      <c r="F33" s="42" t="s">
        <v>86</v>
      </c>
    </row>
    <row r="34" spans="1:6" x14ac:dyDescent="0.2">
      <c r="A34" s="44" t="s">
        <v>160</v>
      </c>
      <c r="B34" s="43">
        <v>-2</v>
      </c>
      <c r="C34" s="43">
        <v>-25</v>
      </c>
      <c r="D34" s="43">
        <v>-2</v>
      </c>
      <c r="E34" s="43">
        <v>-3</v>
      </c>
      <c r="F34" s="42" t="s">
        <v>86</v>
      </c>
    </row>
    <row r="35" spans="1:6" x14ac:dyDescent="0.2">
      <c r="A35" s="44" t="s">
        <v>159</v>
      </c>
      <c r="B35" s="42" t="s">
        <v>86</v>
      </c>
      <c r="C35" s="43">
        <v>-2</v>
      </c>
      <c r="D35" s="42" t="s">
        <v>86</v>
      </c>
      <c r="E35" s="42" t="s">
        <v>86</v>
      </c>
      <c r="F35" s="42" t="s">
        <v>86</v>
      </c>
    </row>
    <row r="36" spans="1:6" x14ac:dyDescent="0.2">
      <c r="A36" s="44" t="s">
        <v>158</v>
      </c>
      <c r="B36" s="43">
        <v>-9</v>
      </c>
      <c r="C36" s="43">
        <v>-16</v>
      </c>
      <c r="D36" s="43">
        <v>-35</v>
      </c>
      <c r="E36" s="43">
        <v>-22</v>
      </c>
      <c r="F36" s="43">
        <v>-13</v>
      </c>
    </row>
    <row r="37" spans="1:6" x14ac:dyDescent="0.2">
      <c r="A37" s="44" t="s">
        <v>157</v>
      </c>
      <c r="B37" s="43">
        <v>-181</v>
      </c>
      <c r="C37" s="43">
        <v>-381</v>
      </c>
      <c r="D37" s="43">
        <v>-457</v>
      </c>
      <c r="E37" s="43">
        <v>-481</v>
      </c>
      <c r="F37" s="43">
        <v>-446</v>
      </c>
    </row>
    <row r="38" spans="1:6" x14ac:dyDescent="0.2">
      <c r="A38" s="44" t="s">
        <v>156</v>
      </c>
      <c r="B38" s="43">
        <v>5</v>
      </c>
      <c r="C38" s="43">
        <v>6</v>
      </c>
      <c r="D38" s="43">
        <v>7</v>
      </c>
      <c r="E38" s="43">
        <v>22</v>
      </c>
      <c r="F38" s="42" t="s">
        <v>86</v>
      </c>
    </row>
    <row r="39" spans="1:6" x14ac:dyDescent="0.2">
      <c r="A39" s="44" t="s">
        <v>155</v>
      </c>
      <c r="B39" s="43">
        <v>4</v>
      </c>
      <c r="C39" s="43">
        <v>5</v>
      </c>
      <c r="D39" s="43">
        <v>11</v>
      </c>
      <c r="E39" s="43">
        <v>12</v>
      </c>
      <c r="F39" s="42" t="s">
        <v>86</v>
      </c>
    </row>
    <row r="40" spans="1:6" x14ac:dyDescent="0.2">
      <c r="A40" s="44" t="s">
        <v>154</v>
      </c>
      <c r="B40" s="43">
        <v>9</v>
      </c>
      <c r="C40" s="43">
        <v>11</v>
      </c>
      <c r="D40" s="43">
        <v>18</v>
      </c>
      <c r="E40" s="43">
        <v>34</v>
      </c>
      <c r="F40" s="43">
        <v>74</v>
      </c>
    </row>
    <row r="41" spans="1:6" x14ac:dyDescent="0.2">
      <c r="A41" s="44" t="s">
        <v>153</v>
      </c>
      <c r="B41" s="43">
        <v>-13</v>
      </c>
      <c r="C41" s="43">
        <v>-62</v>
      </c>
      <c r="D41" s="43">
        <v>7</v>
      </c>
      <c r="E41" s="43">
        <v>47</v>
      </c>
      <c r="F41" s="43">
        <v>-56</v>
      </c>
    </row>
    <row r="42" spans="1:6" x14ac:dyDescent="0.2">
      <c r="A42" s="44" t="s">
        <v>152</v>
      </c>
      <c r="B42" s="43">
        <v>-186</v>
      </c>
      <c r="C42" s="43">
        <v>-432</v>
      </c>
      <c r="D42" s="43">
        <v>-432</v>
      </c>
      <c r="E42" s="43">
        <v>-400</v>
      </c>
      <c r="F42" s="43">
        <v>-427</v>
      </c>
    </row>
    <row r="43" spans="1:6" x14ac:dyDescent="0.2">
      <c r="A43" s="44" t="s">
        <v>151</v>
      </c>
      <c r="B43" s="43">
        <v>2172</v>
      </c>
      <c r="C43" s="43">
        <v>2239</v>
      </c>
      <c r="D43" s="43">
        <v>2956</v>
      </c>
      <c r="E43" s="43">
        <v>4080</v>
      </c>
      <c r="F43" s="43">
        <v>4193</v>
      </c>
    </row>
    <row r="44" spans="1:6" x14ac:dyDescent="0.2">
      <c r="A44" s="44" t="s">
        <v>150</v>
      </c>
      <c r="B44" s="43">
        <v>-523</v>
      </c>
      <c r="C44" s="43">
        <v>-74</v>
      </c>
      <c r="D44" s="43">
        <v>-500</v>
      </c>
      <c r="E44" s="43">
        <v>-767</v>
      </c>
      <c r="F44" s="43">
        <v>-816</v>
      </c>
    </row>
    <row r="45" spans="1:6" x14ac:dyDescent="0.2">
      <c r="A45" s="44" t="s">
        <v>149</v>
      </c>
      <c r="B45" s="43">
        <v>1649</v>
      </c>
      <c r="C45" s="43">
        <v>2165</v>
      </c>
      <c r="D45" s="43">
        <v>2456</v>
      </c>
      <c r="E45" s="43">
        <v>3313</v>
      </c>
      <c r="F45" s="43">
        <v>3377</v>
      </c>
    </row>
    <row r="46" spans="1:6" x14ac:dyDescent="0.2">
      <c r="A46" s="44" t="s">
        <v>148</v>
      </c>
      <c r="B46" s="42" t="s">
        <v>86</v>
      </c>
      <c r="C46" s="43">
        <v>9</v>
      </c>
      <c r="D46" s="43">
        <v>-17</v>
      </c>
      <c r="E46" s="43">
        <v>6</v>
      </c>
      <c r="F46" s="42" t="s">
        <v>86</v>
      </c>
    </row>
    <row r="47" spans="1:6" x14ac:dyDescent="0.2">
      <c r="A47" s="44" t="s">
        <v>147</v>
      </c>
      <c r="B47" s="43">
        <v>1649</v>
      </c>
      <c r="C47" s="43">
        <v>2156</v>
      </c>
      <c r="D47" s="43">
        <v>2473</v>
      </c>
      <c r="E47" s="43">
        <v>3307</v>
      </c>
      <c r="F47" s="43">
        <v>3377</v>
      </c>
    </row>
    <row r="48" spans="1:6" x14ac:dyDescent="0.2">
      <c r="A48" s="44" t="s">
        <v>146</v>
      </c>
      <c r="B48" s="40">
        <v>1135.7280000000001</v>
      </c>
      <c r="C48" s="39">
        <v>1132.18</v>
      </c>
      <c r="D48" s="40">
        <v>1128.578</v>
      </c>
      <c r="E48" s="41">
        <v>1123.3</v>
      </c>
      <c r="F48" s="41">
        <v>1105.3</v>
      </c>
    </row>
    <row r="49" spans="1:6" x14ac:dyDescent="0.2">
      <c r="A49" s="44" t="s">
        <v>145</v>
      </c>
      <c r="B49" s="40">
        <v>1138.586</v>
      </c>
      <c r="C49" s="40">
        <v>1133.7560000000001</v>
      </c>
      <c r="D49" s="39">
        <v>1130.1099999999999</v>
      </c>
      <c r="E49" s="41">
        <v>1124.5</v>
      </c>
      <c r="F49" s="41">
        <v>1106.7</v>
      </c>
    </row>
    <row r="50" spans="1:6" x14ac:dyDescent="0.2">
      <c r="A50" s="44" t="s">
        <v>144</v>
      </c>
      <c r="B50" s="41">
        <v>1136.9000000000001</v>
      </c>
      <c r="C50" s="40">
        <v>1128.4359999999999</v>
      </c>
      <c r="D50" s="40">
        <v>1128.8219999999999</v>
      </c>
      <c r="E50" s="40">
        <v>1112.692</v>
      </c>
      <c r="F50" s="40">
        <v>1079.6120000000001</v>
      </c>
    </row>
    <row r="51" spans="1:6" x14ac:dyDescent="0.2">
      <c r="A51" s="44" t="s">
        <v>143</v>
      </c>
      <c r="B51" s="40">
        <v>1.4530000000000001</v>
      </c>
      <c r="C51" s="40">
        <v>1.907</v>
      </c>
      <c r="D51" s="40">
        <v>2.1909999999999998</v>
      </c>
      <c r="E51" s="40">
        <v>2.9510000000000001</v>
      </c>
      <c r="F51" s="40">
        <v>3.0579999999999998</v>
      </c>
    </row>
    <row r="52" spans="1:6" x14ac:dyDescent="0.2">
      <c r="A52" s="44" t="s">
        <v>142</v>
      </c>
      <c r="B52" s="40">
        <v>1.446</v>
      </c>
      <c r="C52" s="41">
        <v>1.9</v>
      </c>
      <c r="D52" s="40">
        <v>2.1909999999999998</v>
      </c>
      <c r="E52" s="40">
        <v>2.9369999999999998</v>
      </c>
      <c r="F52" s="40">
        <v>3.0449999999999999</v>
      </c>
    </row>
    <row r="53" spans="1:6" x14ac:dyDescent="0.2">
      <c r="A53" s="44" t="s">
        <v>141</v>
      </c>
      <c r="B53" s="42" t="s">
        <v>86</v>
      </c>
      <c r="C53" s="42" t="s">
        <v>86</v>
      </c>
      <c r="D53" s="42" t="s">
        <v>86</v>
      </c>
      <c r="E53" s="40">
        <v>0.26500000000000001</v>
      </c>
      <c r="F53" s="40">
        <v>0.33300000000000002</v>
      </c>
    </row>
    <row r="54" spans="1:6" x14ac:dyDescent="0.2">
      <c r="A54" s="44" t="s">
        <v>140</v>
      </c>
      <c r="B54" s="43">
        <v>105000</v>
      </c>
      <c r="C54" s="42" t="s">
        <v>86</v>
      </c>
      <c r="D54" s="43">
        <v>109000</v>
      </c>
      <c r="E54" s="43">
        <v>131000</v>
      </c>
      <c r="F54" s="43">
        <v>124000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 Comps</vt:lpstr>
      <vt:lpstr>DCF Model</vt:lpstr>
      <vt:lpstr>Schedules</vt:lpstr>
      <vt:lpstr>Valuation Summary</vt:lpstr>
      <vt:lpstr>BalanceSheet</vt:lpstr>
      <vt:lpstr>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Tianyu</cp:lastModifiedBy>
  <dcterms:created xsi:type="dcterms:W3CDTF">2021-01-20T18:31:41Z</dcterms:created>
  <dcterms:modified xsi:type="dcterms:W3CDTF">2023-11-28T21:03:52Z</dcterms:modified>
</cp:coreProperties>
</file>