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14"/>
  <workbookPr/>
  <mc:AlternateContent xmlns:mc="http://schemas.openxmlformats.org/markup-compatibility/2006">
    <mc:Choice Requires="x15">
      <x15ac:absPath xmlns:x15ac="http://schemas.microsoft.com/office/spreadsheetml/2010/11/ac" url="C:\Users\João Victor\Documents\"/>
    </mc:Choice>
  </mc:AlternateContent>
  <xr:revisionPtr revIDLastSave="1539" documentId="11_78B6E320F4AABA45463AD9B0D2EED706B4FD6B48" xr6:coauthVersionLast="47" xr6:coauthVersionMax="47" xr10:uidLastSave="{F433910E-9F44-4F8F-9A35-35FB153B7BB0}"/>
  <bookViews>
    <workbookView xWindow="0" yWindow="0" windowWidth="7635" windowHeight="4575" firstSheet="4" activeTab="4" xr2:uid="{00000000-000D-0000-FFFF-FFFF00000000}"/>
  </bookViews>
  <sheets>
    <sheet name="MRU" sheetId="4" r:id="rId1"/>
    <sheet name="Gráfico MRU" sheetId="1" r:id="rId2"/>
    <sheet name="MRUV" sheetId="2" r:id="rId3"/>
    <sheet name="Exp. 4" sheetId="5" r:id="rId4"/>
    <sheet name="Planilha1" sheetId="6" r:id="rId5"/>
    <sheet name="Folha1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6" i="6" l="1"/>
  <c r="B55" i="6"/>
  <c r="B53" i="6"/>
  <c r="B52" i="6"/>
  <c r="B43" i="6"/>
  <c r="D65" i="6"/>
  <c r="E65" i="6"/>
  <c r="B37" i="6"/>
  <c r="C39" i="6"/>
  <c r="C36" i="6"/>
  <c r="B46" i="6" s="1"/>
  <c r="B36" i="6"/>
  <c r="B38" i="6" s="1"/>
  <c r="B7" i="6"/>
  <c r="C10" i="7"/>
  <c r="C7" i="7"/>
  <c r="B7" i="7"/>
  <c r="B9" i="7" s="1"/>
  <c r="C7" i="6"/>
  <c r="B17" i="6" s="1"/>
  <c r="B9" i="6"/>
  <c r="O22" i="5"/>
  <c r="B40" i="5"/>
  <c r="B34" i="5"/>
  <c r="B33" i="5"/>
  <c r="B39" i="5"/>
  <c r="G34" i="5"/>
  <c r="G40" i="5" s="1"/>
  <c r="F34" i="5"/>
  <c r="F40" i="5" s="1"/>
  <c r="E34" i="5"/>
  <c r="E40" i="5" s="1"/>
  <c r="D34" i="5"/>
  <c r="D40" i="5" s="1"/>
  <c r="C34" i="5"/>
  <c r="C40" i="5" s="1"/>
  <c r="G33" i="5"/>
  <c r="G39" i="5" s="1"/>
  <c r="F33" i="5"/>
  <c r="F39" i="5" s="1"/>
  <c r="E33" i="5"/>
  <c r="E39" i="5" s="1"/>
  <c r="D33" i="5"/>
  <c r="D39" i="5" s="1"/>
  <c r="C33" i="5"/>
  <c r="C39" i="5" s="1"/>
  <c r="O20" i="5"/>
  <c r="G27" i="5"/>
  <c r="F27" i="5"/>
  <c r="E27" i="5"/>
  <c r="D27" i="5"/>
  <c r="C27" i="5"/>
  <c r="B27" i="5"/>
  <c r="G24" i="5"/>
  <c r="G25" i="5" s="1"/>
  <c r="G26" i="5" s="1"/>
  <c r="F24" i="5"/>
  <c r="F25" i="5" s="1"/>
  <c r="F26" i="5" s="1"/>
  <c r="E24" i="5"/>
  <c r="E25" i="5" s="1"/>
  <c r="E26" i="5" s="1"/>
  <c r="D24" i="5"/>
  <c r="D25" i="5" s="1"/>
  <c r="D26" i="5" s="1"/>
  <c r="C24" i="5"/>
  <c r="C25" i="5" s="1"/>
  <c r="C26" i="5" s="1"/>
  <c r="B24" i="5"/>
  <c r="B25" i="5" s="1"/>
  <c r="B26" i="5" s="1"/>
  <c r="K19" i="5"/>
  <c r="B11" i="5"/>
  <c r="K3" i="5"/>
  <c r="G11" i="5"/>
  <c r="F11" i="5"/>
  <c r="E11" i="5"/>
  <c r="D11" i="5"/>
  <c r="C11" i="5"/>
  <c r="B12" i="2"/>
  <c r="C8" i="5"/>
  <c r="C9" i="5" s="1"/>
  <c r="C10" i="5" s="1"/>
  <c r="B8" i="5"/>
  <c r="B9" i="5" s="1"/>
  <c r="B10" i="5" s="1"/>
  <c r="F8" i="5"/>
  <c r="F9" i="5" s="1"/>
  <c r="F10" i="5" s="1"/>
  <c r="G8" i="5"/>
  <c r="G9" i="5" s="1"/>
  <c r="G10" i="5" s="1"/>
  <c r="D8" i="5"/>
  <c r="D9" i="5" s="1"/>
  <c r="D10" i="5" s="1"/>
  <c r="E8" i="5"/>
  <c r="E9" i="5" s="1"/>
  <c r="E10" i="5" s="1"/>
  <c r="F11" i="2"/>
  <c r="G11" i="2"/>
  <c r="C8" i="2"/>
  <c r="G8" i="2"/>
  <c r="N11" i="4"/>
  <c r="U3" i="4"/>
  <c r="U5" i="4"/>
  <c r="N12" i="4"/>
  <c r="N14" i="4"/>
  <c r="N8" i="4"/>
  <c r="N9" i="4"/>
  <c r="N17" i="4"/>
  <c r="O11" i="4"/>
  <c r="O12" i="4"/>
  <c r="O14" i="4"/>
  <c r="O8" i="4"/>
  <c r="O9" i="4"/>
  <c r="O17" i="4"/>
  <c r="P11" i="4"/>
  <c r="P12" i="4"/>
  <c r="P14" i="4"/>
  <c r="P8" i="4"/>
  <c r="P9" i="4"/>
  <c r="P17" i="4"/>
  <c r="Q11" i="4"/>
  <c r="Q12" i="4"/>
  <c r="Q14" i="4"/>
  <c r="Q8" i="4"/>
  <c r="Q9" i="4"/>
  <c r="Q17" i="4"/>
  <c r="R11" i="4"/>
  <c r="R12" i="4"/>
  <c r="R14" i="4"/>
  <c r="R8" i="4"/>
  <c r="R9" i="4"/>
  <c r="R17" i="4"/>
  <c r="P20" i="4"/>
  <c r="N16" i="4"/>
  <c r="O16" i="4"/>
  <c r="P16" i="4"/>
  <c r="Q16" i="4"/>
  <c r="R16" i="4"/>
  <c r="N20" i="4"/>
  <c r="B11" i="4"/>
  <c r="I3" i="4"/>
  <c r="I5" i="4"/>
  <c r="B12" i="4"/>
  <c r="B14" i="4"/>
  <c r="B8" i="4"/>
  <c r="B9" i="4"/>
  <c r="B17" i="4"/>
  <c r="C11" i="4"/>
  <c r="C12" i="4"/>
  <c r="C14" i="4"/>
  <c r="C8" i="4"/>
  <c r="C9" i="4"/>
  <c r="C17" i="4"/>
  <c r="D11" i="4"/>
  <c r="D12" i="4"/>
  <c r="D14" i="4"/>
  <c r="D8" i="4"/>
  <c r="D9" i="4"/>
  <c r="D17" i="4"/>
  <c r="E11" i="4"/>
  <c r="E12" i="4"/>
  <c r="E14" i="4"/>
  <c r="E8" i="4"/>
  <c r="E9" i="4"/>
  <c r="E17" i="4"/>
  <c r="F11" i="4"/>
  <c r="F12" i="4"/>
  <c r="F14" i="4"/>
  <c r="F8" i="4"/>
  <c r="F9" i="4"/>
  <c r="F17" i="4"/>
  <c r="D20" i="4"/>
  <c r="B16" i="4"/>
  <c r="C16" i="4"/>
  <c r="D16" i="4"/>
  <c r="E16" i="4"/>
  <c r="F16" i="4"/>
  <c r="B20" i="4"/>
  <c r="U4" i="4"/>
  <c r="I4" i="4"/>
  <c r="B8" i="2"/>
  <c r="C11" i="2"/>
  <c r="D11" i="2"/>
  <c r="E11" i="2"/>
  <c r="B11" i="2"/>
  <c r="K3" i="2"/>
  <c r="F8" i="2"/>
  <c r="E8" i="2"/>
  <c r="D8" i="2"/>
  <c r="C17" i="2"/>
  <c r="C23" i="2" s="1"/>
  <c r="C9" i="2"/>
  <c r="D17" i="2"/>
  <c r="D23" i="2" s="1"/>
  <c r="D9" i="2"/>
  <c r="E17" i="2"/>
  <c r="E23" i="2" s="1"/>
  <c r="E9" i="2"/>
  <c r="F17" i="2"/>
  <c r="F23" i="2" s="1"/>
  <c r="F9" i="2"/>
  <c r="K4" i="2"/>
  <c r="K5" i="2"/>
  <c r="E12" i="2"/>
  <c r="E14" i="2"/>
  <c r="D12" i="2"/>
  <c r="D14" i="2"/>
  <c r="C12" i="2"/>
  <c r="C14" i="2"/>
  <c r="C18" i="2"/>
  <c r="C24" i="2" s="1"/>
  <c r="D18" i="2"/>
  <c r="D24" i="2" s="1"/>
  <c r="E18" i="2"/>
  <c r="E24" i="2" s="1"/>
  <c r="B10" i="6" l="1"/>
  <c r="B24" i="6" s="1"/>
  <c r="J5" i="6"/>
  <c r="B26" i="6"/>
  <c r="B14" i="6"/>
  <c r="B18" i="6"/>
  <c r="B44" i="6"/>
  <c r="B50" i="6" s="1"/>
  <c r="B39" i="6"/>
  <c r="E55" i="6"/>
  <c r="E56" i="6" s="1"/>
  <c r="B47" i="6"/>
  <c r="F45" i="6"/>
  <c r="B15" i="7"/>
  <c r="B18" i="7" s="1"/>
  <c r="B14" i="7"/>
  <c r="B17" i="7" s="1"/>
  <c r="B20" i="7" s="1"/>
  <c r="B10" i="7"/>
  <c r="B21" i="7" s="1"/>
  <c r="C10" i="6"/>
  <c r="B15" i="6"/>
  <c r="B20" i="6"/>
  <c r="B23" i="6" s="1"/>
  <c r="B43" i="5"/>
  <c r="B37" i="5"/>
  <c r="D43" i="5"/>
  <c r="D37" i="5"/>
  <c r="K21" i="5"/>
  <c r="K20" i="5"/>
  <c r="B28" i="5"/>
  <c r="B30" i="5" s="1"/>
  <c r="C28" i="5"/>
  <c r="C30" i="5" s="1"/>
  <c r="D28" i="5"/>
  <c r="D30" i="5" s="1"/>
  <c r="E28" i="5"/>
  <c r="E30" i="5" s="1"/>
  <c r="F28" i="5"/>
  <c r="F30" i="5" s="1"/>
  <c r="G28" i="5"/>
  <c r="G30" i="5" s="1"/>
  <c r="K5" i="5"/>
  <c r="K4" i="5"/>
  <c r="P6" i="2"/>
  <c r="F10" i="2"/>
  <c r="P5" i="2"/>
  <c r="E10" i="2"/>
  <c r="Q5" i="2" s="1"/>
  <c r="P4" i="2"/>
  <c r="D10" i="2"/>
  <c r="Q4" i="2" s="1"/>
  <c r="P3" i="2"/>
  <c r="C10" i="2"/>
  <c r="Q3" i="2" s="1"/>
  <c r="B17" i="2"/>
  <c r="B23" i="2" s="1"/>
  <c r="B9" i="2"/>
  <c r="B10" i="2" s="1"/>
  <c r="G12" i="2"/>
  <c r="G14" i="2" s="1"/>
  <c r="F12" i="2"/>
  <c r="F14" i="2" s="1"/>
  <c r="F18" i="2" s="1"/>
  <c r="F24" i="2" s="1"/>
  <c r="G17" i="2"/>
  <c r="G9" i="2"/>
  <c r="G18" i="2"/>
  <c r="G24" i="2" s="1"/>
  <c r="F16" i="6" l="1"/>
  <c r="H16" i="6" s="1"/>
  <c r="E26" i="6"/>
  <c r="E27" i="6" s="1"/>
  <c r="D61" i="6"/>
  <c r="E53" i="6"/>
  <c r="B65" i="6"/>
  <c r="B60" i="6"/>
  <c r="J6" i="6"/>
  <c r="B27" i="6"/>
  <c r="E24" i="6"/>
  <c r="F24" i="6" s="1"/>
  <c r="B49" i="6"/>
  <c r="F53" i="6" s="1"/>
  <c r="M7" i="6"/>
  <c r="B21" i="6"/>
  <c r="M6" i="6"/>
  <c r="B12" i="5"/>
  <c r="B14" i="5" s="1"/>
  <c r="C12" i="5"/>
  <c r="C14" i="5" s="1"/>
  <c r="D12" i="5"/>
  <c r="D14" i="5" s="1"/>
  <c r="E12" i="5"/>
  <c r="E14" i="5" s="1"/>
  <c r="F12" i="5"/>
  <c r="F14" i="5" s="1"/>
  <c r="G12" i="5"/>
  <c r="G14" i="5" s="1"/>
  <c r="Q6" i="2"/>
  <c r="P7" i="2"/>
  <c r="G10" i="2"/>
  <c r="Q7" i="2" s="1"/>
  <c r="P2" i="2"/>
  <c r="O10" i="2" s="1"/>
  <c r="B14" i="2"/>
  <c r="B21" i="2"/>
  <c r="G23" i="2"/>
  <c r="B27" i="2" s="1"/>
  <c r="B18" i="2" l="1"/>
  <c r="Q2" i="2"/>
  <c r="Q10" i="2" s="1"/>
  <c r="D21" i="2" l="1"/>
  <c r="B24" i="2"/>
  <c r="D27" i="2" s="1"/>
</calcChain>
</file>

<file path=xl/sharedStrings.xml><?xml version="1.0" encoding="utf-8"?>
<sst xmlns="http://schemas.openxmlformats.org/spreadsheetml/2006/main" count="290" uniqueCount="93">
  <si>
    <t>Posição (cm)</t>
  </si>
  <si>
    <t>Tempo(s)</t>
  </si>
  <si>
    <t>t1</t>
  </si>
  <si>
    <t>N=</t>
  </si>
  <si>
    <t>t2</t>
  </si>
  <si>
    <t>N-1=</t>
  </si>
  <si>
    <t>t3</t>
  </si>
  <si>
    <t xml:space="preserve">raiz (n) = </t>
  </si>
  <si>
    <t>t4</t>
  </si>
  <si>
    <t>t5</t>
  </si>
  <si>
    <t>precisão=</t>
  </si>
  <si>
    <t>tm</t>
  </si>
  <si>
    <t>tm²</t>
  </si>
  <si>
    <t>σ</t>
  </si>
  <si>
    <t>-----&gt;</t>
  </si>
  <si>
    <r>
      <rPr>
        <sz val="11"/>
        <color rgb="FF000000"/>
        <rFont val="Calibri"/>
      </rPr>
      <t xml:space="preserve">√((∑ (x-x̅)²)/(n-1)) = </t>
    </r>
    <r>
      <rPr>
        <b/>
        <sz val="11"/>
        <color rgb="FF000000"/>
        <rFont val="Calibri"/>
      </rPr>
      <t>desvio padrão</t>
    </r>
  </si>
  <si>
    <t>∆t_a</t>
  </si>
  <si>
    <r>
      <rPr>
        <sz val="11"/>
        <color rgb="FF000000"/>
        <rFont val="Calibri"/>
      </rPr>
      <t xml:space="preserve">σ / √n = </t>
    </r>
    <r>
      <rPr>
        <b/>
        <sz val="11"/>
        <color rgb="FF000000"/>
        <rFont val="Calibri"/>
      </rPr>
      <t>erro aleátorio</t>
    </r>
  </si>
  <si>
    <t>∆t_i</t>
  </si>
  <si>
    <r>
      <rPr>
        <sz val="11"/>
        <color rgb="FF000000"/>
        <rFont val="Calibri"/>
      </rPr>
      <t xml:space="preserve">igual a precisão = </t>
    </r>
    <r>
      <rPr>
        <b/>
        <sz val="11"/>
        <color rgb="FF000000"/>
        <rFont val="Calibri"/>
      </rPr>
      <t>erro instrumental</t>
    </r>
  </si>
  <si>
    <t>∆t</t>
  </si>
  <si>
    <r>
      <rPr>
        <sz val="11"/>
        <color rgb="FF000000"/>
        <rFont val="Calibri"/>
      </rPr>
      <t xml:space="preserve">∆t_a </t>
    </r>
    <r>
      <rPr>
        <b/>
        <sz val="11"/>
        <color rgb="FF000000"/>
        <rFont val="Calibri"/>
      </rPr>
      <t>+</t>
    </r>
    <r>
      <rPr>
        <sz val="11"/>
        <color rgb="FF000000"/>
        <rFont val="Calibri"/>
      </rPr>
      <t xml:space="preserve"> ∆t_i = </t>
    </r>
    <r>
      <rPr>
        <b/>
        <sz val="11"/>
        <color rgb="FF000000"/>
        <rFont val="Calibri"/>
      </rPr>
      <t>erro absoluto</t>
    </r>
  </si>
  <si>
    <r>
      <rPr>
        <sz val="11"/>
        <color rgb="FF000000"/>
        <rFont val="Calibri"/>
      </rPr>
      <t xml:space="preserve">∆t_a </t>
    </r>
    <r>
      <rPr>
        <b/>
        <sz val="11"/>
        <color rgb="FF000000"/>
        <rFont val="Calibri"/>
      </rPr>
      <t>+</t>
    </r>
    <r>
      <rPr>
        <sz val="11"/>
        <color rgb="FF000000"/>
        <rFont val="Calibri"/>
      </rPr>
      <t xml:space="preserve"> ∆t_i = </t>
    </r>
    <r>
      <rPr>
        <b/>
        <sz val="11"/>
        <color rgb="FF000000"/>
        <rFont val="Calibri"/>
      </rPr>
      <t>erro exp. absoluto</t>
    </r>
  </si>
  <si>
    <t>v¯</t>
  </si>
  <si>
    <t>∆v</t>
  </si>
  <si>
    <t>vm =</t>
  </si>
  <si>
    <t>erro experimental =</t>
  </si>
  <si>
    <t>+ -</t>
  </si>
  <si>
    <t>(m/s)</t>
  </si>
  <si>
    <t>posição x(cm)</t>
  </si>
  <si>
    <t>tempo t(s)</t>
  </si>
  <si>
    <t>Aceleração</t>
  </si>
  <si>
    <t>Erro</t>
  </si>
  <si>
    <t>medidas de tempo</t>
  </si>
  <si>
    <t>a1</t>
  </si>
  <si>
    <t>a2</t>
  </si>
  <si>
    <t>a3</t>
  </si>
  <si>
    <t>a4</t>
  </si>
  <si>
    <t>a5</t>
  </si>
  <si>
    <t>a6</t>
  </si>
  <si>
    <t>aceleração média com os valores pontuais</t>
  </si>
  <si>
    <t>tm⁴</t>
  </si>
  <si>
    <t>+/-</t>
  </si>
  <si>
    <t>---------------</t>
  </si>
  <si>
    <t>------------------</t>
  </si>
  <si>
    <t>--------------</t>
  </si>
  <si>
    <t>### corrigir os valores da aceleração com o sci davis</t>
  </si>
  <si>
    <t>∆t²</t>
  </si>
  <si>
    <t>(cm/s)</t>
  </si>
  <si>
    <t>Velocidade Inst.</t>
  </si>
  <si>
    <t/>
  </si>
  <si>
    <t>PLANO INCLUNADO</t>
  </si>
  <si>
    <t>H=</t>
  </si>
  <si>
    <t>D=</t>
  </si>
  <si>
    <t>sen o =</t>
  </si>
  <si>
    <t>g=</t>
  </si>
  <si>
    <t>a=</t>
  </si>
  <si>
    <t>ki raiz</t>
  </si>
  <si>
    <t>kf</t>
  </si>
  <si>
    <t>ma * Vaf/2</t>
  </si>
  <si>
    <t>média Δt</t>
  </si>
  <si>
    <t>mb * Vbf /2</t>
  </si>
  <si>
    <t>massa</t>
  </si>
  <si>
    <t>Vai e Vbi</t>
  </si>
  <si>
    <t>-----------&gt;</t>
  </si>
  <si>
    <t>10/média Δt</t>
  </si>
  <si>
    <t>Vai²e Vbi²</t>
  </si>
  <si>
    <t>Conservação do movimento</t>
  </si>
  <si>
    <t>KF/KI =</t>
  </si>
  <si>
    <t xml:space="preserve">Ma/(Ma+Mb) = </t>
  </si>
  <si>
    <t>Vaf</t>
  </si>
  <si>
    <t>Vbf</t>
  </si>
  <si>
    <t>--------&gt;</t>
  </si>
  <si>
    <t>equação</t>
  </si>
  <si>
    <t>erro relativo</t>
  </si>
  <si>
    <t>=</t>
  </si>
  <si>
    <t>%</t>
  </si>
  <si>
    <t>----------&gt;</t>
  </si>
  <si>
    <t>trilho</t>
  </si>
  <si>
    <t>Vaf²</t>
  </si>
  <si>
    <t>Vbf²</t>
  </si>
  <si>
    <t>KF</t>
  </si>
  <si>
    <t>erg</t>
  </si>
  <si>
    <t>erro energia</t>
  </si>
  <si>
    <t>(|ki-kf |)/ki</t>
  </si>
  <si>
    <t>KI</t>
  </si>
  <si>
    <t>PI</t>
  </si>
  <si>
    <t>Pf</t>
  </si>
  <si>
    <t>erro ki kf</t>
  </si>
  <si>
    <t>kf -ki</t>
  </si>
  <si>
    <t>ki/kf</t>
  </si>
  <si>
    <t>kf/ki</t>
  </si>
  <si>
    <t>ma/(ma+mb)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</si>
</sst>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0"/>
    <numFmt numFmtId="166" formatCode="0.000000"/>
    <numFmt numFmtId="167" formatCode="0.0000"/>
    <numFmt numFmtId="168" formatCode="0E+00"/>
  </numFmts>
  <fonts count="9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CE4D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DBFA"/>
        <bgColor indexed="64"/>
      </patternFill>
    </fill>
    <fill>
      <patternFill patternType="solid">
        <fgColor rgb="FFD6FFF6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AB1B1"/>
        <bgColor indexed="64"/>
      </patternFill>
    </fill>
  </fills>
  <borders count="3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0" fontId="2" fillId="0" borderId="0" xfId="0" applyFont="1" applyAlignment="1">
      <alignment horizontal="right"/>
    </xf>
    <xf numFmtId="0" fontId="0" fillId="4" borderId="0" xfId="0" applyFill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3" fillId="10" borderId="1" xfId="0" applyFont="1" applyFill="1" applyBorder="1"/>
    <xf numFmtId="0" fontId="3" fillId="10" borderId="2" xfId="0" applyFont="1" applyFill="1" applyBorder="1"/>
    <xf numFmtId="0" fontId="3" fillId="10" borderId="3" xfId="0" applyFont="1" applyFill="1" applyBorder="1"/>
    <xf numFmtId="0" fontId="4" fillId="0" borderId="0" xfId="0" applyFont="1"/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164" fontId="0" fillId="9" borderId="5" xfId="0" applyNumberFormat="1" applyFill="1" applyBorder="1" applyAlignment="1">
      <alignment horizontal="center"/>
    </xf>
    <xf numFmtId="164" fontId="0" fillId="9" borderId="6" xfId="0" applyNumberFormat="1" applyFill="1" applyBorder="1" applyAlignment="1">
      <alignment horizontal="center"/>
    </xf>
    <xf numFmtId="164" fontId="0" fillId="9" borderId="7" xfId="0" applyNumberFormat="1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6" fontId="0" fillId="0" borderId="18" xfId="0" applyNumberForma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165" fontId="0" fillId="0" borderId="19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165" fontId="0" fillId="0" borderId="20" xfId="0" applyNumberFormat="1" applyBorder="1" applyAlignment="1">
      <alignment horizontal="center"/>
    </xf>
    <xf numFmtId="165" fontId="0" fillId="0" borderId="21" xfId="0" applyNumberFormat="1" applyBorder="1" applyAlignment="1">
      <alignment horizontal="center"/>
    </xf>
    <xf numFmtId="165" fontId="0" fillId="0" borderId="22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0" fontId="0" fillId="11" borderId="23" xfId="0" applyFill="1" applyBorder="1" applyAlignment="1">
      <alignment horizontal="center"/>
    </xf>
    <xf numFmtId="0" fontId="0" fillId="11" borderId="24" xfId="0" applyFill="1" applyBorder="1" applyAlignment="1">
      <alignment horizontal="center"/>
    </xf>
    <xf numFmtId="0" fontId="0" fillId="11" borderId="25" xfId="0" applyFill="1" applyBorder="1" applyAlignment="1">
      <alignment horizontal="center"/>
    </xf>
    <xf numFmtId="0" fontId="0" fillId="11" borderId="26" xfId="0" applyFill="1" applyBorder="1" applyAlignment="1">
      <alignment horizontal="center"/>
    </xf>
    <xf numFmtId="0" fontId="0" fillId="11" borderId="27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0" fillId="12" borderId="9" xfId="0" applyFill="1" applyBorder="1" applyAlignment="1">
      <alignment horizontal="center"/>
    </xf>
    <xf numFmtId="164" fontId="0" fillId="12" borderId="5" xfId="0" applyNumberFormat="1" applyFill="1" applyBorder="1" applyAlignment="1">
      <alignment horizontal="center"/>
    </xf>
    <xf numFmtId="164" fontId="0" fillId="12" borderId="6" xfId="0" applyNumberFormat="1" applyFill="1" applyBorder="1" applyAlignment="1">
      <alignment horizontal="center"/>
    </xf>
    <xf numFmtId="164" fontId="0" fillId="12" borderId="7" xfId="0" applyNumberFormat="1" applyFill="1" applyBorder="1" applyAlignment="1">
      <alignment horizontal="center"/>
    </xf>
    <xf numFmtId="0" fontId="3" fillId="0" borderId="0" xfId="0" applyFont="1"/>
    <xf numFmtId="0" fontId="0" fillId="0" borderId="0" xfId="0" quotePrefix="1"/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164" fontId="6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2" fontId="6" fillId="0" borderId="0" xfId="0" applyNumberFormat="1" applyFont="1"/>
    <xf numFmtId="0" fontId="7" fillId="0" borderId="0" xfId="0" applyFont="1" applyAlignment="1">
      <alignment horizontal="right"/>
    </xf>
    <xf numFmtId="164" fontId="6" fillId="0" borderId="0" xfId="0" applyNumberFormat="1" applyFont="1"/>
    <xf numFmtId="0" fontId="4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  <xf numFmtId="0" fontId="8" fillId="0" borderId="0" xfId="0" applyFont="1"/>
    <xf numFmtId="168" fontId="0" fillId="0" borderId="0" xfId="0" applyNumberFormat="1"/>
    <xf numFmtId="0" fontId="2" fillId="0" borderId="0" xfId="0" applyFont="1"/>
    <xf numFmtId="164" fontId="2" fillId="0" borderId="0" xfId="0" applyNumberFormat="1" applyFont="1"/>
    <xf numFmtId="165" fontId="0" fillId="13" borderId="17" xfId="0" applyNumberFormat="1" applyFill="1" applyBorder="1" applyAlignment="1">
      <alignment horizontal="center"/>
    </xf>
    <xf numFmtId="165" fontId="0" fillId="13" borderId="18" xfId="0" applyNumberFormat="1" applyFill="1" applyBorder="1" applyAlignment="1">
      <alignment horizontal="center"/>
    </xf>
    <xf numFmtId="165" fontId="0" fillId="13" borderId="19" xfId="0" applyNumberFormat="1" applyFill="1" applyBorder="1" applyAlignment="1">
      <alignment horizontal="center"/>
    </xf>
    <xf numFmtId="165" fontId="0" fillId="14" borderId="20" xfId="0" applyNumberFormat="1" applyFill="1" applyBorder="1" applyAlignment="1">
      <alignment horizontal="center"/>
    </xf>
    <xf numFmtId="165" fontId="0" fillId="14" borderId="21" xfId="0" applyNumberFormat="1" applyFill="1" applyBorder="1" applyAlignment="1">
      <alignment horizontal="center"/>
    </xf>
    <xf numFmtId="165" fontId="0" fillId="14" borderId="22" xfId="0" applyNumberFormat="1" applyFill="1" applyBorder="1" applyAlignment="1">
      <alignment horizontal="center"/>
    </xf>
    <xf numFmtId="2" fontId="0" fillId="12" borderId="14" xfId="0" applyNumberFormat="1" applyFill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7" fontId="0" fillId="0" borderId="0" xfId="0" applyNumberFormat="1"/>
    <xf numFmtId="1" fontId="0" fillId="0" borderId="0" xfId="0" applyNumberFormat="1"/>
    <xf numFmtId="0" fontId="0" fillId="1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AB1B1"/>
      <color rgb="FFD6FFF6"/>
      <color rgb="FFFFDBFA"/>
      <color rgb="FFFFC7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</a:t>
            </a:r>
            <a:r>
              <a:rPr lang="pt-BR" baseline="0"/>
              <a:t> do MRU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'Gráfico MRU'!$A$2:$A$6</c:f>
              <c:numCache>
                <c:formatCode>General</c:formatCode>
                <c:ptCount val="5"/>
                <c:pt idx="0">
                  <c:v>0.112</c:v>
                </c:pt>
                <c:pt idx="1">
                  <c:v>0.22500000000000001</c:v>
                </c:pt>
                <c:pt idx="2">
                  <c:v>0.33</c:v>
                </c:pt>
                <c:pt idx="3">
                  <c:v>0.438</c:v>
                </c:pt>
                <c:pt idx="4">
                  <c:v>0.54500000000000004</c:v>
                </c:pt>
              </c:numCache>
            </c:numRef>
          </c:xVal>
          <c:yVal>
            <c:numRef>
              <c:f>'Gráfico MRU'!$B$2:$B$6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61-404C-98D8-79746814B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367088"/>
        <c:axId val="869357104"/>
      </c:scatterChart>
      <c:valAx>
        <c:axId val="86936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357104"/>
        <c:crosses val="autoZero"/>
        <c:crossBetween val="midCat"/>
      </c:valAx>
      <c:valAx>
        <c:axId val="86935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posição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36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</xdr:row>
      <xdr:rowOff>76200</xdr:rowOff>
    </xdr:from>
    <xdr:to>
      <xdr:col>15</xdr:col>
      <xdr:colOff>600075</xdr:colOff>
      <xdr:row>26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05AA5-3A99-5D4C-B0AD-625094F6CF92}">
  <dimension ref="A1:U21"/>
  <sheetViews>
    <sheetView workbookViewId="0">
      <selection activeCell="G21" sqref="G21"/>
    </sheetView>
  </sheetViews>
  <sheetFormatPr defaultRowHeight="15"/>
  <cols>
    <col min="1" max="2" width="8.5703125" customWidth="1"/>
    <col min="3" max="3" width="9.5703125" customWidth="1"/>
    <col min="4" max="4" width="8.85546875" customWidth="1"/>
    <col min="5" max="5" width="8.140625" bestFit="1" customWidth="1"/>
    <col min="6" max="6" width="7.85546875" customWidth="1"/>
    <col min="7" max="7" width="6.140625" customWidth="1"/>
    <col min="9" max="9" width="5.7109375" customWidth="1"/>
    <col min="14" max="18" width="10.28515625" bestFit="1" customWidth="1"/>
  </cols>
  <sheetData>
    <row r="1" spans="1:21" ht="15.75" thickBot="1">
      <c r="B1" s="15"/>
      <c r="C1" s="16"/>
      <c r="D1" s="16" t="s">
        <v>0</v>
      </c>
      <c r="E1" s="16"/>
      <c r="F1" s="17"/>
      <c r="N1" s="15"/>
      <c r="O1" s="16"/>
      <c r="P1" s="16" t="s">
        <v>0</v>
      </c>
      <c r="Q1" s="16"/>
      <c r="R1" s="17"/>
    </row>
    <row r="2" spans="1:21" ht="15.75" thickBot="1">
      <c r="A2" s="63" t="s">
        <v>1</v>
      </c>
      <c r="B2" s="60">
        <v>10</v>
      </c>
      <c r="C2" s="61">
        <v>20</v>
      </c>
      <c r="D2" s="61">
        <v>30</v>
      </c>
      <c r="E2" s="61">
        <v>40</v>
      </c>
      <c r="F2" s="62">
        <v>50</v>
      </c>
      <c r="M2" s="63" t="s">
        <v>1</v>
      </c>
      <c r="N2" s="60">
        <v>10</v>
      </c>
      <c r="O2" s="61">
        <v>20</v>
      </c>
      <c r="P2" s="61">
        <v>30</v>
      </c>
      <c r="Q2" s="61">
        <v>40</v>
      </c>
      <c r="R2" s="62">
        <v>50</v>
      </c>
    </row>
    <row r="3" spans="1:21">
      <c r="A3" s="30" t="s">
        <v>2</v>
      </c>
      <c r="B3" s="64">
        <v>0.10299999999999999</v>
      </c>
      <c r="C3" s="65">
        <v>0.22500000000000001</v>
      </c>
      <c r="D3" s="65">
        <v>0.33600000000000002</v>
      </c>
      <c r="E3" s="65">
        <v>0.41799999999999998</v>
      </c>
      <c r="F3" s="66">
        <v>0.52200000000000002</v>
      </c>
      <c r="H3" s="2" t="s">
        <v>3</v>
      </c>
      <c r="I3" s="3">
        <f>COUNT(B3:B7)</f>
        <v>5</v>
      </c>
      <c r="M3" s="30" t="s">
        <v>2</v>
      </c>
      <c r="N3" s="64">
        <v>0.13700000000000001</v>
      </c>
      <c r="O3" s="65">
        <v>0.26500000000000001</v>
      </c>
      <c r="P3" s="65">
        <v>0.40200000000000002</v>
      </c>
      <c r="Q3" s="65">
        <v>0.57899999999999996</v>
      </c>
      <c r="R3" s="66">
        <v>0.73699999999999999</v>
      </c>
      <c r="T3" s="2" t="s">
        <v>3</v>
      </c>
      <c r="U3" s="3">
        <f>COUNT(N3:N7)</f>
        <v>5</v>
      </c>
    </row>
    <row r="4" spans="1:21">
      <c r="A4" s="31" t="s">
        <v>4</v>
      </c>
      <c r="B4" s="19">
        <v>0.11600000000000001</v>
      </c>
      <c r="C4" s="11">
        <v>0.22500000000000001</v>
      </c>
      <c r="D4" s="11">
        <v>0.33500000000000002</v>
      </c>
      <c r="E4" s="11">
        <v>0.443</v>
      </c>
      <c r="F4" s="20">
        <v>0.53100000000000003</v>
      </c>
      <c r="H4" s="2" t="s">
        <v>5</v>
      </c>
      <c r="I4" s="3">
        <f>I3-1</f>
        <v>4</v>
      </c>
      <c r="M4" s="31" t="s">
        <v>4</v>
      </c>
      <c r="N4" s="19">
        <v>0.13600000000000001</v>
      </c>
      <c r="O4" s="11">
        <v>0.253</v>
      </c>
      <c r="P4" s="11">
        <v>0.40699999999999997</v>
      </c>
      <c r="Q4" s="11">
        <v>0.57099999999999995</v>
      </c>
      <c r="R4" s="20">
        <v>0.745</v>
      </c>
      <c r="T4" s="2" t="s">
        <v>5</v>
      </c>
      <c r="U4" s="3">
        <f>U3-1</f>
        <v>4</v>
      </c>
    </row>
    <row r="5" spans="1:21">
      <c r="A5" s="32" t="s">
        <v>6</v>
      </c>
      <c r="B5" s="21">
        <v>0.113</v>
      </c>
      <c r="C5" s="12">
        <v>0.22500000000000001</v>
      </c>
      <c r="D5" s="12">
        <v>0.33300000000000002</v>
      </c>
      <c r="E5" s="12">
        <v>0.442</v>
      </c>
      <c r="F5" s="22">
        <v>0.55600000000000005</v>
      </c>
      <c r="H5" s="2" t="s">
        <v>7</v>
      </c>
      <c r="I5">
        <f>SQRT(I3)</f>
        <v>2.2360679774997898</v>
      </c>
      <c r="M5" s="32" t="s">
        <v>6</v>
      </c>
      <c r="N5" s="21">
        <v>0.13700000000000001</v>
      </c>
      <c r="O5" s="12">
        <v>0.254</v>
      </c>
      <c r="P5" s="12">
        <v>0.40699999999999997</v>
      </c>
      <c r="Q5" s="12">
        <v>0.57699999999999996</v>
      </c>
      <c r="R5" s="22">
        <v>0.74099999999999999</v>
      </c>
      <c r="T5" s="2" t="s">
        <v>7</v>
      </c>
      <c r="U5">
        <f>SQRT(U3)</f>
        <v>2.2360679774997898</v>
      </c>
    </row>
    <row r="6" spans="1:21">
      <c r="A6" s="33" t="s">
        <v>8</v>
      </c>
      <c r="B6" s="23">
        <v>0.114</v>
      </c>
      <c r="C6" s="13">
        <v>0.22600000000000001</v>
      </c>
      <c r="D6" s="13">
        <v>0.33400000000000002</v>
      </c>
      <c r="E6" s="13">
        <v>0.441</v>
      </c>
      <c r="F6" s="24">
        <v>0.55800000000000005</v>
      </c>
      <c r="M6" s="33" t="s">
        <v>8</v>
      </c>
      <c r="N6" s="23">
        <v>0.13800000000000001</v>
      </c>
      <c r="O6" s="13">
        <v>0.255</v>
      </c>
      <c r="P6" s="13">
        <v>0.42099999999999999</v>
      </c>
      <c r="Q6" s="13">
        <v>0.57599999999999996</v>
      </c>
      <c r="R6" s="24">
        <v>0.74399999999999999</v>
      </c>
    </row>
    <row r="7" spans="1:21">
      <c r="A7" s="34" t="s">
        <v>9</v>
      </c>
      <c r="B7" s="25">
        <v>0.113</v>
      </c>
      <c r="C7" s="14">
        <v>0.22600000000000001</v>
      </c>
      <c r="D7" s="14">
        <v>0.313</v>
      </c>
      <c r="E7" s="14">
        <v>0.44400000000000001</v>
      </c>
      <c r="F7" s="26">
        <v>0.56000000000000005</v>
      </c>
      <c r="H7" t="s">
        <v>10</v>
      </c>
      <c r="I7">
        <v>1E-3</v>
      </c>
      <c r="M7" s="34" t="s">
        <v>9</v>
      </c>
      <c r="N7" s="25">
        <v>0.13300000000000001</v>
      </c>
      <c r="O7" s="14">
        <v>0.25600000000000001</v>
      </c>
      <c r="P7" s="14">
        <v>0.42</v>
      </c>
      <c r="Q7" s="14">
        <v>0.58199999999999996</v>
      </c>
      <c r="R7" s="26">
        <v>0.745</v>
      </c>
      <c r="T7" t="s">
        <v>10</v>
      </c>
      <c r="U7">
        <v>1E-3</v>
      </c>
    </row>
    <row r="8" spans="1:21" ht="15.75" thickBot="1">
      <c r="A8" s="35" t="s">
        <v>11</v>
      </c>
      <c r="B8" s="27">
        <f>AVERAGE(B3:B7)</f>
        <v>0.11180000000000001</v>
      </c>
      <c r="C8" s="28">
        <f>AVERAGE(C3:C7)</f>
        <v>0.22539999999999999</v>
      </c>
      <c r="D8" s="28">
        <f>AVERAGE(D3:D7)</f>
        <v>0.33019999999999999</v>
      </c>
      <c r="E8" s="28">
        <f>AVERAGE(E3:E7)</f>
        <v>0.43760000000000004</v>
      </c>
      <c r="F8" s="29">
        <f>AVERAGE(F3:F7)</f>
        <v>0.5454</v>
      </c>
      <c r="M8" s="35" t="s">
        <v>11</v>
      </c>
      <c r="N8" s="27">
        <f>AVERAGE(N3:N7)</f>
        <v>0.13620000000000002</v>
      </c>
      <c r="O8" s="28">
        <f>AVERAGE(O3:O7)</f>
        <v>0.25660000000000005</v>
      </c>
      <c r="P8" s="28">
        <f>AVERAGE(P3:P7)</f>
        <v>0.41139999999999999</v>
      </c>
      <c r="Q8" s="28">
        <f>AVERAGE(Q3:Q7)</f>
        <v>0.57699999999999996</v>
      </c>
      <c r="R8" s="29">
        <f>AVERAGE(R3:R7)</f>
        <v>0.74239999999999995</v>
      </c>
    </row>
    <row r="9" spans="1:21">
      <c r="A9" s="1" t="s">
        <v>12</v>
      </c>
      <c r="B9" s="9">
        <f>B8^(2)</f>
        <v>1.2499240000000002E-2</v>
      </c>
      <c r="C9" s="9">
        <f>C8^(2)</f>
        <v>5.0805159999999995E-2</v>
      </c>
      <c r="D9" s="9">
        <f>D8^(2)</f>
        <v>0.10903204</v>
      </c>
      <c r="E9" s="9">
        <f>E8^(2)</f>
        <v>0.19149376000000004</v>
      </c>
      <c r="F9" s="9">
        <f>F8^(2)</f>
        <v>0.29746116</v>
      </c>
      <c r="M9" s="1" t="s">
        <v>12</v>
      </c>
      <c r="N9" s="9">
        <f>N8^(2)</f>
        <v>1.8550440000000005E-2</v>
      </c>
      <c r="O9" s="9">
        <f>O8^(2)</f>
        <v>6.5843560000000023E-2</v>
      </c>
      <c r="P9" s="9">
        <f>P8^(2)</f>
        <v>0.16924995999999998</v>
      </c>
      <c r="Q9" s="9">
        <f>Q8^(2)</f>
        <v>0.33292899999999997</v>
      </c>
      <c r="R9" s="9">
        <f>R8^(2)</f>
        <v>0.55115775999999994</v>
      </c>
    </row>
    <row r="11" spans="1:21">
      <c r="A11" s="55" t="s">
        <v>13</v>
      </c>
      <c r="B11" s="36">
        <f>STDEV(B3:B7)</f>
        <v>5.069516742254635E-3</v>
      </c>
      <c r="C11" s="37">
        <f>STDEV(C3:C7)</f>
        <v>5.4772255750516665E-4</v>
      </c>
      <c r="D11" s="37">
        <f>STDEV(D3:D7)</f>
        <v>9.6798760322640582E-3</v>
      </c>
      <c r="E11" s="37">
        <f>STDEV(E3:E7)</f>
        <v>1.1013627921806702E-2</v>
      </c>
      <c r="F11" s="38">
        <f>STDEV(F3:F7)</f>
        <v>1.7601136326953457E-2</v>
      </c>
      <c r="G11" s="1" t="s">
        <v>14</v>
      </c>
      <c r="H11" s="18" t="s">
        <v>15</v>
      </c>
      <c r="K11" s="6"/>
      <c r="M11" s="55" t="s">
        <v>13</v>
      </c>
      <c r="N11" s="36">
        <f>STDEV(N3:N7)</f>
        <v>1.9235384061671362E-3</v>
      </c>
      <c r="O11" s="37">
        <f>STDEV(O3:O7)</f>
        <v>4.8270073544588723E-3</v>
      </c>
      <c r="P11" s="37">
        <f>STDEV(P3:P7)</f>
        <v>8.5615419172015896E-3</v>
      </c>
      <c r="Q11" s="37">
        <f>STDEV(Q3:Q7)</f>
        <v>4.0620192023179836E-3</v>
      </c>
      <c r="R11" s="38">
        <f>STDEV(R3:R7)</f>
        <v>3.4351128074635363E-3</v>
      </c>
      <c r="S11" s="1" t="s">
        <v>14</v>
      </c>
      <c r="T11" s="18" t="s">
        <v>15</v>
      </c>
    </row>
    <row r="12" spans="1:21">
      <c r="A12" s="56" t="s">
        <v>16</v>
      </c>
      <c r="B12" s="39">
        <f>B11/I5</f>
        <v>2.2671568097509288E-3</v>
      </c>
      <c r="C12" s="40">
        <f>C11/I5</f>
        <v>2.4494897427831806E-4</v>
      </c>
      <c r="D12" s="41">
        <f>D11/I5</f>
        <v>4.3289721643826762E-3</v>
      </c>
      <c r="E12" s="41">
        <f>E11/I5</f>
        <v>4.9254441424099044E-3</v>
      </c>
      <c r="F12" s="42">
        <f>F11/I5</f>
        <v>7.8714674616617783E-3</v>
      </c>
      <c r="G12" s="1" t="s">
        <v>14</v>
      </c>
      <c r="H12" s="18" t="s">
        <v>17</v>
      </c>
      <c r="M12" s="56" t="s">
        <v>16</v>
      </c>
      <c r="N12" s="68">
        <f>N11/U5</f>
        <v>8.6023252670426337E-4</v>
      </c>
      <c r="O12" s="69">
        <f>O11/U5</f>
        <v>2.1587033144922921E-3</v>
      </c>
      <c r="P12" s="69">
        <f>P11/U5</f>
        <v>3.8288379438153261E-3</v>
      </c>
      <c r="Q12" s="69">
        <f>Q11/U5</f>
        <v>1.8165902124584964E-3</v>
      </c>
      <c r="R12" s="70">
        <f>R11/U5</f>
        <v>1.5362291495737228E-3</v>
      </c>
      <c r="S12" s="1" t="s">
        <v>14</v>
      </c>
      <c r="T12" s="18" t="s">
        <v>17</v>
      </c>
    </row>
    <row r="13" spans="1:21">
      <c r="A13" s="56" t="s">
        <v>18</v>
      </c>
      <c r="B13" s="43">
        <v>1E-3</v>
      </c>
      <c r="C13" s="44">
        <v>1E-3</v>
      </c>
      <c r="D13" s="44">
        <v>1E-3</v>
      </c>
      <c r="E13" s="44">
        <v>1E-3</v>
      </c>
      <c r="F13" s="45">
        <v>1E-3</v>
      </c>
      <c r="G13" s="1" t="s">
        <v>14</v>
      </c>
      <c r="H13" s="18" t="s">
        <v>19</v>
      </c>
      <c r="M13" s="56" t="s">
        <v>18</v>
      </c>
      <c r="N13" s="43">
        <v>1E-3</v>
      </c>
      <c r="O13" s="44">
        <v>1E-3</v>
      </c>
      <c r="P13" s="44">
        <v>1E-3</v>
      </c>
      <c r="Q13" s="44">
        <v>1E-3</v>
      </c>
      <c r="R13" s="45">
        <v>1E-3</v>
      </c>
      <c r="S13" s="1" t="s">
        <v>14</v>
      </c>
      <c r="T13" s="18" t="s">
        <v>19</v>
      </c>
    </row>
    <row r="14" spans="1:21" ht="15.75" thickBot="1">
      <c r="A14" s="57" t="s">
        <v>20</v>
      </c>
      <c r="B14" s="46">
        <f>B12+B13</f>
        <v>3.2671568097509289E-3</v>
      </c>
      <c r="C14" s="47">
        <f t="shared" ref="C14:F14" si="0">C12+C13</f>
        <v>1.244948974278318E-3</v>
      </c>
      <c r="D14" s="47">
        <f t="shared" si="0"/>
        <v>5.3289721643826763E-3</v>
      </c>
      <c r="E14" s="47">
        <f t="shared" si="0"/>
        <v>5.9254441424099044E-3</v>
      </c>
      <c r="F14" s="48">
        <f t="shared" si="0"/>
        <v>8.8714674616617792E-3</v>
      </c>
      <c r="G14" s="1" t="s">
        <v>14</v>
      </c>
      <c r="H14" s="18" t="s">
        <v>21</v>
      </c>
      <c r="M14" s="57" t="s">
        <v>20</v>
      </c>
      <c r="N14" s="52">
        <f>N12+N13</f>
        <v>1.8602325267042634E-3</v>
      </c>
      <c r="O14" s="53">
        <f t="shared" ref="O14:R14" si="1">O12+O13</f>
        <v>3.1587033144922921E-3</v>
      </c>
      <c r="P14" s="53">
        <f t="shared" si="1"/>
        <v>4.8288379438153261E-3</v>
      </c>
      <c r="Q14" s="53">
        <f t="shared" si="1"/>
        <v>2.8165902124584964E-3</v>
      </c>
      <c r="R14" s="54">
        <f t="shared" si="1"/>
        <v>2.5362291495737229E-3</v>
      </c>
      <c r="S14" s="1" t="s">
        <v>14</v>
      </c>
      <c r="T14" s="18" t="s">
        <v>22</v>
      </c>
    </row>
    <row r="16" spans="1:21" ht="15.75" thickBot="1">
      <c r="A16" s="58" t="s">
        <v>23</v>
      </c>
      <c r="B16" s="49">
        <f>B2/B8</f>
        <v>89.445438282647572</v>
      </c>
      <c r="C16" s="50">
        <f>C2/C8</f>
        <v>88.731144631765758</v>
      </c>
      <c r="D16" s="50">
        <f>D2/D8</f>
        <v>90.854027861901884</v>
      </c>
      <c r="E16" s="50">
        <f>E2/E8</f>
        <v>91.407678244972573</v>
      </c>
      <c r="F16" s="51">
        <f>F2/F8</f>
        <v>91.675834250091683</v>
      </c>
      <c r="M16" s="58" t="s">
        <v>23</v>
      </c>
      <c r="N16" s="49">
        <f>N2/N8</f>
        <v>73.421439060205572</v>
      </c>
      <c r="O16" s="50">
        <f>O2/O8</f>
        <v>77.942322681215884</v>
      </c>
      <c r="P16" s="50">
        <f>P2/P8</f>
        <v>72.921730675741372</v>
      </c>
      <c r="Q16" s="50">
        <f>Q2/Q8</f>
        <v>69.32409012131717</v>
      </c>
      <c r="R16" s="51">
        <f>R2/R8</f>
        <v>67.349137931034491</v>
      </c>
    </row>
    <row r="17" spans="1:18" ht="15.75" thickBot="1">
      <c r="A17" s="59" t="s">
        <v>24</v>
      </c>
      <c r="B17" s="52">
        <f>(B2*B14+0.05*B8)/B9</f>
        <v>3.0611115633837964</v>
      </c>
      <c r="C17" s="53">
        <f>(C2*C14+0.05*C8)/C9</f>
        <v>0.71191547247496845</v>
      </c>
      <c r="D17" s="53">
        <f>(D2*D14+0.05*D8)/D9</f>
        <v>1.6176819669840194</v>
      </c>
      <c r="E17" s="53">
        <f>(E2*E14+0.05*E8)/E9</f>
        <v>1.3519906115812657</v>
      </c>
      <c r="F17" s="54">
        <f>(F2*F14+0.05*F8)/F9</f>
        <v>1.5828734517242149</v>
      </c>
      <c r="L17" s="5"/>
      <c r="M17" s="59" t="s">
        <v>24</v>
      </c>
      <c r="N17" s="52">
        <f>(N2*N14+0.05*N8)/N9</f>
        <v>1.3699041783937538</v>
      </c>
      <c r="O17" s="53">
        <f>(O2*O14+0.05*O8)/O9</f>
        <v>1.1543128331737504</v>
      </c>
      <c r="P17" s="53">
        <f>(P2*P14+0.05*P8)/P9</f>
        <v>0.97746042784565401</v>
      </c>
      <c r="Q17" s="53">
        <f>(Q2*Q14+0.05*Q8)/Q9</f>
        <v>0.42505641893118312</v>
      </c>
      <c r="R17" s="54">
        <f>(R2*R14+0.05*R8)/R9</f>
        <v>0.29743109754761715</v>
      </c>
    </row>
    <row r="18" spans="1:18">
      <c r="A18" s="7"/>
      <c r="B18" s="4"/>
      <c r="M18" s="7"/>
      <c r="N18" s="4"/>
    </row>
    <row r="19" spans="1:18">
      <c r="A19" s="7"/>
      <c r="B19" s="67" t="s">
        <v>25</v>
      </c>
      <c r="D19" s="8" t="s">
        <v>26</v>
      </c>
      <c r="E19" s="8"/>
      <c r="M19" s="7"/>
      <c r="N19" s="67" t="s">
        <v>25</v>
      </c>
      <c r="P19" s="8" t="s">
        <v>26</v>
      </c>
      <c r="Q19" s="8"/>
    </row>
    <row r="20" spans="1:18">
      <c r="A20" s="7"/>
      <c r="B20" s="10">
        <f>AVERAGE(B16:F16)</f>
        <v>90.4228246542759</v>
      </c>
      <c r="C20" s="1" t="s">
        <v>27</v>
      </c>
      <c r="D20" s="10">
        <f>AVERAGE(B17:F17)</f>
        <v>1.6651146132296528</v>
      </c>
      <c r="E20" t="s">
        <v>28</v>
      </c>
      <c r="M20" s="7"/>
      <c r="N20" s="10">
        <f>AVERAGE(N16:R16)</f>
        <v>72.191744093902898</v>
      </c>
      <c r="O20" s="1" t="s">
        <v>27</v>
      </c>
      <c r="P20" s="10">
        <f>AVERAGE(N17:R17)</f>
        <v>0.84483299117839172</v>
      </c>
      <c r="Q20" t="s">
        <v>28</v>
      </c>
    </row>
    <row r="21" spans="1:18">
      <c r="A21" s="7"/>
      <c r="B2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6"/>
  <sheetViews>
    <sheetView workbookViewId="0">
      <selection activeCell="R29" sqref="R29"/>
    </sheetView>
  </sheetViews>
  <sheetFormatPr defaultRowHeight="15"/>
  <sheetData>
    <row r="1" spans="1:2">
      <c r="A1" t="s">
        <v>29</v>
      </c>
      <c r="B1" t="s">
        <v>30</v>
      </c>
    </row>
    <row r="2" spans="1:2">
      <c r="A2">
        <v>0.112</v>
      </c>
      <c r="B2">
        <v>10</v>
      </c>
    </row>
    <row r="3" spans="1:2">
      <c r="A3">
        <v>0.22500000000000001</v>
      </c>
      <c r="B3">
        <v>20</v>
      </c>
    </row>
    <row r="4" spans="1:2">
      <c r="A4">
        <v>0.33</v>
      </c>
      <c r="B4">
        <v>30</v>
      </c>
    </row>
    <row r="5" spans="1:2">
      <c r="A5">
        <v>0.438</v>
      </c>
      <c r="B5">
        <v>40</v>
      </c>
    </row>
    <row r="6" spans="1:2">
      <c r="A6">
        <v>0.54500000000000004</v>
      </c>
      <c r="B6">
        <v>50</v>
      </c>
    </row>
  </sheetData>
  <pageMargins left="0.511811024" right="0.511811024" top="0.78740157499999996" bottom="0.78740157499999996" header="0.31496062000000002" footer="0.31496062000000002"/>
  <pageSetup paperSize="9" fitToHeight="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22148-60E9-428F-8461-9BAAD7F5EA74}">
  <dimension ref="A1:W27"/>
  <sheetViews>
    <sheetView topLeftCell="L1" workbookViewId="0">
      <selection activeCell="Q10" sqref="Q10"/>
    </sheetView>
  </sheetViews>
  <sheetFormatPr defaultRowHeight="15"/>
  <cols>
    <col min="1" max="1" width="8.5703125" customWidth="1"/>
    <col min="2" max="2" width="11.140625" customWidth="1"/>
    <col min="3" max="3" width="9.5703125" customWidth="1"/>
    <col min="4" max="4" width="8.85546875" customWidth="1"/>
    <col min="5" max="5" width="9.28515625" bestFit="1" customWidth="1"/>
    <col min="6" max="6" width="7.85546875" customWidth="1"/>
    <col min="7" max="7" width="9.7109375" customWidth="1"/>
    <col min="9" max="9" width="5.7109375" customWidth="1"/>
    <col min="13" max="13" width="6.28515625" customWidth="1"/>
    <col min="14" max="14" width="10.28515625" bestFit="1" customWidth="1"/>
    <col min="15" max="15" width="8.85546875" customWidth="1"/>
    <col min="16" max="16" width="10.28515625" bestFit="1" customWidth="1"/>
    <col min="17" max="17" width="16.5703125" customWidth="1"/>
    <col min="18" max="18" width="10.28515625" bestFit="1" customWidth="1"/>
  </cols>
  <sheetData>
    <row r="1" spans="1:23">
      <c r="B1" s="15"/>
      <c r="C1" s="16"/>
      <c r="D1" s="16" t="s">
        <v>0</v>
      </c>
      <c r="E1" s="16"/>
      <c r="F1" s="17"/>
      <c r="G1" s="17"/>
      <c r="P1" t="s">
        <v>31</v>
      </c>
      <c r="Q1" t="s">
        <v>32</v>
      </c>
      <c r="R1" s="78"/>
      <c r="S1" s="75"/>
      <c r="T1" s="75"/>
    </row>
    <row r="2" spans="1:23">
      <c r="A2" s="63" t="s">
        <v>1</v>
      </c>
      <c r="B2" s="60">
        <v>10</v>
      </c>
      <c r="C2" s="61">
        <v>20</v>
      </c>
      <c r="D2" s="61">
        <v>30</v>
      </c>
      <c r="E2" s="61">
        <v>40</v>
      </c>
      <c r="F2" s="62">
        <v>50</v>
      </c>
      <c r="G2" s="62">
        <v>60</v>
      </c>
      <c r="J2" t="s">
        <v>33</v>
      </c>
      <c r="N2" s="77"/>
      <c r="O2" s="78" t="s">
        <v>34</v>
      </c>
      <c r="P2" s="80">
        <f>(2*B2)/B9</f>
        <v>161.41528925619838</v>
      </c>
      <c r="Q2" s="93">
        <f>(2/B10)*(0.05*B9 + B2*2*B8*B14)</f>
        <v>2.5942768907329605</v>
      </c>
      <c r="S2" s="78"/>
      <c r="T2" s="78"/>
      <c r="U2" s="77"/>
      <c r="V2" s="77"/>
    </row>
    <row r="3" spans="1:23">
      <c r="A3" s="30" t="s">
        <v>2</v>
      </c>
      <c r="B3" s="64">
        <v>0.35099999999999998</v>
      </c>
      <c r="C3" s="65">
        <v>0.49199999999999999</v>
      </c>
      <c r="D3" s="65">
        <v>0.60899999999999999</v>
      </c>
      <c r="E3" s="65">
        <v>0.69399999999999995</v>
      </c>
      <c r="F3" s="66">
        <v>0.76700000000000002</v>
      </c>
      <c r="G3" s="66">
        <v>0.84299999999999997</v>
      </c>
      <c r="J3" s="2" t="s">
        <v>3</v>
      </c>
      <c r="K3" s="3">
        <f>COUNT(B3:B7)</f>
        <v>5</v>
      </c>
      <c r="N3" s="77"/>
      <c r="O3" s="78" t="s">
        <v>35</v>
      </c>
      <c r="P3" s="80">
        <f>(2*C2)/C9</f>
        <v>162.8536121908306</v>
      </c>
      <c r="Q3" s="93">
        <f>(2/C10)*(0.05*C9 + C2*2*C8*C14)</f>
        <v>2.0951062753834102</v>
      </c>
      <c r="S3" s="78"/>
      <c r="T3" s="78"/>
      <c r="U3" s="77"/>
      <c r="V3" s="79"/>
      <c r="W3" s="3"/>
    </row>
    <row r="4" spans="1:23">
      <c r="A4" s="31" t="s">
        <v>4</v>
      </c>
      <c r="B4" s="19">
        <v>0.35399999999999998</v>
      </c>
      <c r="C4" s="11">
        <v>0.5</v>
      </c>
      <c r="D4" s="11">
        <v>0.60399999999999998</v>
      </c>
      <c r="E4" s="11">
        <v>0.68600000000000005</v>
      </c>
      <c r="F4" s="20">
        <v>0.76500000000000001</v>
      </c>
      <c r="G4" s="20">
        <v>0.84</v>
      </c>
      <c r="J4" s="2" t="s">
        <v>5</v>
      </c>
      <c r="K4" s="3">
        <f>K3-1</f>
        <v>4</v>
      </c>
      <c r="N4" s="77"/>
      <c r="O4" s="78" t="s">
        <v>36</v>
      </c>
      <c r="P4" s="80">
        <f>(2*D2)/D9</f>
        <v>163.49057166222281</v>
      </c>
      <c r="Q4" s="93">
        <f>(2/D10)*(0.05*D9 + D2*2*D8*D14)</f>
        <v>1.7056821123737786</v>
      </c>
      <c r="R4" s="78"/>
      <c r="S4" s="78"/>
      <c r="T4" s="78"/>
      <c r="U4" s="77"/>
      <c r="V4" s="79"/>
      <c r="W4" s="3"/>
    </row>
    <row r="5" spans="1:23">
      <c r="A5" s="32" t="s">
        <v>6</v>
      </c>
      <c r="B5" s="21">
        <v>0.35399999999999998</v>
      </c>
      <c r="C5" s="12">
        <v>0.49199999999999999</v>
      </c>
      <c r="D5" s="12">
        <v>0.60099999999999998</v>
      </c>
      <c r="E5" s="12">
        <v>0.69199999999999995</v>
      </c>
      <c r="F5" s="22">
        <v>0.76200000000000001</v>
      </c>
      <c r="G5" s="22">
        <v>0.83899999999999997</v>
      </c>
      <c r="J5" s="2" t="s">
        <v>7</v>
      </c>
      <c r="K5">
        <f>SQRT(K3)</f>
        <v>2.2360679774997898</v>
      </c>
      <c r="N5" s="77"/>
      <c r="O5" s="78" t="s">
        <v>37</v>
      </c>
      <c r="P5" s="80">
        <f>(2*E2)/E9</f>
        <v>168.03192606595249</v>
      </c>
      <c r="Q5" s="93">
        <f>(2/E10)*(0.05*E9 + E2*2*E8*E14)</f>
        <v>1.5120779293440976</v>
      </c>
      <c r="R5" s="78"/>
      <c r="S5" s="78"/>
      <c r="T5" s="78"/>
      <c r="U5" s="77"/>
      <c r="V5" s="79"/>
    </row>
    <row r="6" spans="1:23">
      <c r="A6" s="33" t="s">
        <v>8</v>
      </c>
      <c r="B6" s="23">
        <v>0.35199999999999998</v>
      </c>
      <c r="C6" s="13">
        <v>0.497</v>
      </c>
      <c r="D6" s="13">
        <v>0.60499999999999998</v>
      </c>
      <c r="E6" s="13">
        <v>0.68600000000000005</v>
      </c>
      <c r="F6" s="24">
        <v>0.76100000000000001</v>
      </c>
      <c r="G6" s="24">
        <v>0.83399999999999996</v>
      </c>
      <c r="N6" s="77"/>
      <c r="O6" s="78" t="s">
        <v>38</v>
      </c>
      <c r="P6" s="80">
        <f>(2*F2)/F9</f>
        <v>171.77142719725711</v>
      </c>
      <c r="Q6" s="93">
        <f>(2/F10)*(0.05*F9 + F2*2*F8*F14)</f>
        <v>1.2090819579001335</v>
      </c>
      <c r="R6" s="78"/>
      <c r="S6" s="78"/>
      <c r="T6" s="78"/>
      <c r="U6" s="77"/>
      <c r="V6" s="77"/>
    </row>
    <row r="7" spans="1:23">
      <c r="A7" s="34" t="s">
        <v>9</v>
      </c>
      <c r="B7" s="25">
        <v>0.34899999999999998</v>
      </c>
      <c r="C7" s="14">
        <v>0.497</v>
      </c>
      <c r="D7" s="14">
        <v>0.61</v>
      </c>
      <c r="E7" s="14">
        <v>0.69199999999999995</v>
      </c>
      <c r="F7" s="26">
        <v>0.76</v>
      </c>
      <c r="G7" s="26">
        <v>0.83799999999999997</v>
      </c>
      <c r="J7" t="s">
        <v>10</v>
      </c>
      <c r="K7">
        <v>1E-3</v>
      </c>
      <c r="N7" s="77"/>
      <c r="O7" s="78" t="s">
        <v>39</v>
      </c>
      <c r="P7" s="80">
        <f>(2*G2)/G9</f>
        <v>170.55497907972625</v>
      </c>
      <c r="Q7" s="93">
        <f>(2/G10)*(0.05*G9 + G2*2*G8*G14)</f>
        <v>1.143691866765542</v>
      </c>
      <c r="R7" s="78"/>
      <c r="S7" s="78"/>
      <c r="T7" s="78"/>
      <c r="U7" s="77"/>
      <c r="V7" s="77"/>
    </row>
    <row r="8" spans="1:23">
      <c r="A8" s="71" t="s">
        <v>11</v>
      </c>
      <c r="B8" s="72">
        <f>AVERAGE(B3:B7)</f>
        <v>0.35199999999999998</v>
      </c>
      <c r="C8" s="73">
        <f>AVERAGE(C3:C7)</f>
        <v>0.49559999999999993</v>
      </c>
      <c r="D8" s="73">
        <f>AVERAGE(D3:D7)</f>
        <v>0.60580000000000001</v>
      </c>
      <c r="E8" s="73">
        <f>AVERAGE(E3:E7)</f>
        <v>0.69000000000000006</v>
      </c>
      <c r="F8" s="74">
        <f>AVERAGE(F3:F7)</f>
        <v>0.76300000000000012</v>
      </c>
      <c r="G8" s="74">
        <f>AVERAGE(G3:G7)</f>
        <v>0.83879999999999999</v>
      </c>
      <c r="N8" s="77"/>
      <c r="O8" s="78"/>
      <c r="P8" s="80"/>
      <c r="Q8" s="80"/>
      <c r="R8" s="80"/>
      <c r="S8" s="80"/>
      <c r="T8" s="80"/>
      <c r="U8" s="77"/>
      <c r="V8" s="77"/>
    </row>
    <row r="9" spans="1:23">
      <c r="A9" s="1" t="s">
        <v>12</v>
      </c>
      <c r="B9" s="88">
        <f>B8^(2)</f>
        <v>0.12390399999999999</v>
      </c>
      <c r="C9" s="88">
        <f>C8^(2)</f>
        <v>0.24561935999999993</v>
      </c>
      <c r="D9" s="88">
        <f>D8^(2)</f>
        <v>0.36699364000000001</v>
      </c>
      <c r="E9" s="88">
        <f>E8^(2)</f>
        <v>0.47610000000000008</v>
      </c>
      <c r="F9" s="88">
        <f>F8^(2)</f>
        <v>0.58216900000000016</v>
      </c>
      <c r="G9" s="88">
        <f>G8^(2)</f>
        <v>0.70358544000000001</v>
      </c>
      <c r="N9" s="77"/>
      <c r="O9" s="78" t="s">
        <v>40</v>
      </c>
      <c r="P9" s="81"/>
      <c r="Q9" s="81"/>
      <c r="R9" s="81"/>
      <c r="S9" s="81"/>
      <c r="T9" s="81"/>
      <c r="U9" s="77"/>
      <c r="V9" s="77"/>
    </row>
    <row r="10" spans="1:23">
      <c r="A10" s="1" t="s">
        <v>41</v>
      </c>
      <c r="B10" s="88">
        <f>B9^(2)</f>
        <v>1.5352201215999997E-2</v>
      </c>
      <c r="C10" s="88">
        <f t="shared" ref="C10:G10" si="0">C9^(2)</f>
        <v>6.0328870006809567E-2</v>
      </c>
      <c r="D10" s="88">
        <f t="shared" si="0"/>
        <v>0.13468433180044961</v>
      </c>
      <c r="E10" s="88">
        <f t="shared" si="0"/>
        <v>0.22667121000000007</v>
      </c>
      <c r="F10" s="88">
        <f t="shared" si="0"/>
        <v>0.33892074456100019</v>
      </c>
      <c r="G10" s="88">
        <f t="shared" si="0"/>
        <v>0.49503247137999362</v>
      </c>
      <c r="N10" s="77"/>
      <c r="O10" s="86">
        <f>AVERAGE(P2:P7)</f>
        <v>166.3529675753646</v>
      </c>
      <c r="P10" s="77" t="s">
        <v>42</v>
      </c>
      <c r="Q10" s="80">
        <f>AVERAGE(Q2:Q7)</f>
        <v>1.70998617208332</v>
      </c>
      <c r="R10" s="77"/>
      <c r="S10" s="77"/>
      <c r="T10" s="77"/>
      <c r="U10" s="77"/>
      <c r="V10" s="77"/>
    </row>
    <row r="11" spans="1:23">
      <c r="A11" s="55" t="s">
        <v>13</v>
      </c>
      <c r="B11" s="36">
        <f>STDEV(B3:B7)</f>
        <v>2.1213203435596446E-3</v>
      </c>
      <c r="C11" s="37">
        <f>STDEV(C3:C7)</f>
        <v>3.5071355833500395E-3</v>
      </c>
      <c r="D11" s="37">
        <f>STDEV(D3:D7)</f>
        <v>3.7013511046643526E-3</v>
      </c>
      <c r="E11" s="37">
        <f>STDEV(E3:E7)</f>
        <v>3.7416573867738853E-3</v>
      </c>
      <c r="F11" s="38">
        <f>STDEV(F3:F7)</f>
        <v>2.9154759474226528E-3</v>
      </c>
      <c r="G11" s="38">
        <f>STDEV(G3:G7)</f>
        <v>3.2710854467592281E-3</v>
      </c>
      <c r="H11" t="s">
        <v>43</v>
      </c>
      <c r="I11" s="1" t="s">
        <v>14</v>
      </c>
      <c r="J11" s="18" t="s">
        <v>15</v>
      </c>
      <c r="M11" s="6"/>
      <c r="N11" s="77"/>
      <c r="O11" s="78"/>
      <c r="P11" s="82"/>
      <c r="Q11" s="82"/>
      <c r="R11" s="82"/>
      <c r="S11" s="82"/>
      <c r="T11" s="82"/>
      <c r="U11" s="78"/>
      <c r="V11" s="18"/>
    </row>
    <row r="12" spans="1:23">
      <c r="A12" s="56" t="s">
        <v>16</v>
      </c>
      <c r="B12" s="39">
        <f>B11/K5</f>
        <v>9.4868329805051469E-4</v>
      </c>
      <c r="C12" s="41">
        <f>C11/K5</f>
        <v>1.5684387141358135E-3</v>
      </c>
      <c r="D12" s="41">
        <f>D11/K5</f>
        <v>1.6552945357246863E-3</v>
      </c>
      <c r="E12" s="41">
        <f>E11/K5</f>
        <v>1.6733200530681259E-3</v>
      </c>
      <c r="F12" s="42">
        <f>F11/K5</f>
        <v>1.3038404810405309E-3</v>
      </c>
      <c r="G12" s="42">
        <f>G11/K5</f>
        <v>1.4628738838327806E-3</v>
      </c>
      <c r="H12" t="s">
        <v>44</v>
      </c>
      <c r="I12" s="1" t="s">
        <v>14</v>
      </c>
      <c r="J12" s="18" t="s">
        <v>17</v>
      </c>
      <c r="N12" s="77"/>
      <c r="O12" s="78"/>
      <c r="P12" s="80"/>
      <c r="Q12" s="80"/>
      <c r="R12" s="80"/>
      <c r="S12" s="80"/>
      <c r="T12" s="80"/>
      <c r="U12" s="78"/>
      <c r="V12" s="18"/>
    </row>
    <row r="13" spans="1:23">
      <c r="A13" s="56" t="s">
        <v>18</v>
      </c>
      <c r="B13" s="43">
        <v>1E-3</v>
      </c>
      <c r="C13" s="44">
        <v>1E-3</v>
      </c>
      <c r="D13" s="44">
        <v>1E-3</v>
      </c>
      <c r="E13" s="44">
        <v>1E-3</v>
      </c>
      <c r="F13" s="45">
        <v>1E-3</v>
      </c>
      <c r="G13" s="45">
        <v>1E-3</v>
      </c>
      <c r="H13" t="s">
        <v>45</v>
      </c>
      <c r="I13" s="1" t="s">
        <v>14</v>
      </c>
      <c r="J13" s="18" t="s">
        <v>19</v>
      </c>
      <c r="N13" s="77"/>
      <c r="O13" s="78"/>
      <c r="P13" s="78"/>
      <c r="Q13" s="78"/>
      <c r="R13" s="78"/>
      <c r="S13" s="78"/>
      <c r="T13" s="78"/>
      <c r="U13" s="78"/>
      <c r="V13" s="18"/>
    </row>
    <row r="14" spans="1:23">
      <c r="A14" s="57" t="s">
        <v>20</v>
      </c>
      <c r="B14" s="46">
        <f>B12+B13</f>
        <v>1.9486832980505147E-3</v>
      </c>
      <c r="C14" s="47">
        <f t="shared" ref="C14:F14" si="1">C12+C13</f>
        <v>2.5684387141358136E-3</v>
      </c>
      <c r="D14" s="47">
        <f t="shared" si="1"/>
        <v>2.6552945357246863E-3</v>
      </c>
      <c r="E14" s="47">
        <f t="shared" si="1"/>
        <v>2.6733200530681261E-3</v>
      </c>
      <c r="F14" s="48">
        <f t="shared" si="1"/>
        <v>2.3038404810405309E-3</v>
      </c>
      <c r="G14" s="48">
        <f>G12+G13</f>
        <v>2.4628738838327804E-3</v>
      </c>
      <c r="H14" t="s">
        <v>45</v>
      </c>
      <c r="I14" s="1" t="s">
        <v>14</v>
      </c>
      <c r="J14" s="18" t="s">
        <v>21</v>
      </c>
      <c r="N14" s="77" t="s">
        <v>46</v>
      </c>
      <c r="O14" s="78"/>
      <c r="P14" s="80"/>
      <c r="Q14" s="80"/>
      <c r="R14" s="80"/>
      <c r="S14" s="80"/>
      <c r="T14" s="80"/>
      <c r="U14" s="78"/>
      <c r="V14" s="18"/>
    </row>
    <row r="15" spans="1:23">
      <c r="A15" s="90" t="s">
        <v>47</v>
      </c>
      <c r="B15" s="91"/>
      <c r="N15" s="77"/>
      <c r="O15" s="77"/>
      <c r="P15" s="77"/>
      <c r="Q15" s="77"/>
      <c r="R15" s="77"/>
      <c r="S15" s="77"/>
      <c r="T15" s="77"/>
      <c r="U15" s="77"/>
      <c r="V15" s="77"/>
    </row>
    <row r="16" spans="1:23">
      <c r="N16" s="77"/>
      <c r="O16" s="78"/>
      <c r="P16" s="83"/>
      <c r="Q16" s="83"/>
      <c r="R16" s="83"/>
      <c r="S16" s="83"/>
      <c r="T16" s="83"/>
      <c r="U16" s="77"/>
      <c r="V16" s="77"/>
    </row>
    <row r="17" spans="1:22">
      <c r="A17" s="58" t="s">
        <v>23</v>
      </c>
      <c r="B17" s="49">
        <f>B2/B8</f>
        <v>28.40909090909091</v>
      </c>
      <c r="C17" s="50">
        <f>C2/C8</f>
        <v>40.355125100887818</v>
      </c>
      <c r="D17" s="50">
        <f>D2/D8</f>
        <v>49.521294156487286</v>
      </c>
      <c r="E17" s="50">
        <f>E2/E8</f>
        <v>57.971014492753618</v>
      </c>
      <c r="F17" s="51">
        <f>F2/F8</f>
        <v>65.530799475753597</v>
      </c>
      <c r="G17" s="51">
        <f>G2/G8</f>
        <v>71.530758226037193</v>
      </c>
      <c r="N17" s="84"/>
      <c r="O17" s="78"/>
      <c r="P17" s="80"/>
      <c r="Q17" s="80"/>
      <c r="R17" s="80"/>
      <c r="S17" s="80"/>
      <c r="T17" s="80"/>
      <c r="U17" s="77"/>
      <c r="V17" s="77"/>
    </row>
    <row r="18" spans="1:22">
      <c r="A18" s="59" t="s">
        <v>24</v>
      </c>
      <c r="B18" s="52">
        <f>(B2*B14+0.05*B8)/B9</f>
        <v>0.29931909365722781</v>
      </c>
      <c r="C18" s="53">
        <f>(C2*C14+0.05*C8)/C9</f>
        <v>0.31002757389611424</v>
      </c>
      <c r="D18" s="53">
        <f>(D2*D14+0.05*D8)/D9</f>
        <v>0.29959330104941484</v>
      </c>
      <c r="E18" s="53">
        <f>(E2*E14+0.05*E8)/E9</f>
        <v>0.29706532686982784</v>
      </c>
      <c r="F18" s="54">
        <f>(F2*F14+0.05*F8)/F9</f>
        <v>0.26339778320732726</v>
      </c>
      <c r="G18" s="54">
        <f>(G2*G14+0.05*G8)/G9</f>
        <v>0.26963666705491635</v>
      </c>
      <c r="N18" s="77"/>
      <c r="O18" s="85"/>
      <c r="P18" s="86"/>
      <c r="Q18" s="77"/>
      <c r="R18" s="77"/>
      <c r="S18" s="77"/>
      <c r="T18" s="77"/>
      <c r="U18" s="77"/>
      <c r="V18" s="77"/>
    </row>
    <row r="19" spans="1:22">
      <c r="A19" s="7"/>
      <c r="B19" s="4"/>
      <c r="N19" s="77"/>
      <c r="O19" s="85"/>
      <c r="P19" s="87"/>
      <c r="Q19" s="77"/>
      <c r="R19" s="77"/>
      <c r="S19" s="77"/>
      <c r="T19" s="77"/>
      <c r="U19" s="77"/>
      <c r="V19" s="77"/>
    </row>
    <row r="20" spans="1:22">
      <c r="A20" s="7"/>
      <c r="B20" s="67" t="s">
        <v>25</v>
      </c>
      <c r="D20" s="8" t="s">
        <v>26</v>
      </c>
      <c r="E20" s="8"/>
      <c r="N20" s="77"/>
      <c r="O20" s="85"/>
      <c r="P20" s="83"/>
      <c r="Q20" s="78"/>
      <c r="R20" s="83"/>
      <c r="S20" s="77"/>
      <c r="T20" s="77"/>
      <c r="U20" s="77"/>
      <c r="V20" s="77"/>
    </row>
    <row r="21" spans="1:22">
      <c r="A21" s="7"/>
      <c r="B21" s="10">
        <f>AVERAGE(B17:G17)</f>
        <v>52.219680393501733</v>
      </c>
      <c r="C21" s="1" t="s">
        <v>27</v>
      </c>
      <c r="D21" s="10">
        <f>AVERAGE(B18:G18)</f>
        <v>0.28983995762247144</v>
      </c>
      <c r="E21" t="s">
        <v>48</v>
      </c>
      <c r="N21" s="77"/>
      <c r="O21" s="77"/>
      <c r="P21" s="77"/>
      <c r="Q21" s="77"/>
      <c r="R21" s="77"/>
      <c r="S21" s="77"/>
      <c r="T21" s="77"/>
      <c r="U21" s="77"/>
      <c r="V21" s="77"/>
    </row>
    <row r="22" spans="1:22">
      <c r="A22" s="89" t="s">
        <v>49</v>
      </c>
      <c r="B22" s="4"/>
      <c r="N22" s="77"/>
      <c r="O22" s="77"/>
      <c r="P22" s="77"/>
      <c r="Q22" s="77"/>
      <c r="R22" s="77"/>
      <c r="S22" s="77"/>
      <c r="T22" s="77"/>
      <c r="U22" s="77"/>
      <c r="V22" s="77"/>
    </row>
    <row r="23" spans="1:22">
      <c r="A23" s="58" t="s">
        <v>23</v>
      </c>
      <c r="B23" s="49">
        <f>2*B17</f>
        <v>56.81818181818182</v>
      </c>
      <c r="C23" s="49">
        <f>2*C17</f>
        <v>80.710250201775636</v>
      </c>
      <c r="D23" s="49">
        <f t="shared" ref="C23:G23" si="2">2*D17</f>
        <v>99.042588312974573</v>
      </c>
      <c r="E23" s="49">
        <f t="shared" si="2"/>
        <v>115.94202898550724</v>
      </c>
      <c r="F23" s="49">
        <f t="shared" si="2"/>
        <v>131.06159895150719</v>
      </c>
      <c r="G23" s="49">
        <f t="shared" si="2"/>
        <v>143.06151645207439</v>
      </c>
    </row>
    <row r="24" spans="1:22">
      <c r="A24" s="59" t="s">
        <v>24</v>
      </c>
      <c r="B24" s="52">
        <f>2*B18</f>
        <v>0.59863818731445562</v>
      </c>
      <c r="C24" s="52">
        <f t="shared" ref="C24:G24" si="3">2*C18</f>
        <v>0.62005514779222848</v>
      </c>
      <c r="D24" s="52">
        <f t="shared" si="3"/>
        <v>0.59918660209882968</v>
      </c>
      <c r="E24" s="52">
        <f t="shared" si="3"/>
        <v>0.59413065373965568</v>
      </c>
      <c r="F24" s="52">
        <f t="shared" si="3"/>
        <v>0.52679556641465453</v>
      </c>
      <c r="G24" s="52">
        <f t="shared" si="3"/>
        <v>0.53927333410983269</v>
      </c>
      <c r="J24" s="76" t="s">
        <v>50</v>
      </c>
    </row>
    <row r="25" spans="1:22">
      <c r="A25" s="7"/>
      <c r="B25" s="4"/>
    </row>
    <row r="26" spans="1:22">
      <c r="A26" s="7"/>
      <c r="B26" s="67" t="s">
        <v>25</v>
      </c>
      <c r="D26" s="8" t="s">
        <v>26</v>
      </c>
      <c r="E26" s="8"/>
    </row>
    <row r="27" spans="1:22">
      <c r="A27" s="7"/>
      <c r="B27" s="10">
        <f>AVERAGE(B23:G23)</f>
        <v>104.43936078700347</v>
      </c>
      <c r="C27" s="1" t="s">
        <v>27</v>
      </c>
      <c r="D27" s="10">
        <f>AVERAGE(B24:G24)</f>
        <v>0.57967991524494289</v>
      </c>
      <c r="E27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5707C-B5D5-4C2A-A1FC-3C977A1FC7AA}">
  <sheetPr>
    <pageSetUpPr fitToPage="1"/>
  </sheetPr>
  <dimension ref="A1:O43"/>
  <sheetViews>
    <sheetView workbookViewId="0">
      <selection activeCell="O35" sqref="O35"/>
    </sheetView>
  </sheetViews>
  <sheetFormatPr defaultRowHeight="15"/>
  <cols>
    <col min="9" max="9" width="4.42578125" customWidth="1"/>
    <col min="15" max="15" width="10.42578125" bestFit="1" customWidth="1"/>
  </cols>
  <sheetData>
    <row r="1" spans="1:11">
      <c r="B1" s="15"/>
      <c r="C1" s="16"/>
      <c r="D1" s="16" t="s">
        <v>0</v>
      </c>
      <c r="E1" s="16"/>
      <c r="F1" s="17"/>
      <c r="G1" s="17"/>
    </row>
    <row r="2" spans="1:11">
      <c r="A2" s="63" t="s">
        <v>1</v>
      </c>
      <c r="B2" s="60">
        <v>30</v>
      </c>
      <c r="C2" s="61">
        <v>40</v>
      </c>
      <c r="D2" s="61">
        <v>50</v>
      </c>
      <c r="E2" s="61">
        <v>60</v>
      </c>
      <c r="F2" s="62">
        <v>70</v>
      </c>
      <c r="G2" s="62">
        <v>80</v>
      </c>
      <c r="J2" t="s">
        <v>33</v>
      </c>
    </row>
    <row r="3" spans="1:11">
      <c r="A3" s="30" t="s">
        <v>2</v>
      </c>
      <c r="B3" s="64">
        <v>0.94599999999999995</v>
      </c>
      <c r="C3" s="65">
        <v>1.1100000000000001</v>
      </c>
      <c r="D3" s="65">
        <v>1.2330000000000001</v>
      </c>
      <c r="E3" s="65">
        <v>1.36</v>
      </c>
      <c r="F3" s="66">
        <v>1.4710000000000001</v>
      </c>
      <c r="G3" s="66">
        <v>1.5589999999999999</v>
      </c>
      <c r="J3" s="2" t="s">
        <v>3</v>
      </c>
      <c r="K3" s="3">
        <f>COUNT(B3:B7)</f>
        <v>5</v>
      </c>
    </row>
    <row r="4" spans="1:11">
      <c r="A4" s="31" t="s">
        <v>4</v>
      </c>
      <c r="B4" s="19">
        <v>0.94299999999999995</v>
      </c>
      <c r="C4" s="11">
        <v>1.103</v>
      </c>
      <c r="D4" s="11">
        <v>1.2350000000000001</v>
      </c>
      <c r="E4" s="11">
        <v>1.3620000000000001</v>
      </c>
      <c r="F4" s="20">
        <v>1.464</v>
      </c>
      <c r="G4" s="20">
        <v>1.556</v>
      </c>
      <c r="J4" s="2" t="s">
        <v>5</v>
      </c>
      <c r="K4" s="3">
        <f>K3-1</f>
        <v>4</v>
      </c>
    </row>
    <row r="5" spans="1:11">
      <c r="A5" s="32" t="s">
        <v>6</v>
      </c>
      <c r="B5" s="21">
        <v>0.93899999999999995</v>
      </c>
      <c r="C5" s="12">
        <v>1.1060000000000001</v>
      </c>
      <c r="D5" s="12">
        <v>1.236</v>
      </c>
      <c r="E5" s="12">
        <v>1.3660000000000001</v>
      </c>
      <c r="F5" s="22">
        <v>1.4379999999999999</v>
      </c>
      <c r="G5" s="22">
        <v>1.5620000000000001</v>
      </c>
      <c r="J5" s="2" t="s">
        <v>7</v>
      </c>
      <c r="K5">
        <f>SQRT(K3)</f>
        <v>2.2360679774997898</v>
      </c>
    </row>
    <row r="6" spans="1:11">
      <c r="A6" s="33" t="s">
        <v>8</v>
      </c>
      <c r="B6" s="23">
        <v>0.94099999999999995</v>
      </c>
      <c r="C6" s="13">
        <v>1.1100000000000001</v>
      </c>
      <c r="D6" s="13">
        <v>1.234</v>
      </c>
      <c r="E6" s="13">
        <v>1.361</v>
      </c>
      <c r="F6" s="24">
        <v>1.44</v>
      </c>
      <c r="G6" s="24">
        <v>1.5569999999999999</v>
      </c>
    </row>
    <row r="7" spans="1:11">
      <c r="A7" s="34" t="s">
        <v>9</v>
      </c>
      <c r="B7" s="25">
        <v>0.94399999999999995</v>
      </c>
      <c r="C7" s="14">
        <v>1.1060000000000001</v>
      </c>
      <c r="D7" s="14">
        <v>1.2330000000000001</v>
      </c>
      <c r="E7" s="14">
        <v>1.359</v>
      </c>
      <c r="F7" s="26">
        <v>1.458</v>
      </c>
      <c r="G7" s="26">
        <v>1.556</v>
      </c>
      <c r="J7" t="s">
        <v>10</v>
      </c>
      <c r="K7">
        <v>1E-3</v>
      </c>
    </row>
    <row r="8" spans="1:11">
      <c r="A8" s="71" t="s">
        <v>11</v>
      </c>
      <c r="B8" s="73">
        <f>AVERAGE(B3:B7)</f>
        <v>0.94259999999999988</v>
      </c>
      <c r="C8" s="73">
        <f>AVERAGE(C3:C7)</f>
        <v>1.107</v>
      </c>
      <c r="D8" s="73">
        <f t="shared" ref="D8:E8" si="0">AVERAGE(D3:D7)</f>
        <v>1.2342</v>
      </c>
      <c r="E8" s="73">
        <f t="shared" si="0"/>
        <v>1.3616000000000001</v>
      </c>
      <c r="F8" s="73">
        <f t="shared" ref="F8" si="1">AVERAGE(F3:F7)</f>
        <v>1.4542000000000002</v>
      </c>
      <c r="G8" s="73">
        <f t="shared" ref="G8" si="2">AVERAGE(G3:G7)</f>
        <v>1.5580000000000001</v>
      </c>
    </row>
    <row r="9" spans="1:11">
      <c r="A9" s="1" t="s">
        <v>12</v>
      </c>
      <c r="B9" s="88">
        <f>B8^(2)</f>
        <v>0.88849475999999983</v>
      </c>
      <c r="C9" s="88">
        <f>C8^(2)</f>
        <v>1.225449</v>
      </c>
      <c r="D9" s="88">
        <f>D8^(2)</f>
        <v>1.52324964</v>
      </c>
      <c r="E9" s="88">
        <f>E8^(2)</f>
        <v>1.8539545600000005</v>
      </c>
      <c r="F9" s="88">
        <f>F8^(2)</f>
        <v>2.1146976400000006</v>
      </c>
      <c r="G9" s="88">
        <f>G8^(2)</f>
        <v>2.4273640000000003</v>
      </c>
    </row>
    <row r="10" spans="1:11">
      <c r="A10" s="1" t="s">
        <v>41</v>
      </c>
      <c r="B10" s="88">
        <f>B9^(2)</f>
        <v>0.78942293854745726</v>
      </c>
      <c r="C10" s="88">
        <f t="shared" ref="C10:G10" si="3">C9^(2)</f>
        <v>1.501725251601</v>
      </c>
      <c r="D10" s="88">
        <f t="shared" si="3"/>
        <v>2.3202894657601294</v>
      </c>
      <c r="E10" s="88">
        <f t="shared" si="3"/>
        <v>3.4371475105447953</v>
      </c>
      <c r="F10" s="88">
        <f t="shared" si="3"/>
        <v>4.4719461086215722</v>
      </c>
      <c r="G10" s="88">
        <f t="shared" si="3"/>
        <v>5.8920959884960018</v>
      </c>
    </row>
    <row r="11" spans="1:11">
      <c r="A11" s="55" t="s">
        <v>13</v>
      </c>
      <c r="B11" s="36">
        <f>STDEV(B3:B7)</f>
        <v>2.7018512172212617E-3</v>
      </c>
      <c r="C11" s="37">
        <f>STDEV(C3:C7)</f>
        <v>3.00000000000004E-3</v>
      </c>
      <c r="D11" s="37">
        <f>STDEV(D3:D7)</f>
        <v>1.3038404810404968E-3</v>
      </c>
      <c r="E11" s="37">
        <f>STDEV(E3:E7)</f>
        <v>2.7018512172212942E-3</v>
      </c>
      <c r="F11" s="38">
        <f>STDEV(F3:F7)</f>
        <v>1.4635573101180606E-2</v>
      </c>
      <c r="G11" s="38">
        <f>STDEV(G3:G7)</f>
        <v>2.5495097567963948E-3</v>
      </c>
      <c r="H11" t="s">
        <v>43</v>
      </c>
      <c r="I11" s="1" t="s">
        <v>14</v>
      </c>
      <c r="J11" s="18" t="s">
        <v>15</v>
      </c>
    </row>
    <row r="12" spans="1:11">
      <c r="A12" s="56" t="s">
        <v>16</v>
      </c>
      <c r="B12" s="94">
        <f>B11/K5</f>
        <v>1.2083045973594582E-3</v>
      </c>
      <c r="C12" s="95">
        <f>C11/K5</f>
        <v>1.3416407864998915E-3</v>
      </c>
      <c r="D12" s="95">
        <f>D11/K5</f>
        <v>5.8309518948451526E-4</v>
      </c>
      <c r="E12" s="95">
        <f>E11/K5</f>
        <v>1.2083045973594728E-3</v>
      </c>
      <c r="F12" s="96">
        <f>F11/K5</f>
        <v>6.5452272687814483E-3</v>
      </c>
      <c r="G12" s="96">
        <f>G11/K5</f>
        <v>1.140175425099139E-3</v>
      </c>
      <c r="H12" t="s">
        <v>44</v>
      </c>
      <c r="I12" s="1" t="s">
        <v>14</v>
      </c>
      <c r="J12" s="18" t="s">
        <v>17</v>
      </c>
    </row>
    <row r="13" spans="1:11">
      <c r="A13" s="56" t="s">
        <v>18</v>
      </c>
      <c r="B13" s="43">
        <v>1E-3</v>
      </c>
      <c r="C13" s="44">
        <v>1E-3</v>
      </c>
      <c r="D13" s="44">
        <v>1E-3</v>
      </c>
      <c r="E13" s="44">
        <v>1E-3</v>
      </c>
      <c r="F13" s="45">
        <v>1E-3</v>
      </c>
      <c r="G13" s="45">
        <v>1E-3</v>
      </c>
      <c r="H13" t="s">
        <v>45</v>
      </c>
      <c r="I13" s="1" t="s">
        <v>14</v>
      </c>
      <c r="J13" s="18" t="s">
        <v>19</v>
      </c>
    </row>
    <row r="14" spans="1:11">
      <c r="A14" s="57" t="s">
        <v>20</v>
      </c>
      <c r="B14" s="97">
        <f>B12+B13</f>
        <v>2.2083045973594582E-3</v>
      </c>
      <c r="C14" s="98">
        <f t="shared" ref="C14:F14" si="4">C12+C13</f>
        <v>2.3416407864998916E-3</v>
      </c>
      <c r="D14" s="98">
        <f t="shared" si="4"/>
        <v>1.5830951894845154E-3</v>
      </c>
      <c r="E14" s="98">
        <f t="shared" si="4"/>
        <v>2.208304597359473E-3</v>
      </c>
      <c r="F14" s="99">
        <f t="shared" si="4"/>
        <v>7.5452272687814483E-3</v>
      </c>
      <c r="G14" s="99">
        <f>G12+G13</f>
        <v>2.1401754250991393E-3</v>
      </c>
      <c r="H14" t="s">
        <v>45</v>
      </c>
      <c r="I14" s="1" t="s">
        <v>14</v>
      </c>
      <c r="J14" s="18" t="s">
        <v>21</v>
      </c>
    </row>
    <row r="16" spans="1:11">
      <c r="A16" s="92" t="s">
        <v>51</v>
      </c>
    </row>
    <row r="17" spans="1:15">
      <c r="B17" s="15"/>
      <c r="C17" s="16"/>
      <c r="D17" s="16" t="s">
        <v>0</v>
      </c>
      <c r="E17" s="16"/>
      <c r="F17" s="17"/>
      <c r="G17" s="17"/>
    </row>
    <row r="18" spans="1:15">
      <c r="A18" s="63" t="s">
        <v>1</v>
      </c>
      <c r="B18" s="60">
        <v>30</v>
      </c>
      <c r="C18" s="61">
        <v>40</v>
      </c>
      <c r="D18" s="61">
        <v>50</v>
      </c>
      <c r="E18" s="61">
        <v>60</v>
      </c>
      <c r="F18" s="62">
        <v>70</v>
      </c>
      <c r="G18" s="62">
        <v>80</v>
      </c>
      <c r="J18" t="s">
        <v>33</v>
      </c>
      <c r="N18" s="92" t="s">
        <v>52</v>
      </c>
      <c r="O18" s="4">
        <v>7.5</v>
      </c>
    </row>
    <row r="19" spans="1:15">
      <c r="A19" s="30" t="s">
        <v>2</v>
      </c>
      <c r="B19" s="64">
        <v>1.204</v>
      </c>
      <c r="C19" s="65">
        <v>1.401</v>
      </c>
      <c r="D19" s="65">
        <v>1.5760000000000001</v>
      </c>
      <c r="E19" s="65">
        <v>1.712</v>
      </c>
      <c r="F19" s="66">
        <v>1.86</v>
      </c>
      <c r="G19" s="66">
        <v>1.9750000000000001</v>
      </c>
      <c r="J19" s="2" t="s">
        <v>3</v>
      </c>
      <c r="K19" s="3">
        <f>COUNT(B19:B23)</f>
        <v>5</v>
      </c>
      <c r="N19" s="92" t="s">
        <v>53</v>
      </c>
      <c r="O19" s="4">
        <v>169.5</v>
      </c>
    </row>
    <row r="20" spans="1:15">
      <c r="A20" s="31" t="s">
        <v>4</v>
      </c>
      <c r="B20" s="19">
        <v>1.2</v>
      </c>
      <c r="C20" s="11">
        <v>1.391</v>
      </c>
      <c r="D20" s="11">
        <v>1.5629999999999999</v>
      </c>
      <c r="E20" s="11">
        <v>1.704</v>
      </c>
      <c r="F20" s="20">
        <v>1.8480000000000001</v>
      </c>
      <c r="G20" s="20">
        <v>1.968</v>
      </c>
      <c r="J20" s="2" t="s">
        <v>5</v>
      </c>
      <c r="K20" s="3">
        <f>K19-1</f>
        <v>4</v>
      </c>
      <c r="N20" s="92" t="s">
        <v>54</v>
      </c>
      <c r="O20" s="4">
        <f>O18/O19</f>
        <v>4.4247787610619468E-2</v>
      </c>
    </row>
    <row r="21" spans="1:15">
      <c r="A21" s="32" t="s">
        <v>6</v>
      </c>
      <c r="B21" s="21">
        <v>1.2050000000000001</v>
      </c>
      <c r="C21" s="12">
        <v>1.3859999999999999</v>
      </c>
      <c r="D21" s="12">
        <v>1.5589999999999999</v>
      </c>
      <c r="E21" s="12">
        <v>1.7030000000000001</v>
      </c>
      <c r="F21" s="22">
        <v>1.85</v>
      </c>
      <c r="G21" s="22">
        <v>1.968</v>
      </c>
      <c r="J21" s="2" t="s">
        <v>7</v>
      </c>
      <c r="K21">
        <f>SQRT(K19)</f>
        <v>2.2360679774997898</v>
      </c>
      <c r="N21" t="s">
        <v>55</v>
      </c>
      <c r="O21" s="4">
        <v>980</v>
      </c>
    </row>
    <row r="22" spans="1:15">
      <c r="A22" s="33" t="s">
        <v>8</v>
      </c>
      <c r="B22" s="23">
        <v>1.204</v>
      </c>
      <c r="C22" s="13">
        <v>1.39</v>
      </c>
      <c r="D22" s="13">
        <v>1.556</v>
      </c>
      <c r="E22" s="13">
        <v>1.7030000000000001</v>
      </c>
      <c r="F22" s="24">
        <v>1.869</v>
      </c>
      <c r="G22" s="24">
        <v>1.972</v>
      </c>
      <c r="N22" t="s">
        <v>56</v>
      </c>
      <c r="O22" s="4">
        <f>O20*O21</f>
        <v>43.362831858407077</v>
      </c>
    </row>
    <row r="23" spans="1:15">
      <c r="A23" s="34" t="s">
        <v>9</v>
      </c>
      <c r="B23" s="25">
        <v>1.19</v>
      </c>
      <c r="C23" s="14">
        <v>1.3919999999999999</v>
      </c>
      <c r="D23" s="14">
        <v>1.5609999999999999</v>
      </c>
      <c r="E23" s="14">
        <v>1.71</v>
      </c>
      <c r="F23" s="26">
        <v>1.8520000000000001</v>
      </c>
      <c r="G23" s="26">
        <v>1.972</v>
      </c>
      <c r="J23" t="s">
        <v>10</v>
      </c>
      <c r="K23">
        <v>1E-3</v>
      </c>
    </row>
    <row r="24" spans="1:15">
      <c r="A24" s="71" t="s">
        <v>11</v>
      </c>
      <c r="B24" s="73">
        <f>AVERAGE(B19:B23)</f>
        <v>1.2006000000000001</v>
      </c>
      <c r="C24" s="73">
        <f>AVERAGE(C19:C23)</f>
        <v>1.3919999999999999</v>
      </c>
      <c r="D24" s="73">
        <f t="shared" ref="D24" si="5">AVERAGE(D19:D23)</f>
        <v>1.5630000000000002</v>
      </c>
      <c r="E24" s="73">
        <f t="shared" ref="E24" si="6">AVERAGE(E19:E23)</f>
        <v>1.7063999999999999</v>
      </c>
      <c r="F24" s="73">
        <f t="shared" ref="F24" si="7">AVERAGE(F19:F23)</f>
        <v>1.8557999999999999</v>
      </c>
      <c r="G24" s="73">
        <f t="shared" ref="G24" si="8">AVERAGE(G19:G23)</f>
        <v>1.9709999999999996</v>
      </c>
    </row>
    <row r="25" spans="1:15">
      <c r="A25" s="1" t="s">
        <v>12</v>
      </c>
      <c r="B25" s="88">
        <f>B24^(2)</f>
        <v>1.4414403600000003</v>
      </c>
      <c r="C25" s="88">
        <f>C24^(2)</f>
        <v>1.9376639999999998</v>
      </c>
      <c r="D25" s="88">
        <f>D24^(2)</f>
        <v>2.4429690000000006</v>
      </c>
      <c r="E25" s="88">
        <f>E24^(2)</f>
        <v>2.9118009599999999</v>
      </c>
      <c r="F25" s="88">
        <f>F24^(2)</f>
        <v>3.4439936399999995</v>
      </c>
      <c r="G25" s="88">
        <f>G24^(2)</f>
        <v>3.8848409999999984</v>
      </c>
    </row>
    <row r="26" spans="1:15">
      <c r="A26" s="1" t="s">
        <v>41</v>
      </c>
      <c r="B26" s="88">
        <f>B25^(2)</f>
        <v>2.0777503114369305</v>
      </c>
      <c r="C26" s="88">
        <f t="shared" ref="C26" si="9">C25^(2)</f>
        <v>3.7545417768959992</v>
      </c>
      <c r="D26" s="88">
        <f t="shared" ref="D26" si="10">D25^(2)</f>
        <v>5.9680975349610028</v>
      </c>
      <c r="E26" s="88">
        <f t="shared" ref="E26" si="11">E25^(2)</f>
        <v>8.4785848306569207</v>
      </c>
      <c r="F26" s="88">
        <f t="shared" ref="F26" si="12">F25^(2)</f>
        <v>11.861092192360447</v>
      </c>
      <c r="G26" s="88">
        <f t="shared" ref="G26" si="13">G25^(2)</f>
        <v>15.091989595280987</v>
      </c>
    </row>
    <row r="27" spans="1:15">
      <c r="A27" s="55" t="s">
        <v>13</v>
      </c>
      <c r="B27" s="36">
        <f>STDEV(B19:B23)</f>
        <v>6.2289646009589996E-3</v>
      </c>
      <c r="C27" s="37">
        <f>STDEV(C19:C23)</f>
        <v>5.5226805085936753E-3</v>
      </c>
      <c r="D27" s="37">
        <f>STDEV(D19:D23)</f>
        <v>7.7136243102707844E-3</v>
      </c>
      <c r="E27" s="37">
        <f>STDEV(E19:E23)</f>
        <v>4.2778499272414471E-3</v>
      </c>
      <c r="F27" s="38">
        <f>STDEV(F19:F23)</f>
        <v>8.6717933554714844E-3</v>
      </c>
      <c r="G27" s="38">
        <f>STDEV(G19:G23)</f>
        <v>3.0000000000000395E-3</v>
      </c>
      <c r="H27" t="s">
        <v>43</v>
      </c>
      <c r="I27" s="1" t="s">
        <v>14</v>
      </c>
      <c r="J27" s="18" t="s">
        <v>15</v>
      </c>
    </row>
    <row r="28" spans="1:15">
      <c r="A28" s="56" t="s">
        <v>16</v>
      </c>
      <c r="B28" s="94">
        <f>B27/K21</f>
        <v>2.7856776554368349E-3</v>
      </c>
      <c r="C28" s="95">
        <f>C27/K21</f>
        <v>2.4698178070457137E-3</v>
      </c>
      <c r="D28" s="95">
        <f>D27/K21</f>
        <v>3.4496376621320803E-3</v>
      </c>
      <c r="E28" s="95">
        <f>E27/K21</f>
        <v>1.913112646970881E-3</v>
      </c>
      <c r="F28" s="96">
        <f>F27/K21</f>
        <v>3.8781438859330471E-3</v>
      </c>
      <c r="G28" s="96">
        <f>G27/K21</f>
        <v>1.3416407864998915E-3</v>
      </c>
      <c r="H28" t="s">
        <v>44</v>
      </c>
      <c r="I28" s="1" t="s">
        <v>14</v>
      </c>
      <c r="J28" s="18" t="s">
        <v>17</v>
      </c>
    </row>
    <row r="29" spans="1:15">
      <c r="A29" s="56" t="s">
        <v>18</v>
      </c>
      <c r="B29" s="43">
        <v>1E-3</v>
      </c>
      <c r="C29" s="44">
        <v>1E-3</v>
      </c>
      <c r="D29" s="44">
        <v>1E-3</v>
      </c>
      <c r="E29" s="44">
        <v>1E-3</v>
      </c>
      <c r="F29" s="45">
        <v>1E-3</v>
      </c>
      <c r="G29" s="45">
        <v>1E-3</v>
      </c>
      <c r="H29" t="s">
        <v>45</v>
      </c>
      <c r="I29" s="1" t="s">
        <v>14</v>
      </c>
      <c r="J29" s="18" t="s">
        <v>19</v>
      </c>
    </row>
    <row r="30" spans="1:15">
      <c r="A30" s="57" t="s">
        <v>20</v>
      </c>
      <c r="B30" s="97">
        <f>B28+B29</f>
        <v>3.7856776554368349E-3</v>
      </c>
      <c r="C30" s="98">
        <f t="shared" ref="C30:F30" si="14">C28+C29</f>
        <v>3.4698178070457137E-3</v>
      </c>
      <c r="D30" s="98">
        <f t="shared" si="14"/>
        <v>4.4496376621320803E-3</v>
      </c>
      <c r="E30" s="98">
        <f t="shared" si="14"/>
        <v>2.9131126469708812E-3</v>
      </c>
      <c r="F30" s="99">
        <f t="shared" si="14"/>
        <v>4.8781438859330471E-3</v>
      </c>
      <c r="G30" s="99">
        <f>G28+G29</f>
        <v>2.3416407864998916E-3</v>
      </c>
      <c r="H30" t="s">
        <v>45</v>
      </c>
      <c r="I30" s="1" t="s">
        <v>14</v>
      </c>
      <c r="J30" s="18" t="s">
        <v>21</v>
      </c>
    </row>
    <row r="31" spans="1:15">
      <c r="A31" s="90" t="s">
        <v>47</v>
      </c>
      <c r="B31" s="91"/>
    </row>
    <row r="33" spans="1:7">
      <c r="A33" s="58" t="s">
        <v>23</v>
      </c>
      <c r="B33" s="49">
        <f>B18/B24</f>
        <v>24.98750624687656</v>
      </c>
      <c r="C33" s="50">
        <f>C18/C24</f>
        <v>28.735632183908049</v>
      </c>
      <c r="D33" s="50">
        <f>D18/D24</f>
        <v>31.989763275751756</v>
      </c>
      <c r="E33" s="50">
        <f>E18/E24</f>
        <v>35.16174402250352</v>
      </c>
      <c r="F33" s="51">
        <f>F18/F24</f>
        <v>37.71958185149262</v>
      </c>
      <c r="G33" s="51">
        <f>G18/G24</f>
        <v>40.588533739218676</v>
      </c>
    </row>
    <row r="34" spans="1:7">
      <c r="A34" s="59" t="s">
        <v>24</v>
      </c>
      <c r="B34" s="52">
        <f>(B18*B30+0.05*B24)/B25</f>
        <v>0.12043531906037722</v>
      </c>
      <c r="C34" s="53">
        <f>(C18*C30+0.05*C24)/C25</f>
        <v>0.10754842546583337</v>
      </c>
      <c r="D34" s="53">
        <f>(D18*D30+0.05*D24)/D25</f>
        <v>0.12306004828821158</v>
      </c>
      <c r="E34" s="53">
        <f>(E18*E30+0.05*E24)/E25</f>
        <v>8.9328481716776709E-2</v>
      </c>
      <c r="F34" s="54">
        <f>(F18*F30+0.05*F24)/F25</f>
        <v>0.12609200753788655</v>
      </c>
      <c r="G34" s="54">
        <f>(G18*G30+0.05*G24)/G25</f>
        <v>7.3588922408920066E-2</v>
      </c>
    </row>
    <row r="35" spans="1:7">
      <c r="A35" s="7"/>
      <c r="B35" s="4"/>
    </row>
    <row r="36" spans="1:7">
      <c r="A36" s="7"/>
      <c r="B36" s="67" t="s">
        <v>25</v>
      </c>
      <c r="D36" s="8" t="s">
        <v>26</v>
      </c>
      <c r="E36" s="8"/>
    </row>
    <row r="37" spans="1:7">
      <c r="A37" s="7"/>
      <c r="B37" s="10">
        <f>AVERAGE(B33:G33)</f>
        <v>33.197126886625199</v>
      </c>
      <c r="C37" s="1" t="s">
        <v>27</v>
      </c>
      <c r="D37" s="10">
        <f>AVERAGE(B34:G34)</f>
        <v>0.10667553407966757</v>
      </c>
      <c r="E37" t="s">
        <v>48</v>
      </c>
    </row>
    <row r="38" spans="1:7">
      <c r="A38" s="89" t="s">
        <v>49</v>
      </c>
      <c r="B38" s="4"/>
    </row>
    <row r="39" spans="1:7">
      <c r="A39" s="58" t="s">
        <v>23</v>
      </c>
      <c r="B39" s="100">
        <f>2*B33</f>
        <v>49.97501249375312</v>
      </c>
      <c r="C39" s="100">
        <f>2*C33</f>
        <v>57.471264367816097</v>
      </c>
      <c r="D39" s="100">
        <f t="shared" ref="D39:G39" si="15">2*D33</f>
        <v>63.979526551503511</v>
      </c>
      <c r="E39" s="100">
        <f t="shared" si="15"/>
        <v>70.323488045007039</v>
      </c>
      <c r="F39" s="100">
        <f t="shared" si="15"/>
        <v>75.43916370298524</v>
      </c>
      <c r="G39" s="100">
        <f t="shared" si="15"/>
        <v>81.177067478437351</v>
      </c>
    </row>
    <row r="40" spans="1:7">
      <c r="A40" s="59" t="s">
        <v>24</v>
      </c>
      <c r="B40" s="101">
        <f>2*B34</f>
        <v>0.24087063812075443</v>
      </c>
      <c r="C40" s="101">
        <f t="shared" ref="C40:G40" si="16">2*C34</f>
        <v>0.21509685093166675</v>
      </c>
      <c r="D40" s="101">
        <f t="shared" si="16"/>
        <v>0.24612009657642317</v>
      </c>
      <c r="E40" s="101">
        <f t="shared" si="16"/>
        <v>0.17865696343355342</v>
      </c>
      <c r="F40" s="101">
        <f t="shared" si="16"/>
        <v>0.25218401507577309</v>
      </c>
      <c r="G40" s="101">
        <f t="shared" si="16"/>
        <v>0.14717784481784013</v>
      </c>
    </row>
    <row r="41" spans="1:7">
      <c r="A41" s="7"/>
      <c r="B41" s="4"/>
    </row>
    <row r="42" spans="1:7">
      <c r="A42" s="7"/>
      <c r="B42" s="67" t="s">
        <v>25</v>
      </c>
      <c r="D42" s="8" t="s">
        <v>26</v>
      </c>
      <c r="E42" s="8"/>
    </row>
    <row r="43" spans="1:7">
      <c r="A43" s="7"/>
      <c r="B43" s="10">
        <f>AVERAGE(B39:G39)</f>
        <v>66.394253773250398</v>
      </c>
      <c r="C43" s="1" t="s">
        <v>27</v>
      </c>
      <c r="D43" s="10">
        <f>AVERAGE(B40:G40)</f>
        <v>0.21335106815933513</v>
      </c>
      <c r="E43" t="s">
        <v>48</v>
      </c>
    </row>
  </sheetData>
  <pageMargins left="0.511811024" right="0.511811024" top="0.78740157499999996" bottom="0.78740157499999996" header="0.31496062000000002" footer="0.31496062000000002"/>
  <pageSetup paperSize="9" fitToHeight="0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AE7A-115F-4CBB-84A3-E96A161A685C}">
  <dimension ref="A1:M65"/>
  <sheetViews>
    <sheetView tabSelected="1" workbookViewId="0">
      <selection activeCell="B56" sqref="B56"/>
    </sheetView>
  </sheetViews>
  <sheetFormatPr defaultRowHeight="15"/>
  <cols>
    <col min="2" max="2" width="12.140625" customWidth="1"/>
    <col min="4" max="4" width="13.7109375" customWidth="1"/>
    <col min="6" max="6" width="15.42578125" customWidth="1"/>
    <col min="7" max="7" width="2.5703125" customWidth="1"/>
    <col min="12" max="12" width="11.7109375" customWidth="1"/>
  </cols>
  <sheetData>
    <row r="1" spans="1:13">
      <c r="B1" t="s">
        <v>2</v>
      </c>
      <c r="C1" t="s">
        <v>4</v>
      </c>
    </row>
    <row r="2" spans="1:13">
      <c r="A2">
        <v>1</v>
      </c>
      <c r="B2">
        <v>9.2999999999999999E-2</v>
      </c>
      <c r="C2">
        <v>0.112</v>
      </c>
    </row>
    <row r="3" spans="1:13">
      <c r="A3">
        <v>2</v>
      </c>
      <c r="B3">
        <v>0.1</v>
      </c>
      <c r="C3">
        <v>0.11600000000000001</v>
      </c>
    </row>
    <row r="4" spans="1:13">
      <c r="A4">
        <v>3</v>
      </c>
      <c r="B4">
        <v>9.6000000000000002E-2</v>
      </c>
      <c r="C4">
        <v>0.11899999999999999</v>
      </c>
    </row>
    <row r="5" spans="1:13">
      <c r="A5">
        <v>4</v>
      </c>
      <c r="B5">
        <v>9.7000000000000003E-2</v>
      </c>
      <c r="C5">
        <v>0.115</v>
      </c>
      <c r="I5" t="s">
        <v>57</v>
      </c>
      <c r="J5">
        <f>B8*B9/2</f>
        <v>12448.132780082988</v>
      </c>
    </row>
    <row r="6" spans="1:13">
      <c r="A6">
        <v>5</v>
      </c>
      <c r="B6">
        <v>9.6000000000000002E-2</v>
      </c>
      <c r="C6">
        <v>0.115</v>
      </c>
      <c r="I6" t="s">
        <v>58</v>
      </c>
      <c r="J6">
        <f>((B8*B14))+(B15*C8)</f>
        <v>24896.265560165975</v>
      </c>
      <c r="L6" t="s">
        <v>59</v>
      </c>
      <c r="M6">
        <f>(B8*B14)/2</f>
        <v>-755.17048176628691</v>
      </c>
    </row>
    <row r="7" spans="1:13">
      <c r="A7" t="s">
        <v>60</v>
      </c>
      <c r="B7" s="102">
        <f>AVERAGE(B2:B6)</f>
        <v>9.64E-2</v>
      </c>
      <c r="C7" s="102">
        <f>AVERAGE(C2:C6)</f>
        <v>0.11539999999999999</v>
      </c>
      <c r="L7" t="s">
        <v>61</v>
      </c>
      <c r="M7">
        <f>(C8*B15)/2</f>
        <v>13203.303261849274</v>
      </c>
    </row>
    <row r="8" spans="1:13">
      <c r="A8" t="s">
        <v>62</v>
      </c>
      <c r="B8">
        <v>240</v>
      </c>
      <c r="C8">
        <v>271</v>
      </c>
    </row>
    <row r="9" spans="1:13">
      <c r="A9" t="s">
        <v>63</v>
      </c>
      <c r="B9" s="5">
        <f>10/B7</f>
        <v>103.7344398340249</v>
      </c>
      <c r="C9" s="5">
        <v>0</v>
      </c>
      <c r="D9" t="s">
        <v>64</v>
      </c>
      <c r="E9" t="s">
        <v>65</v>
      </c>
    </row>
    <row r="10" spans="1:13">
      <c r="A10" t="s">
        <v>66</v>
      </c>
      <c r="B10" s="5">
        <f>B9^2</f>
        <v>10760.834007678932</v>
      </c>
      <c r="C10" s="5">
        <f>C9^2</f>
        <v>0</v>
      </c>
    </row>
    <row r="13" spans="1:13">
      <c r="A13" t="s">
        <v>67</v>
      </c>
      <c r="E13" t="s">
        <v>68</v>
      </c>
      <c r="F13" t="s">
        <v>69</v>
      </c>
    </row>
    <row r="14" spans="1:13">
      <c r="A14" t="s">
        <v>70</v>
      </c>
      <c r="B14" s="5">
        <f>(B8-C8)*B9/(B8+C8)</f>
        <v>-6.2930873480523912</v>
      </c>
    </row>
    <row r="15" spans="1:13">
      <c r="A15" t="s">
        <v>71</v>
      </c>
      <c r="B15" s="5">
        <f>(2*B8)*B9/(B8+C8)</f>
        <v>97.441352485972502</v>
      </c>
      <c r="C15" t="s">
        <v>72</v>
      </c>
      <c r="D15" t="s">
        <v>73</v>
      </c>
    </row>
    <row r="16" spans="1:13">
      <c r="E16" t="s">
        <v>74</v>
      </c>
      <c r="F16" s="4">
        <f>(B17-B15)/B15</f>
        <v>-0.11069468515309051</v>
      </c>
      <c r="G16" t="s">
        <v>75</v>
      </c>
      <c r="H16" s="103">
        <f>F16*100</f>
        <v>-11.069468515309051</v>
      </c>
      <c r="I16" t="s">
        <v>76</v>
      </c>
    </row>
    <row r="17" spans="1:13">
      <c r="A17" t="s">
        <v>71</v>
      </c>
      <c r="B17" s="5">
        <f>10/C7</f>
        <v>86.655112651646462</v>
      </c>
      <c r="C17" t="s">
        <v>77</v>
      </c>
      <c r="D17" t="s">
        <v>78</v>
      </c>
    </row>
    <row r="18" spans="1:13">
      <c r="B18" s="5">
        <f>B17^2</f>
        <v>7509.1085486695383</v>
      </c>
    </row>
    <row r="19" spans="1:13">
      <c r="M19">
        <v>333</v>
      </c>
    </row>
    <row r="20" spans="1:13">
      <c r="A20" t="s">
        <v>79</v>
      </c>
      <c r="B20" s="5">
        <f>B14^2</f>
        <v>39.602948370217078</v>
      </c>
    </row>
    <row r="21" spans="1:13">
      <c r="A21" t="s">
        <v>80</v>
      </c>
      <c r="B21" s="5">
        <f>B15^2</f>
        <v>9494.8171742955401</v>
      </c>
    </row>
    <row r="23" spans="1:13">
      <c r="A23" t="s">
        <v>81</v>
      </c>
      <c r="B23">
        <f>(B8*B20)/2 + (C8*B18)/2</f>
        <v>1022236.5621491484</v>
      </c>
      <c r="C23" t="s">
        <v>82</v>
      </c>
      <c r="E23" t="s">
        <v>83</v>
      </c>
      <c r="F23" t="s">
        <v>84</v>
      </c>
    </row>
    <row r="24" spans="1:13">
      <c r="A24" t="s">
        <v>85</v>
      </c>
      <c r="B24">
        <f>(B8*B10)/2</f>
        <v>1291300.0809214718</v>
      </c>
      <c r="C24" t="s">
        <v>82</v>
      </c>
      <c r="E24">
        <f>(B24-B23)/B24</f>
        <v>0.20836637645087083</v>
      </c>
      <c r="F24">
        <f>E24*100</f>
        <v>20.836637645087084</v>
      </c>
      <c r="G24" t="s">
        <v>76</v>
      </c>
    </row>
    <row r="26" spans="1:13">
      <c r="A26" t="s">
        <v>86</v>
      </c>
      <c r="B26" s="4">
        <f>B8*B9 + C8*C9</f>
        <v>24896.265560165975</v>
      </c>
      <c r="E26" s="5">
        <f>B17-B15</f>
        <v>-10.786239834326039</v>
      </c>
    </row>
    <row r="27" spans="1:13">
      <c r="A27" t="s">
        <v>87</v>
      </c>
      <c r="B27" s="4">
        <f>B8*B14 + C8*B15</f>
        <v>24896.265560165975</v>
      </c>
      <c r="E27" s="4">
        <f>E26/B15</f>
        <v>-0.11069468515309051</v>
      </c>
    </row>
    <row r="29" spans="1:13">
      <c r="A29" s="104"/>
      <c r="B29" s="104"/>
      <c r="C29" s="104"/>
      <c r="D29" s="104"/>
      <c r="E29" s="104"/>
      <c r="F29" s="104"/>
      <c r="G29" s="104"/>
      <c r="H29" s="104"/>
      <c r="I29" s="104"/>
    </row>
    <row r="30" spans="1:13">
      <c r="A30" s="104"/>
      <c r="B30" s="104" t="s">
        <v>2</v>
      </c>
      <c r="C30" s="104" t="s">
        <v>4</v>
      </c>
      <c r="D30" s="104"/>
      <c r="E30" s="104"/>
      <c r="F30" s="104"/>
      <c r="G30" s="104"/>
      <c r="H30" s="104"/>
      <c r="I30" s="104"/>
    </row>
    <row r="31" spans="1:13">
      <c r="A31">
        <v>1</v>
      </c>
      <c r="B31">
        <v>0.126</v>
      </c>
      <c r="C31">
        <v>0.33300000000000002</v>
      </c>
    </row>
    <row r="32" spans="1:13">
      <c r="A32">
        <v>2</v>
      </c>
      <c r="B32">
        <v>0.11600000000000001</v>
      </c>
      <c r="C32">
        <v>0.33300000000000002</v>
      </c>
    </row>
    <row r="33" spans="1:7">
      <c r="A33">
        <v>3</v>
      </c>
      <c r="B33">
        <v>0.11600000000000001</v>
      </c>
      <c r="C33">
        <v>0.32500000000000001</v>
      </c>
    </row>
    <row r="34" spans="1:7">
      <c r="A34">
        <v>4</v>
      </c>
      <c r="B34">
        <v>0.126</v>
      </c>
      <c r="C34">
        <v>0.34200000000000003</v>
      </c>
    </row>
    <row r="35" spans="1:7">
      <c r="A35">
        <v>5</v>
      </c>
      <c r="B35">
        <v>0.124</v>
      </c>
      <c r="C35">
        <v>0.33300000000000002</v>
      </c>
    </row>
    <row r="36" spans="1:7">
      <c r="A36" t="s">
        <v>60</v>
      </c>
      <c r="B36" s="4">
        <f>AVERAGE(B31:B35)</f>
        <v>0.1216</v>
      </c>
      <c r="C36" s="4">
        <f>AVERAGE(C31:C35)</f>
        <v>0.33320000000000005</v>
      </c>
    </row>
    <row r="37" spans="1:7">
      <c r="A37" t="s">
        <v>62</v>
      </c>
      <c r="B37">
        <f>229</f>
        <v>229</v>
      </c>
      <c r="C37">
        <v>258.5</v>
      </c>
    </row>
    <row r="38" spans="1:7">
      <c r="A38" t="s">
        <v>63</v>
      </c>
      <c r="B38" s="5">
        <f>10/B36</f>
        <v>82.236842105263165</v>
      </c>
      <c r="C38" s="5">
        <v>0</v>
      </c>
      <c r="D38" t="s">
        <v>64</v>
      </c>
      <c r="E38" t="s">
        <v>65</v>
      </c>
    </row>
    <row r="39" spans="1:7">
      <c r="A39" t="s">
        <v>66</v>
      </c>
      <c r="B39" s="5">
        <f>B38^2</f>
        <v>6762.8981994459846</v>
      </c>
      <c r="C39" s="5">
        <f>C38^2</f>
        <v>0</v>
      </c>
    </row>
    <row r="42" spans="1:7">
      <c r="A42" t="s">
        <v>67</v>
      </c>
      <c r="E42" t="s">
        <v>68</v>
      </c>
      <c r="F42" t="s">
        <v>69</v>
      </c>
    </row>
    <row r="43" spans="1:7">
      <c r="A43" t="s">
        <v>70</v>
      </c>
      <c r="B43" s="5">
        <f>B37/(B37+C37)*B38</f>
        <v>38.630229419703106</v>
      </c>
    </row>
    <row r="44" spans="1:7">
      <c r="A44" t="s">
        <v>71</v>
      </c>
      <c r="B44" s="5">
        <f>(2*B37)*B38/(B37+C37)</f>
        <v>77.260458839406212</v>
      </c>
      <c r="C44" t="s">
        <v>72</v>
      </c>
      <c r="D44" t="s">
        <v>73</v>
      </c>
    </row>
    <row r="45" spans="1:7">
      <c r="E45" t="s">
        <v>74</v>
      </c>
      <c r="F45" s="4">
        <f>(B46-B44)/B44</f>
        <v>-0.61154767583889458</v>
      </c>
      <c r="G45" t="s">
        <v>75</v>
      </c>
    </row>
    <row r="46" spans="1:7">
      <c r="A46" t="s">
        <v>71</v>
      </c>
      <c r="B46" s="5">
        <f>10/C36</f>
        <v>30.012004801920764</v>
      </c>
      <c r="C46" t="s">
        <v>77</v>
      </c>
      <c r="D46" t="s">
        <v>78</v>
      </c>
    </row>
    <row r="47" spans="1:7">
      <c r="B47" s="5">
        <f>B46^2</f>
        <v>900.72043223051503</v>
      </c>
    </row>
    <row r="49" spans="1:7">
      <c r="A49" t="s">
        <v>79</v>
      </c>
      <c r="B49" s="5">
        <f>B43^2</f>
        <v>1492.2946250188954</v>
      </c>
    </row>
    <row r="50" spans="1:7">
      <c r="A50" t="s">
        <v>80</v>
      </c>
      <c r="B50" s="5">
        <f>B44^2</f>
        <v>5969.1785000755817</v>
      </c>
    </row>
    <row r="52" spans="1:7">
      <c r="A52" t="s">
        <v>81</v>
      </c>
      <c r="B52" s="4">
        <f>1/2*(B37+C37)*B46*B46</f>
        <v>219550.60535618803</v>
      </c>
      <c r="C52" t="s">
        <v>82</v>
      </c>
      <c r="E52" t="s">
        <v>83</v>
      </c>
      <c r="F52" t="s">
        <v>84</v>
      </c>
    </row>
    <row r="53" spans="1:7">
      <c r="A53" t="s">
        <v>85</v>
      </c>
      <c r="B53" s="4">
        <f>1/2*B37*B38*B38</f>
        <v>774351.84383656515</v>
      </c>
      <c r="C53" t="s">
        <v>82</v>
      </c>
      <c r="E53" s="4">
        <f>(B55-B56)/B55</f>
        <v>0.22309535167778918</v>
      </c>
      <c r="F53">
        <f>E53*100</f>
        <v>22.309535167778918</v>
      </c>
      <c r="G53" t="s">
        <v>76</v>
      </c>
    </row>
    <row r="55" spans="1:7">
      <c r="A55" t="s">
        <v>86</v>
      </c>
      <c r="B55" s="4">
        <f>B37*B38</f>
        <v>18832.236842105263</v>
      </c>
      <c r="E55" s="5">
        <f>B46-B44</f>
        <v>-47.248454037485445</v>
      </c>
    </row>
    <row r="56" spans="1:7">
      <c r="A56" t="s">
        <v>87</v>
      </c>
      <c r="B56" s="4">
        <f>(B37+C37)*B46</f>
        <v>14630.852340936372</v>
      </c>
      <c r="E56" s="4">
        <f>E55/B44</f>
        <v>-0.61154767583889458</v>
      </c>
    </row>
    <row r="59" spans="1:7">
      <c r="B59" t="s">
        <v>88</v>
      </c>
    </row>
    <row r="60" spans="1:7">
      <c r="B60">
        <f>(B53-B52)/B53</f>
        <v>0.71647177300125808</v>
      </c>
      <c r="D60" t="s">
        <v>89</v>
      </c>
    </row>
    <row r="61" spans="1:7">
      <c r="D61" s="4">
        <f>B52-B53</f>
        <v>-554801.23848037713</v>
      </c>
    </row>
    <row r="64" spans="1:7">
      <c r="B64" t="s">
        <v>90</v>
      </c>
      <c r="D64" t="s">
        <v>91</v>
      </c>
      <c r="E64" t="s">
        <v>92</v>
      </c>
    </row>
    <row r="65" spans="2:5">
      <c r="B65">
        <f>B53/B52</f>
        <v>3.5269856923432075</v>
      </c>
      <c r="D65" s="4">
        <f>B52/B53</f>
        <v>0.28352822699874197</v>
      </c>
      <c r="E65" s="4">
        <f>(B37)/(B37+C37)</f>
        <v>0.46974358974358976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5AC6E-922E-4E28-9603-1E1F1316F17B}">
  <dimension ref="A1:C21"/>
  <sheetViews>
    <sheetView workbookViewId="0">
      <selection activeCell="E6" sqref="E6"/>
    </sheetView>
  </sheetViews>
  <sheetFormatPr defaultRowHeight="15"/>
  <sheetData>
    <row r="1" spans="1:3">
      <c r="B1" t="s">
        <v>2</v>
      </c>
      <c r="C1" t="s">
        <v>4</v>
      </c>
    </row>
    <row r="2" spans="1:3">
      <c r="A2">
        <v>1</v>
      </c>
      <c r="B2">
        <v>0.126</v>
      </c>
      <c r="C2">
        <v>0.33300000000000002</v>
      </c>
    </row>
    <row r="3" spans="1:3">
      <c r="A3">
        <v>2</v>
      </c>
      <c r="B3">
        <v>0.11600000000000001</v>
      </c>
      <c r="C3">
        <v>0.33300000000000002</v>
      </c>
    </row>
    <row r="4" spans="1:3">
      <c r="A4">
        <v>3</v>
      </c>
      <c r="B4">
        <v>0.11600000000000001</v>
      </c>
      <c r="C4">
        <v>0.32500000000000001</v>
      </c>
    </row>
    <row r="5" spans="1:3">
      <c r="A5">
        <v>4</v>
      </c>
      <c r="B5">
        <v>0.125</v>
      </c>
      <c r="C5">
        <v>0.34200000000000003</v>
      </c>
    </row>
    <row r="6" spans="1:3">
      <c r="A6">
        <v>5</v>
      </c>
      <c r="B6">
        <v>0.124</v>
      </c>
      <c r="C6">
        <v>0.33300000000000002</v>
      </c>
    </row>
    <row r="7" spans="1:3">
      <c r="A7" t="s">
        <v>60</v>
      </c>
      <c r="B7" s="4">
        <f>AVERAGE(B2:B6)</f>
        <v>0.12139999999999999</v>
      </c>
      <c r="C7" s="4">
        <f>AVERAGE(C2:C6)</f>
        <v>0.33320000000000005</v>
      </c>
    </row>
    <row r="8" spans="1:3">
      <c r="A8" t="s">
        <v>62</v>
      </c>
      <c r="B8">
        <v>229</v>
      </c>
      <c r="C8">
        <v>258.5</v>
      </c>
    </row>
    <row r="9" spans="1:3">
      <c r="A9" t="s">
        <v>63</v>
      </c>
      <c r="B9" s="5">
        <f>10/B7</f>
        <v>82.372322899505775</v>
      </c>
      <c r="C9" s="5">
        <v>0</v>
      </c>
    </row>
    <row r="10" spans="1:3">
      <c r="A10" t="s">
        <v>66</v>
      </c>
      <c r="B10" s="5">
        <f>B9^2</f>
        <v>6785.1995798604439</v>
      </c>
      <c r="C10" s="5">
        <f>C9^2</f>
        <v>0</v>
      </c>
    </row>
    <row r="13" spans="1:3">
      <c r="A13" t="s">
        <v>67</v>
      </c>
    </row>
    <row r="14" spans="1:3">
      <c r="A14" t="s">
        <v>70</v>
      </c>
      <c r="B14" s="5">
        <f>(B8-C8)*B9/(B8+C8)</f>
        <v>-4.9845815908418887</v>
      </c>
    </row>
    <row r="15" spans="1:3">
      <c r="A15" t="s">
        <v>71</v>
      </c>
      <c r="B15" s="5">
        <f>(2*B8)*B9/(B8+C8)</f>
        <v>77.387741308663877</v>
      </c>
    </row>
    <row r="17" spans="1:3">
      <c r="A17" t="s">
        <v>79</v>
      </c>
      <c r="B17" s="5">
        <f>B14^2</f>
        <v>24.846053635759855</v>
      </c>
    </row>
    <row r="18" spans="1:3">
      <c r="A18" t="s">
        <v>80</v>
      </c>
      <c r="B18" s="5">
        <f>B15^2</f>
        <v>5988.862504856681</v>
      </c>
    </row>
    <row r="20" spans="1:3">
      <c r="A20" t="s">
        <v>81</v>
      </c>
      <c r="B20">
        <f>(B8*B17)/2 + (C8*B18)/2</f>
        <v>776905.35189402045</v>
      </c>
      <c r="C20" t="s">
        <v>82</v>
      </c>
    </row>
    <row r="21" spans="1:3">
      <c r="A21" t="s">
        <v>85</v>
      </c>
      <c r="B21">
        <f>(B8*B10)/2</f>
        <v>776905.3518940208</v>
      </c>
      <c r="C21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João Victor</dc:creator>
  <cp:keywords/>
  <dc:description/>
  <cp:lastModifiedBy>Usuário Convidado</cp:lastModifiedBy>
  <cp:revision/>
  <dcterms:created xsi:type="dcterms:W3CDTF">2022-07-11T20:11:08Z</dcterms:created>
  <dcterms:modified xsi:type="dcterms:W3CDTF">2022-09-19T15:03:01Z</dcterms:modified>
  <cp:category/>
  <cp:contentStatus/>
</cp:coreProperties>
</file>